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3D1A710C-6663-3D7B-7F91-EC182F24A4BC}"/>
  <workbookPr showInkAnnotation="0" codeName="ThisWorkbook"/>
  <mc:AlternateContent xmlns:mc="http://schemas.openxmlformats.org/markup-compatibility/2006">
    <mc:Choice Requires="x15">
      <x15ac:absPath xmlns:x15ac="http://schemas.microsoft.com/office/spreadsheetml/2010/11/ac" url="C:\Users\93534\Downloads\"/>
    </mc:Choice>
  </mc:AlternateContent>
  <xr:revisionPtr revIDLastSave="0" documentId="13_ncr:1_{34F46DEB-38D8-41E2-AD1C-FD63B5A7AF8E}" xr6:coauthVersionLast="47" xr6:coauthVersionMax="47" xr10:uidLastSave="{00000000-0000-0000-0000-000000000000}"/>
  <workbookProtection workbookAlgorithmName="SHA-512" workbookHashValue="bjVoM8J80li33LI7PQ77xtY09YvrboUHL1/tAAl78U2qJMwu8/EpViKroM4rKmJXjJfkcS6brsTlbnuXwSbVfg==" workbookSaltValue="IAQ3IMcR39z2SmWSkj83lw==" workbookSpinCount="100000" lockStructure="1"/>
  <bookViews>
    <workbookView xWindow="-108" yWindow="-108" windowWidth="23256" windowHeight="12456" tabRatio="371"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Management'!$B$50</definedName>
    <definedName name="Acs">'Variable Management'!$B$223</definedName>
    <definedName name="Acs_Ch2">'Variable Management'!$D$223</definedName>
    <definedName name="Adc" localSheetId="5">'Ch2 Stability Calculations'!$Q$3</definedName>
    <definedName name="Adc">'Stability Calculations'!$Q$3</definedName>
    <definedName name="AEA">'Variable Management'!$B$221</definedName>
    <definedName name="Afb">'Variable Management'!$B$222</definedName>
    <definedName name="Afb_Ch2">'Variable Management'!$D$222</definedName>
    <definedName name="Am">'Variable Management'!$B$227</definedName>
    <definedName name="Am_buck">'Variable Management'!$B$226</definedName>
    <definedName name="Am_buck_Ch2">'Variable Management'!$D$226</definedName>
    <definedName name="Am_Ch2">'Variable Management'!$D$227</definedName>
    <definedName name="BODE_PLOT_Ch1">'Bode Plot Management'!$B$5</definedName>
    <definedName name="BODE_PLOT_Ch2">'Bode Plot Management'!$B$8</definedName>
    <definedName name="BODE_PLOT_TYPE">'Variable Management'!$AA$10</definedName>
    <definedName name="Buck_CS_threshold">'Variable Management'!$B$86</definedName>
    <definedName name="Buck_CS_threshold_max">'Variable Management'!$B$87</definedName>
    <definedName name="Buck_CS_threshold_min">'Variable Management'!$B$85</definedName>
    <definedName name="Cb">'Variable Management'!$B$194</definedName>
    <definedName name="Cbw">'Variable Management'!$B$219</definedName>
    <definedName name="Cc1ea">'Variable Management'!$B$244</definedName>
    <definedName name="Cc1ea_u">'Variable Management'!$B$249</definedName>
    <definedName name="Cc2ea">'Variable Management'!$B$245</definedName>
    <definedName name="Cc2ea_u">'Variable Management'!$B$250</definedName>
    <definedName name="Cc3ea">'Variable Management'!$D$244</definedName>
    <definedName name="Cc3ea_u">'Variable Management'!$D$249</definedName>
    <definedName name="Cc4ea">'Variable Management'!$D$245</definedName>
    <definedName name="Cc4ea_u">'Variable Management'!$D$250</definedName>
    <definedName name="Ch1_VOUT">'Variable Management'!$L$17</definedName>
    <definedName name="Ch2_VOUT">'Variable Management'!$O$17</definedName>
    <definedName name="Cin">'Variable Management'!$B$148</definedName>
    <definedName name="CinEsrMax">'Variable Management'!$B$152</definedName>
    <definedName name="Cinmin">'Variable Management'!$B$146</definedName>
    <definedName name="CNFG">'Variable Management'!$X$16</definedName>
    <definedName name="Core_Loss_Ch1">'Design Regulator'!$E$31</definedName>
    <definedName name="Core_Loss_Ch2">'Design Regulator'!$J$31</definedName>
    <definedName name="Coss_Q1">'Variable Management'!$B$300</definedName>
    <definedName name="Coss_Q2">'Variable Management'!$D$300</definedName>
    <definedName name="Coss_Q3">'Variable Management'!$B$319</definedName>
    <definedName name="Coss_Q4">'Variable Management'!$D$319</definedName>
    <definedName name="Cout">'Variable Management'!$B$123</definedName>
    <definedName name="Cout_ESR">'Variable Management'!$B$127</definedName>
    <definedName name="Cout_min">'Variable Management'!$B$121</definedName>
    <definedName name="Cout2">'Variable Management'!$D$123</definedName>
    <definedName name="Cout2_ESR">'Variable Management'!$D$127</definedName>
    <definedName name="Cout2_min">'Variable Management'!$D$121</definedName>
    <definedName name="Cout2EsrMax">'Variable Management'!$D$124</definedName>
    <definedName name="CoutEsrMax">'Variable Management'!$B$124</definedName>
    <definedName name="Cres">'Variable Management'!$B$171</definedName>
    <definedName name="Cres_u">'Variable Management'!$B$172</definedName>
    <definedName name="CSAmp_gain">'Variable Management'!$B$198</definedName>
    <definedName name="Csb">'Variable Management'!$B$191</definedName>
    <definedName name="D1_Vinmax">'Variable Management'!$B$39</definedName>
    <definedName name="D1_Vinmax_2">'Variable Management'!$B$55</definedName>
    <definedName name="D1_Vinmin">'Variable Management'!$B$37</definedName>
    <definedName name="D1_Vinmin_2">'Variable Management'!$B$53</definedName>
    <definedName name="D1_Vinnom">'Variable Management'!$B$38</definedName>
    <definedName name="D1_Vinnom_2">'Variable Management'!$B$54</definedName>
    <definedName name="D2_Vinmax">'Variable Management'!$D$39</definedName>
    <definedName name="D2_Vinmax_2">'Variable Management'!$D$55</definedName>
    <definedName name="D2_Vinmin">'Variable Management'!$D$37</definedName>
    <definedName name="D2_Vinmin_2">'Variable Management'!$D$53</definedName>
    <definedName name="D2_Vinnom">'Variable Management'!$D$38</definedName>
    <definedName name="D2_Vinnom_2">'Variable Management'!$D$54</definedName>
    <definedName name="Deadtime1">'Variable Management'!$B$288</definedName>
    <definedName name="Deadtime2">'Variable Management'!$B$289</definedName>
    <definedName name="DEMB">'Variable Management'!$X$10</definedName>
    <definedName name="Doff1">'Variable Management'!$B$35</definedName>
    <definedName name="Doff2">'Variable Management'!$B$51</definedName>
    <definedName name="Don_buckboost">'Variable Management'!$B$40</definedName>
    <definedName name="DRSS_OFF">'Variable Management'!$X$17</definedName>
    <definedName name="EFF_Ch1">'Efficiency Plot Management'!$B$5</definedName>
    <definedName name="EFF_Ch2">'Efficiency Plot Management'!$B$7</definedName>
    <definedName name="Efficiency">'Variable Management'!$B$20</definedName>
    <definedName name="EXT_BIAS">'Variable Management'!$B$344</definedName>
    <definedName name="Ext_VCC">'Variable Management'!#REF!</definedName>
    <definedName name="Fcross">'Variable Management'!$B$242</definedName>
    <definedName name="Fcross_Ch2">'Variable Management'!$D$242</definedName>
    <definedName name="Fdither">'Variable Management'!$B$191</definedName>
    <definedName name="Fesr">'Variable Management'!$B$239</definedName>
    <definedName name="Fesr_Ch2">'Variable Management'!$D$239</definedName>
    <definedName name="Fload_u">'Variable Management'!$B$234</definedName>
    <definedName name="Fload_u_Ch2">'Variable Management'!$D$234</definedName>
    <definedName name="Fp_dominant">'Variable Management'!$B$235</definedName>
    <definedName name="Fp_dominant_Ch2">'Variable Management'!$D$235</definedName>
    <definedName name="Fp1_u">'Variable Management'!$B$237</definedName>
    <definedName name="Fp1_u_Ch2">'Variable Management'!$D$237</definedName>
    <definedName name="Fp2_u">'Variable Management'!$B$238</definedName>
    <definedName name="Fp2_u_Ch2">'Variable Management'!$D$238</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Management'!$B$253</definedName>
    <definedName name="Fz1_u_Ch2">'Variable Management'!$D$253</definedName>
    <definedName name="GBW">'Variable Management'!$B$218</definedName>
    <definedName name="Gfs_Q1">'Variable Management'!$B$302</definedName>
    <definedName name="Gfs_Q2">'Variable Management'!$D$302</definedName>
    <definedName name="Gfs_Q3">'Variable Management'!$B$321</definedName>
    <definedName name="Gfs_Q4">'Variable Management'!$D$321</definedName>
    <definedName name="gm">'Variable Management'!$B$200</definedName>
    <definedName name="Icoutrms">'Variable Management'!$B$112</definedName>
    <definedName name="Ien_hys">'Variable Management'!$B$183</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Management'!$B$78</definedName>
    <definedName name="Ilimit2_DC">'Variable Management'!$D$78</definedName>
    <definedName name="INPUT_UVLO">'Variable Management'!$O$10</definedName>
    <definedName name="INPUT_UVLO_STUFFED">'Variable Management'!$O$11</definedName>
    <definedName name="Iout">'Variable Management'!$B$12</definedName>
    <definedName name="Iout_OCP_Vinmax">'Variable Management'!$B$100</definedName>
    <definedName name="Iout_OCP_Vinmin">'Variable Management'!$B$98</definedName>
    <definedName name="Iout_OCP_Vinnom">'Variable Management'!$B$99</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Management'!$D$100</definedName>
    <definedName name="Iout2_OCP_Vinmin">'Variable Management'!$D$98</definedName>
    <definedName name="Iout2_OCP_Vinnom">'Variable Management'!$D$99</definedName>
    <definedName name="Iq">'Variable Management'!$B$291</definedName>
    <definedName name="Ireverse">'Variable Management'!$B$333</definedName>
    <definedName name="Iripple_Vinmax">'Variable Management'!$B$59</definedName>
    <definedName name="Iripple_Vinmin">'Variable Management'!$B$57</definedName>
    <definedName name="Iripple_Vinnom">'Variable Management'!$B$58</definedName>
    <definedName name="Iripple2_Vinmax">'Variable Management'!$D$59</definedName>
    <definedName name="Iripple2_Vinmin">'Variable Management'!$D$57</definedName>
    <definedName name="Iripple2_Vinnom">'Variable Management'!$D$58</definedName>
    <definedName name="Iss">'Variable Management'!$B$165</definedName>
    <definedName name="k">'Variable Management'!$B$214</definedName>
    <definedName name="k_buck">'Variable Management'!$B$211</definedName>
    <definedName name="k_Ch2">'Variable Management'!$D$214</definedName>
    <definedName name="kd">'Variable Management'!$B$224</definedName>
    <definedName name="Lf">'Variable Management'!$B$47</definedName>
    <definedName name="Lo_2">'Variable Management'!$D$47</definedName>
    <definedName name="Lopt">'Variable Management'!$B$44</definedName>
    <definedName name="Lopt2">'Variable Management'!$D$44</definedName>
    <definedName name="Ltc">'Variable Management'!$B$275</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umber_of_Phases">'Variable Management'!$U$15</definedName>
    <definedName name="Pi">'Variable Management'!$B$197</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Schematic'!$A$1:$J$76</definedName>
    <definedName name="_xlnm.Print_Area" localSheetId="0">'Design Regulator'!$A$1:$Q$113</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Management'!$B$215</definedName>
    <definedName name="Q_Ch2">'Variable Management'!$D$215</definedName>
    <definedName name="Qg_Q1">'Variable Management'!$B$296</definedName>
    <definedName name="Qg_Q2">'Variable Management'!$D$296</definedName>
    <definedName name="Qg_Q3">'Variable Management'!$B$315</definedName>
    <definedName name="Qg_Q4">'Variable Management'!$D$315</definedName>
    <definedName name="Qgd_Q1">'Variable Management'!$B$297</definedName>
    <definedName name="Qgd_Q2">'Variable Management'!$D$297</definedName>
    <definedName name="Qgd_Q3">'Variable Management'!$B$316</definedName>
    <definedName name="Qgd_Q4">'Variable Management'!$D$316</definedName>
    <definedName name="Qgs_Q1">'Variable Management'!$B$298</definedName>
    <definedName name="Qgs_Q2">'Variable Management'!$D$298</definedName>
    <definedName name="Qgs_Q3">'Variable Management'!$B$317</definedName>
    <definedName name="Qgs_Q4">'Variable Management'!$D$317</definedName>
    <definedName name="Qoss_Q1">'Variable Management'!$B$299</definedName>
    <definedName name="Qoss_Q2">'Variable Management'!$D$299</definedName>
    <definedName name="Qoss_Q3">'Variable Management'!$B$318</definedName>
    <definedName name="Qoss_Q4">'Variable Management'!$D$318</definedName>
    <definedName name="Qrr_Q2">'Variable Management'!$D$307</definedName>
    <definedName name="Qrr_Q4">'Variable Management'!$D$326</definedName>
    <definedName name="QrrSky_Q2">'Variable Management'!$B$332</definedName>
    <definedName name="QrrSky_Q4">'Variable Management'!$D$332</definedName>
    <definedName name="radconv" localSheetId="5">'Ch2 Stability Calculations'!$Q$6</definedName>
    <definedName name="radconv">'Stability Calculations'!$Q$6</definedName>
    <definedName name="Rcea1">'Variable Management'!$B$243</definedName>
    <definedName name="Rcea1_u">'Variable Management'!$B$248</definedName>
    <definedName name="Rcea2">'Variable Management'!$D$243</definedName>
    <definedName name="Rcea2_u">'Variable Management'!$D$248</definedName>
    <definedName name="RCinEsr">'Variable Management'!$B$154</definedName>
    <definedName name="Rcnfg">'Variable Management'!$B$192</definedName>
    <definedName name="RCoutEsr">'Variable Management'!$B$127</definedName>
    <definedName name="Rdcr">'Variable Management'!$B$48</definedName>
    <definedName name="Rdcr2">'Variable Management'!$D$48</definedName>
    <definedName name="Rdson1">'Variable Management'!$B$294</definedName>
    <definedName name="Rdson2">'Variable Management'!$D$294</definedName>
    <definedName name="Rdson3">'Variable Management'!$B$313</definedName>
    <definedName name="Rdson4">'Variable Management'!$D$313</definedName>
    <definedName name="RdsonBotTc">'Variable Management'!$B$314</definedName>
    <definedName name="RdsonDRB">'Variable Management'!$B$285</definedName>
    <definedName name="RdsonDRB2">'Variable Management'!$B$286</definedName>
    <definedName name="RdsonDRT">'Variable Management'!$B$282</definedName>
    <definedName name="RdsonDRT2">'Variable Management'!$B$283</definedName>
    <definedName name="RdsonTopTc">'Variable Management'!$B$295</definedName>
    <definedName name="Rfadj">'Variable Management'!$B$30</definedName>
    <definedName name="Rfb1_">'Variable Management'!$B$256</definedName>
    <definedName name="Rfb2_">'Variable Management'!$B$257</definedName>
    <definedName name="Rfb2_u">'Variable Management'!$B$258</definedName>
    <definedName name="Rfb3_">'Variable Management'!$D$256</definedName>
    <definedName name="Rfb4_">'Variable Management'!$D$257</definedName>
    <definedName name="Rfb4_u">'Variable Management'!$D$258</definedName>
    <definedName name="Rfets">'Variable Management'!$B$264</definedName>
    <definedName name="Rgate1">'Variable Management'!$B$301</definedName>
    <definedName name="Rgate2">'Variable Management'!$D$301</definedName>
    <definedName name="Rgate3">'Variable Management'!$B$320</definedName>
    <definedName name="Rgate4">'Variable Management'!$D$320</definedName>
    <definedName name="Ri">'Variable Management'!$B$199</definedName>
    <definedName name="Ri_Ch2">'Variable Management'!$D$199</definedName>
    <definedName name="Ro">'Variable Management'!$B$232</definedName>
    <definedName name="Ro_Ch2">'Variable Management'!$D$232</definedName>
    <definedName name="RoEA">'Variable Management'!$B$220</definedName>
    <definedName name="Rout">'Variable Management'!$B$16</definedName>
    <definedName name="Rout2">'Variable Management'!$B$17</definedName>
    <definedName name="Rpg">'Variable Management'!$B$174</definedName>
    <definedName name="Rs">'Variable Management'!$B$94</definedName>
    <definedName name="Rs_Ch2">'Variable Management'!$D$94</definedName>
    <definedName name="Rs_ideal">'Variable Management'!$B$93</definedName>
    <definedName name="Rs2_ideal">'Variable Management'!$D$93</definedName>
    <definedName name="Rss">'Variable Management'!$B$166</definedName>
    <definedName name="Rss_u">'Variable Management'!$B$167</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Management'!$B$202</definedName>
    <definedName name="Se_ext_Ch2">'Variable Management'!$D$202</definedName>
    <definedName name="SENSING_TYPE">'Variable Management'!$AA$15</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Management'!$B$273</definedName>
    <definedName name="Tf_buck">'Variable Management'!$B$340</definedName>
    <definedName name="Tf_Ch2">'Variable Management'!$D$340</definedName>
    <definedName name="ThetaCa">'Variable Management'!$B$276</definedName>
    <definedName name="ThetaJA_Q1">'Variable Management'!$B$309</definedName>
    <definedName name="ThetaJA_Q2">'Variable Management'!$D$309</definedName>
    <definedName name="ThetaJA_Q3">'Variable Management'!$B$328</definedName>
    <definedName name="ThetaJA_Q4">'Variable Management'!$D$328</definedName>
    <definedName name="ThetaJaCtrl">'Variable Management'!$B$336</definedName>
    <definedName name="TL">'Variable Management'!$B$74</definedName>
    <definedName name="Tr_buck">'Variable Management'!$B$339</definedName>
    <definedName name="Tr_Ch2">'Variable Management'!$D$339</definedName>
    <definedName name="Tres">'Variable Management'!$B$170</definedName>
    <definedName name="Trr_Q1">'Variable Management'!$B$308</definedName>
    <definedName name="Trr_Q2">'Variable Management'!$D$308</definedName>
    <definedName name="Trr_Q3">'Variable Management'!$B$327</definedName>
    <definedName name="Trr_Q4">'Variable Management'!$D$327</definedName>
    <definedName name="Ts">'Variable Management'!$B$28</definedName>
    <definedName name="Tss">'Variable Management'!$B$164</definedName>
    <definedName name="VARIANT">'Variable Management'!$Y$23</definedName>
    <definedName name="VCC">'Variable Management'!$B$280</definedName>
    <definedName name="VfdSky_Q2">'Variable Management'!$B$331</definedName>
    <definedName name="VfdSky_Q4">'Variable Management'!$D$331</definedName>
    <definedName name="Vin">'Variable Management'!$B$8</definedName>
    <definedName name="VIN_max">'Variable Management'!$B$9</definedName>
    <definedName name="VIN_MAX_RATING">'Variable Management'!$X$24</definedName>
    <definedName name="VIN_min">'Variable Management'!$B$7</definedName>
    <definedName name="VIN_nom">'Variable Management'!$B$8</definedName>
    <definedName name="Vinripple1">'Variable Management'!$B$141</definedName>
    <definedName name="Vinripple2">'Variable Management'!$B$141+'Variable Management'!$D$141</definedName>
    <definedName name="Vo1_ripple">'Variable Management'!$B$117</definedName>
    <definedName name="Vo2_ripple">'Variable Management'!$D$117</definedName>
    <definedName name="Vout">'Variable Management'!$B$11</definedName>
    <definedName name="VOUT_MAX_RATING">'Variable Management'!$X$25</definedName>
    <definedName name="Vout2">'Variable Management'!$B$13</definedName>
    <definedName name="Vref">'Variable Management'!$B$29</definedName>
    <definedName name="Vsd_Q1">'Variable Management'!$B$306</definedName>
    <definedName name="Vsd_Q2">'Variable Management'!$D$306</definedName>
    <definedName name="Vsd_Q3">'Variable Management'!$B$325</definedName>
    <definedName name="Vsd_Q4">'Variable Management'!$D$325</definedName>
    <definedName name="Vsp_Q1">'Variable Management'!$B$304</definedName>
    <definedName name="Vsp_Q2">'Variable Management'!$D$304</definedName>
    <definedName name="Vsp_Q3">'Variable Management'!$B$323</definedName>
    <definedName name="Vsp_Q4">'Variable Management'!$D$323</definedName>
    <definedName name="Vth_Q1">'Variable Management'!$B$303</definedName>
    <definedName name="Vth_Q2">'Variable Management'!$D$303</definedName>
    <definedName name="Vth_Q3">'Variable Management'!$B$322</definedName>
    <definedName name="Vth_Q4">'Variable Management'!$D$322</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2" l="1"/>
  <c r="B94" i="2"/>
  <c r="X17" i="2" l="1"/>
  <c r="O11" i="2"/>
  <c r="B183" i="2" l="1"/>
  <c r="B181" i="2" l="1"/>
  <c r="B180" i="2"/>
  <c r="B182" i="2"/>
  <c r="B185" i="2" l="1"/>
  <c r="N15" i="8" s="1"/>
  <c r="F185" i="2"/>
  <c r="F186" i="2" s="1"/>
  <c r="F188" i="2" s="1"/>
  <c r="F189" i="2" s="1"/>
  <c r="H185" i="2"/>
  <c r="I70" i="16" l="1"/>
  <c r="X23" i="2"/>
  <c r="T17" i="2" l="1"/>
  <c r="T10" i="23"/>
  <c r="T11" i="23"/>
  <c r="T12" i="23"/>
  <c r="T13" i="23"/>
  <c r="T14" i="23"/>
  <c r="T15" i="23"/>
  <c r="T16" i="23"/>
  <c r="T17" i="23"/>
  <c r="T18" i="23"/>
  <c r="T19" i="23"/>
  <c r="T20" i="23"/>
  <c r="T21" i="23"/>
  <c r="T22" i="23"/>
  <c r="T23" i="23"/>
  <c r="T24" i="23"/>
  <c r="T25" i="23"/>
  <c r="T26" i="23"/>
  <c r="T27" i="23"/>
  <c r="T28" i="23"/>
  <c r="T29" i="23"/>
  <c r="T30" i="23"/>
  <c r="T31" i="23"/>
  <c r="T32" i="23"/>
  <c r="T33" i="23"/>
  <c r="T34" i="23"/>
  <c r="T35" i="23"/>
  <c r="T36" i="23"/>
  <c r="T37" i="23"/>
  <c r="T38" i="23"/>
  <c r="T39" i="23"/>
  <c r="T40" i="23"/>
  <c r="T41" i="23"/>
  <c r="T42" i="23"/>
  <c r="T43" i="23"/>
  <c r="T44" i="23"/>
  <c r="T45" i="23"/>
  <c r="T46" i="23"/>
  <c r="T47" i="23"/>
  <c r="T48" i="23"/>
  <c r="T49" i="23"/>
  <c r="T50" i="23"/>
  <c r="T51" i="23"/>
  <c r="T52" i="23"/>
  <c r="T53" i="23"/>
  <c r="T54" i="23"/>
  <c r="T55" i="23"/>
  <c r="T56" i="23"/>
  <c r="T57" i="23"/>
  <c r="T58" i="23"/>
  <c r="T59" i="23"/>
  <c r="T60" i="23"/>
  <c r="T61" i="23"/>
  <c r="T62" i="23"/>
  <c r="T63" i="23"/>
  <c r="T64" i="23"/>
  <c r="T65" i="23"/>
  <c r="T66" i="23"/>
  <c r="T67" i="23"/>
  <c r="T68" i="23"/>
  <c r="T69" i="23"/>
  <c r="T70" i="23"/>
  <c r="T71" i="23"/>
  <c r="T72" i="23"/>
  <c r="T73" i="23"/>
  <c r="T74" i="23"/>
  <c r="T75" i="23"/>
  <c r="T76" i="23"/>
  <c r="T77" i="23"/>
  <c r="T78" i="23"/>
  <c r="T79" i="23"/>
  <c r="T80" i="23"/>
  <c r="T81" i="23"/>
  <c r="T82" i="23"/>
  <c r="T83" i="23"/>
  <c r="T84" i="23"/>
  <c r="T85" i="23"/>
  <c r="T86" i="23"/>
  <c r="T87" i="23"/>
  <c r="T88" i="23"/>
  <c r="T89" i="23"/>
  <c r="T90" i="23"/>
  <c r="T91" i="23"/>
  <c r="T92" i="23"/>
  <c r="T93" i="23"/>
  <c r="T94" i="23"/>
  <c r="T95" i="23"/>
  <c r="T96" i="23"/>
  <c r="T97" i="23"/>
  <c r="T98" i="23"/>
  <c r="T99" i="23"/>
  <c r="T100" i="23"/>
  <c r="T101" i="23"/>
  <c r="T102" i="23"/>
  <c r="T103" i="23"/>
  <c r="T104" i="23"/>
  <c r="T105" i="23"/>
  <c r="T106" i="23"/>
  <c r="T107" i="23"/>
  <c r="T108" i="23"/>
  <c r="T109" i="23"/>
  <c r="T9" i="23"/>
  <c r="B191" i="2"/>
  <c r="B170" i="2"/>
  <c r="B171" i="2" s="1"/>
  <c r="D60" i="1"/>
  <c r="L36" i="1"/>
  <c r="D70" i="16"/>
  <c r="C70" i="16"/>
  <c r="X25" i="2"/>
  <c r="X24" i="2"/>
  <c r="AN111" i="23"/>
  <c r="F88" i="2"/>
  <c r="AA16" i="2"/>
  <c r="B319" i="2"/>
  <c r="D319" i="2"/>
  <c r="D318" i="2"/>
  <c r="B318" i="2"/>
  <c r="D300" i="2"/>
  <c r="D299" i="2"/>
  <c r="B300" i="2"/>
  <c r="B299" i="2"/>
  <c r="D73" i="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U15" i="2"/>
  <c r="D146" i="2" s="1"/>
  <c r="A628" i="25"/>
  <c r="B273" i="2"/>
  <c r="A2" i="19"/>
  <c r="A2" i="24"/>
  <c r="Z8" i="2"/>
  <c r="K8" i="2"/>
  <c r="A2" i="22"/>
  <c r="B12" i="2"/>
  <c r="J72" i="21" s="1"/>
  <c r="A50" i="16"/>
  <c r="D386" i="2"/>
  <c r="D320" i="2"/>
  <c r="B52" i="23" s="1"/>
  <c r="B320" i="2"/>
  <c r="B42" i="23" s="1"/>
  <c r="B55" i="23"/>
  <c r="D326" i="2"/>
  <c r="B54" i="23" s="1"/>
  <c r="B60" i="23"/>
  <c r="B35" i="23"/>
  <c r="B33" i="23"/>
  <c r="B30" i="23"/>
  <c r="B28" i="23"/>
  <c r="B27" i="23"/>
  <c r="B21" i="23"/>
  <c r="B16" i="23"/>
  <c r="T10" i="2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c r="D256" i="2"/>
  <c r="N11" i="8" s="1"/>
  <c r="O11" i="8" s="1"/>
  <c r="D242" i="2"/>
  <c r="B11" i="2"/>
  <c r="L17" i="2" s="1"/>
  <c r="D70" i="1" s="1"/>
  <c r="K66" i="1"/>
  <c r="U13" i="2"/>
  <c r="D127" i="2"/>
  <c r="B25" i="23"/>
  <c r="D123" i="2"/>
  <c r="B24" i="23" s="1"/>
  <c r="D117" i="2"/>
  <c r="D119" i="2" s="1"/>
  <c r="D78" i="2"/>
  <c r="D48" i="2"/>
  <c r="D73" i="2" s="1"/>
  <c r="D47" i="2"/>
  <c r="B18" i="23" s="1"/>
  <c r="B14" i="2"/>
  <c r="J24" i="23" s="1"/>
  <c r="B13" i="2"/>
  <c r="O17" i="2" s="1"/>
  <c r="I70" i="1" s="1"/>
  <c r="B192" i="2"/>
  <c r="A385" i="2" s="1"/>
  <c r="C54" i="16"/>
  <c r="I48" i="16"/>
  <c r="I65" i="16"/>
  <c r="J48" i="16"/>
  <c r="I64" i="16"/>
  <c r="C64" i="16"/>
  <c r="D64" i="16" s="1"/>
  <c r="J47" i="16"/>
  <c r="H65" i="16"/>
  <c r="I47" i="16"/>
  <c r="H64" i="16"/>
  <c r="J58" i="16"/>
  <c r="J65" i="16"/>
  <c r="H58" i="16"/>
  <c r="H48" i="16"/>
  <c r="H47" i="16"/>
  <c r="I58" i="16"/>
  <c r="I56" i="16"/>
  <c r="J64" i="16"/>
  <c r="K9" i="2"/>
  <c r="D410" i="2"/>
  <c r="D366" i="2"/>
  <c r="C378" i="2"/>
  <c r="C376" i="2"/>
  <c r="C377" i="2"/>
  <c r="Z9" i="2"/>
  <c r="D362" i="2"/>
  <c r="I84" i="1"/>
  <c r="F84" i="1"/>
  <c r="I88" i="21"/>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B61" i="21"/>
  <c r="B56" i="21"/>
  <c r="B36" i="21"/>
  <c r="B30" i="21"/>
  <c r="B28" i="21"/>
  <c r="B27" i="21"/>
  <c r="B21" i="21"/>
  <c r="D332" i="2"/>
  <c r="AM4" i="23" s="1"/>
  <c r="D331" i="2"/>
  <c r="B58" i="23" s="1"/>
  <c r="D328" i="2"/>
  <c r="B56" i="23" s="1"/>
  <c r="D325" i="2"/>
  <c r="B53" i="23" s="1"/>
  <c r="D322" i="2"/>
  <c r="D321" i="2"/>
  <c r="D317" i="2"/>
  <c r="D316" i="2"/>
  <c r="D315" i="2"/>
  <c r="B51" i="23" s="1"/>
  <c r="D313" i="2"/>
  <c r="D309" i="2"/>
  <c r="B57" i="21" s="1"/>
  <c r="D307" i="2"/>
  <c r="D306" i="2"/>
  <c r="B54" i="21" s="1"/>
  <c r="D303" i="2"/>
  <c r="D302" i="2"/>
  <c r="D301" i="2"/>
  <c r="B53" i="21" s="1"/>
  <c r="D298" i="2"/>
  <c r="D297" i="2"/>
  <c r="D296" i="2"/>
  <c r="B52" i="21" s="1"/>
  <c r="D294" i="2"/>
  <c r="B50" i="21" s="1"/>
  <c r="K129" i="2"/>
  <c r="B321" i="2"/>
  <c r="B43" i="23" s="1"/>
  <c r="B322" i="2"/>
  <c r="B44" i="23" s="1"/>
  <c r="B316" i="2"/>
  <c r="B40" i="23" s="1"/>
  <c r="B317" i="2"/>
  <c r="B41" i="23" s="1"/>
  <c r="B373" i="2"/>
  <c r="A49" i="16"/>
  <c r="A362" i="2"/>
  <c r="B369" i="2"/>
  <c r="A368"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I3" i="17"/>
  <c r="B382" i="2"/>
  <c r="A382" i="2"/>
  <c r="B219" i="2"/>
  <c r="B236" i="2" s="1"/>
  <c r="B381" i="2"/>
  <c r="A381" i="2"/>
  <c r="B380" i="2"/>
  <c r="A380" i="2"/>
  <c r="AE687"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21" i="2"/>
  <c r="H221" i="2" s="1"/>
  <c r="Q6" i="17"/>
  <c r="A364" i="2"/>
  <c r="H3" i="8"/>
  <c r="B123" i="2"/>
  <c r="F252" i="2" s="1"/>
  <c r="B78" i="2"/>
  <c r="B8" i="2"/>
  <c r="B9" i="2"/>
  <c r="B398" i="2"/>
  <c r="B16" i="21"/>
  <c r="A398" i="2"/>
  <c r="B27" i="2"/>
  <c r="N22" i="8"/>
  <c r="D55" i="16"/>
  <c r="I55" i="16"/>
  <c r="D56" i="16"/>
  <c r="C62" i="16"/>
  <c r="D62" i="16" s="1"/>
  <c r="D69" i="16"/>
  <c r="C53" i="16"/>
  <c r="D52" i="16"/>
  <c r="D50" i="16"/>
  <c r="D49" i="16"/>
  <c r="D51" i="16"/>
  <c r="D44" i="16"/>
  <c r="B386" i="2"/>
  <c r="F66" i="1"/>
  <c r="D67" i="16"/>
  <c r="B127" i="2"/>
  <c r="B25" i="21" s="1"/>
  <c r="B242" i="2"/>
  <c r="B47" i="2"/>
  <c r="B18" i="21" s="1"/>
  <c r="B141" i="2"/>
  <c r="B332" i="2"/>
  <c r="B60" i="21" s="1"/>
  <c r="B301" i="2"/>
  <c r="B43" i="21" s="1"/>
  <c r="B362" i="2"/>
  <c r="B48" i="2"/>
  <c r="B7" i="2"/>
  <c r="B148" i="2"/>
  <c r="B22" i="21" s="1"/>
  <c r="B294" i="2"/>
  <c r="B38" i="21" s="1"/>
  <c r="B313" i="2"/>
  <c r="B37" i="23" s="1"/>
  <c r="B256" i="2"/>
  <c r="N9" i="8" s="1"/>
  <c r="O9" i="8" s="1"/>
  <c r="B328" i="2"/>
  <c r="B47" i="23" s="1"/>
  <c r="B331" i="2"/>
  <c r="B59" i="21" s="1"/>
  <c r="B325" i="2"/>
  <c r="B46" i="23" s="1"/>
  <c r="B164" i="2"/>
  <c r="B166" i="2" s="1"/>
  <c r="B3" i="8" s="1"/>
  <c r="B296" i="2"/>
  <c r="B315" i="2"/>
  <c r="B306" i="2"/>
  <c r="B47" i="21" s="1"/>
  <c r="B297" i="2"/>
  <c r="B41" i="21" s="1"/>
  <c r="B298" i="2"/>
  <c r="B42" i="21" s="1"/>
  <c r="B303" i="2"/>
  <c r="B45" i="21" s="1"/>
  <c r="B302" i="2"/>
  <c r="B44" i="21" s="1"/>
  <c r="B410" i="2"/>
  <c r="B309" i="2"/>
  <c r="B48" i="21" s="1"/>
  <c r="B275" i="2"/>
  <c r="B154" i="2"/>
  <c r="B23" i="23" s="1"/>
  <c r="B295" i="2"/>
  <c r="B38" i="23" s="1"/>
  <c r="B314" i="2"/>
  <c r="D6" i="6"/>
  <c r="D7" i="6"/>
  <c r="D9" i="6"/>
  <c r="D10" i="6"/>
  <c r="D2" i="11"/>
  <c r="B4" i="11" s="1"/>
  <c r="D4" i="11" s="1"/>
  <c r="B6" i="11" s="1"/>
  <c r="D6" i="11" s="1"/>
  <c r="D3" i="11"/>
  <c r="B5" i="11"/>
  <c r="D5" i="11"/>
  <c r="A34" i="8"/>
  <c r="A46" i="8"/>
  <c r="A58" i="8"/>
  <c r="A70" i="8"/>
  <c r="A82" i="8"/>
  <c r="A94" i="8"/>
  <c r="A106" i="8" s="1"/>
  <c r="A118" i="8" s="1"/>
  <c r="A130" i="8" s="1"/>
  <c r="A142" i="8" s="1"/>
  <c r="A154" i="8" s="1"/>
  <c r="A35" i="8"/>
  <c r="A47" i="8" s="1"/>
  <c r="A59" i="8" s="1"/>
  <c r="A71" i="8" s="1"/>
  <c r="A83" i="8" s="1"/>
  <c r="A95" i="8" s="1"/>
  <c r="A107" i="8" s="1"/>
  <c r="A119" i="8" s="1"/>
  <c r="A131" i="8" s="1"/>
  <c r="A143" i="8" s="1"/>
  <c r="A155" i="8" s="1"/>
  <c r="A36" i="8"/>
  <c r="A37" i="8"/>
  <c r="A38" i="8"/>
  <c r="A39" i="8"/>
  <c r="A40" i="8"/>
  <c r="A52" i="8"/>
  <c r="A64" i="8"/>
  <c r="A76" i="8"/>
  <c r="A88" i="8"/>
  <c r="A100" i="8"/>
  <c r="A112" i="8"/>
  <c r="A124" i="8"/>
  <c r="A136" i="8"/>
  <c r="A148" i="8"/>
  <c r="A41" i="8"/>
  <c r="A53" i="8"/>
  <c r="A65" i="8"/>
  <c r="A77" i="8"/>
  <c r="A89" i="8"/>
  <c r="A101" i="8"/>
  <c r="A113" i="8"/>
  <c r="A125" i="8"/>
  <c r="A137" i="8"/>
  <c r="A149" i="8"/>
  <c r="A42" i="8"/>
  <c r="A54" i="8"/>
  <c r="A66" i="8"/>
  <c r="A78" i="8"/>
  <c r="A90" i="8"/>
  <c r="A102" i="8"/>
  <c r="A114" i="8"/>
  <c r="A126" i="8"/>
  <c r="A138" i="8"/>
  <c r="A150" i="8"/>
  <c r="A43" i="8"/>
  <c r="A55" i="8"/>
  <c r="A67" i="8"/>
  <c r="A79" i="8"/>
  <c r="A91" i="8"/>
  <c r="A103" i="8"/>
  <c r="A115" i="8"/>
  <c r="A127" i="8"/>
  <c r="A139" i="8"/>
  <c r="A151" i="8"/>
  <c r="A44" i="8"/>
  <c r="A45" i="8"/>
  <c r="A48" i="8"/>
  <c r="A60" i="8"/>
  <c r="A72" i="8"/>
  <c r="A84" i="8"/>
  <c r="A96" i="8"/>
  <c r="A108" i="8"/>
  <c r="A120" i="8"/>
  <c r="A132" i="8"/>
  <c r="A144" i="8"/>
  <c r="A156" i="8"/>
  <c r="A49" i="8"/>
  <c r="A61" i="8"/>
  <c r="A73" i="8"/>
  <c r="A85" i="8"/>
  <c r="A97" i="8"/>
  <c r="A109" i="8"/>
  <c r="A121" i="8"/>
  <c r="A133" i="8"/>
  <c r="A145" i="8"/>
  <c r="A157" i="8"/>
  <c r="A50" i="8"/>
  <c r="A62" i="8"/>
  <c r="A74" i="8"/>
  <c r="A86" i="8"/>
  <c r="A98" i="8"/>
  <c r="A110" i="8"/>
  <c r="A122" i="8"/>
  <c r="A134" i="8"/>
  <c r="A146" i="8"/>
  <c r="A158" i="8"/>
  <c r="A51" i="8"/>
  <c r="A63" i="8"/>
  <c r="A75" i="8"/>
  <c r="A87" i="8"/>
  <c r="A99" i="8"/>
  <c r="A111" i="8"/>
  <c r="A123" i="8"/>
  <c r="A135" i="8"/>
  <c r="A147" i="8"/>
  <c r="A159" i="8"/>
  <c r="A56" i="8"/>
  <c r="A68" i="8"/>
  <c r="A80" i="8"/>
  <c r="A92" i="8"/>
  <c r="A104" i="8"/>
  <c r="A116" i="8"/>
  <c r="A128" i="8"/>
  <c r="A140" i="8"/>
  <c r="A152" i="8"/>
  <c r="A57" i="8"/>
  <c r="A69" i="8"/>
  <c r="A81" i="8"/>
  <c r="A93" i="8"/>
  <c r="A105" i="8"/>
  <c r="A117" i="8"/>
  <c r="A129" i="8"/>
  <c r="A141" i="8"/>
  <c r="A153" i="8"/>
  <c r="B117" i="2"/>
  <c r="B119" i="2" s="1"/>
  <c r="A366" i="2"/>
  <c r="B366" i="2"/>
  <c r="A386" i="2"/>
  <c r="B409" i="2"/>
  <c r="B364" i="2"/>
  <c r="B394" i="2"/>
  <c r="A394" i="2"/>
  <c r="B3" i="6"/>
  <c r="H121" i="2"/>
  <c r="B397" i="2"/>
  <c r="B395" i="2"/>
  <c r="A628" i="17"/>
  <c r="F6" i="24"/>
  <c r="B15" i="23" l="1"/>
  <c r="B15" i="21"/>
  <c r="I14" i="21"/>
  <c r="I102" i="21"/>
  <c r="I98" i="21"/>
  <c r="I94" i="21"/>
  <c r="I90" i="21"/>
  <c r="I86" i="21"/>
  <c r="I82" i="21"/>
  <c r="I78" i="21"/>
  <c r="I74" i="21"/>
  <c r="I70" i="21"/>
  <c r="I66" i="21"/>
  <c r="I62" i="21"/>
  <c r="I58" i="21"/>
  <c r="I54" i="21"/>
  <c r="I50" i="21"/>
  <c r="I46" i="21"/>
  <c r="I42" i="21"/>
  <c r="I38" i="21"/>
  <c r="I34" i="21"/>
  <c r="I30" i="21"/>
  <c r="I26" i="21"/>
  <c r="I22" i="21"/>
  <c r="I18" i="21"/>
  <c r="D364" i="2"/>
  <c r="I10" i="21"/>
  <c r="D64" i="1"/>
  <c r="D67" i="1"/>
  <c r="D66" i="1"/>
  <c r="D65" i="1"/>
  <c r="D34" i="1"/>
  <c r="D37" i="1"/>
  <c r="D35" i="1"/>
  <c r="D38" i="1"/>
  <c r="H159" i="8"/>
  <c r="H158" i="8"/>
  <c r="H157" i="8"/>
  <c r="H156" i="8"/>
  <c r="H155" i="8"/>
  <c r="H154" i="8"/>
  <c r="H153" i="8"/>
  <c r="H152" i="8"/>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c r="O22" i="8" s="1"/>
  <c r="B363" i="2"/>
  <c r="A363" i="2"/>
  <c r="B20" i="23"/>
  <c r="B20" i="21"/>
  <c r="B50" i="23"/>
  <c r="B51" i="21"/>
  <c r="B14" i="21"/>
  <c r="D96" i="2"/>
  <c r="J20" i="1" s="1"/>
  <c r="D199" i="2"/>
  <c r="J15" i="23"/>
  <c r="B19" i="23"/>
  <c r="H250" i="17"/>
  <c r="H511" i="17"/>
  <c r="H116" i="17"/>
  <c r="B204" i="2"/>
  <c r="B39" i="2"/>
  <c r="B144" i="2" s="1"/>
  <c r="G152" i="17"/>
  <c r="G19" i="25"/>
  <c r="H175" i="17"/>
  <c r="F69" i="1"/>
  <c r="B37" i="2"/>
  <c r="B69" i="21" s="1"/>
  <c r="B70" i="21" s="1"/>
  <c r="B222" i="2"/>
  <c r="C3" i="17" s="1"/>
  <c r="L21" i="2"/>
  <c r="G627" i="25"/>
  <c r="B12" i="21"/>
  <c r="H92" i="25"/>
  <c r="B344" i="2"/>
  <c r="B346" i="2" s="1"/>
  <c r="G255" i="17"/>
  <c r="G477" i="17"/>
  <c r="H152" i="17"/>
  <c r="G430" i="17"/>
  <c r="G107" i="17"/>
  <c r="H440" i="17"/>
  <c r="G417" i="17"/>
  <c r="G150" i="17"/>
  <c r="H263" i="17"/>
  <c r="H384" i="17"/>
  <c r="H328" i="17"/>
  <c r="H127" i="17"/>
  <c r="G373" i="17"/>
  <c r="G140" i="17"/>
  <c r="G585" i="17"/>
  <c r="H144" i="17"/>
  <c r="H580" i="17"/>
  <c r="H436" i="17"/>
  <c r="G556" i="17"/>
  <c r="H97" i="17"/>
  <c r="G439" i="17"/>
  <c r="H494" i="17"/>
  <c r="G254" i="17"/>
  <c r="H115" i="17"/>
  <c r="G479" i="17"/>
  <c r="H237" i="17"/>
  <c r="H312" i="17"/>
  <c r="G242" i="17"/>
  <c r="G364" i="17"/>
  <c r="G296" i="17"/>
  <c r="G305" i="17"/>
  <c r="G545" i="17"/>
  <c r="H377" i="17"/>
  <c r="H37" i="17"/>
  <c r="H339" i="17"/>
  <c r="G121" i="17"/>
  <c r="H286" i="17"/>
  <c r="B39" i="21"/>
  <c r="H36" i="21"/>
  <c r="H627" i="25"/>
  <c r="H243" i="17"/>
  <c r="G309" i="17"/>
  <c r="H179" i="17"/>
  <c r="H520" i="17"/>
  <c r="H601" i="17"/>
  <c r="G300" i="17"/>
  <c r="G481" i="17"/>
  <c r="G211" i="17"/>
  <c r="G15" i="17"/>
  <c r="H271" i="17"/>
  <c r="H527" i="17"/>
  <c r="H17" i="17"/>
  <c r="H274" i="17"/>
  <c r="G446" i="17"/>
  <c r="H159" i="17"/>
  <c r="G603" i="17"/>
  <c r="G76" i="17"/>
  <c r="H516" i="17"/>
  <c r="G540" i="17"/>
  <c r="H462" i="17"/>
  <c r="H205" i="17"/>
  <c r="G280" i="17"/>
  <c r="H361" i="17"/>
  <c r="G105" i="17"/>
  <c r="H100" i="17"/>
  <c r="G461" i="17"/>
  <c r="G88" i="17"/>
  <c r="H134" i="17"/>
  <c r="H504" i="17"/>
  <c r="H342" i="17"/>
  <c r="G375" i="17"/>
  <c r="G279" i="17"/>
  <c r="G215" i="17"/>
  <c r="G149" i="17"/>
  <c r="G226" i="17"/>
  <c r="H253" i="17"/>
  <c r="G184" i="17"/>
  <c r="G194" i="17"/>
  <c r="G456" i="17"/>
  <c r="H157" i="17"/>
  <c r="G583" i="17"/>
  <c r="G34" i="17"/>
  <c r="H22" i="21"/>
  <c r="H514" i="25"/>
  <c r="H627" i="17"/>
  <c r="H552" i="17"/>
  <c r="G134" i="17"/>
  <c r="G520" i="17"/>
  <c r="G136" i="17"/>
  <c r="H340" i="17"/>
  <c r="H573" i="17"/>
  <c r="G391" i="17"/>
  <c r="G83" i="17"/>
  <c r="G31" i="17"/>
  <c r="H287" i="17"/>
  <c r="H543" i="17"/>
  <c r="H49" i="17"/>
  <c r="H306" i="17"/>
  <c r="G462" i="17"/>
  <c r="H191" i="17"/>
  <c r="G571" i="17"/>
  <c r="G626" i="17"/>
  <c r="H452" i="17"/>
  <c r="G524" i="17"/>
  <c r="H430" i="17"/>
  <c r="H173" i="17"/>
  <c r="H612" i="17"/>
  <c r="H345" i="17"/>
  <c r="G89" i="17"/>
  <c r="H84" i="17"/>
  <c r="G445" i="17"/>
  <c r="G570" i="17"/>
  <c r="H102" i="17"/>
  <c r="G359" i="17"/>
  <c r="H606" i="17"/>
  <c r="G473" i="17"/>
  <c r="H389" i="17"/>
  <c r="G183" i="17"/>
  <c r="G38" i="17"/>
  <c r="G401" i="17"/>
  <c r="H189" i="17"/>
  <c r="G345" i="17"/>
  <c r="G130" i="17"/>
  <c r="H64" i="17"/>
  <c r="H596" i="17"/>
  <c r="H548" i="17"/>
  <c r="H362" i="17"/>
  <c r="H107" i="21"/>
  <c r="H138" i="25"/>
  <c r="H628" i="17"/>
  <c r="H500" i="17"/>
  <c r="G372" i="17"/>
  <c r="G341" i="17"/>
  <c r="G562" i="17"/>
  <c r="G84" i="17"/>
  <c r="H509" i="17"/>
  <c r="H610" i="17"/>
  <c r="H110" i="17"/>
  <c r="G47" i="17"/>
  <c r="H303" i="17"/>
  <c r="H559" i="17"/>
  <c r="H81" i="17"/>
  <c r="H338" i="17"/>
  <c r="G478" i="17"/>
  <c r="H223" i="17"/>
  <c r="G539" i="17"/>
  <c r="H203" i="17"/>
  <c r="H388" i="17"/>
  <c r="G508" i="17"/>
  <c r="H398" i="17"/>
  <c r="H141" i="17"/>
  <c r="H585" i="17"/>
  <c r="H329" i="17"/>
  <c r="G73" i="17"/>
  <c r="H68" i="17"/>
  <c r="G415" i="17"/>
  <c r="G538" i="17"/>
  <c r="G623" i="17"/>
  <c r="G529" i="17"/>
  <c r="G325" i="17"/>
  <c r="G53" i="17"/>
  <c r="H517" i="17"/>
  <c r="G87" i="17"/>
  <c r="G252" i="17"/>
  <c r="G486" i="17"/>
  <c r="G304" i="17"/>
  <c r="H554" i="17"/>
  <c r="H193" i="17"/>
  <c r="H316" i="17"/>
  <c r="H529" i="17"/>
  <c r="G416" i="17"/>
  <c r="G59" i="17"/>
  <c r="H105" i="21"/>
  <c r="G135" i="25"/>
  <c r="G628" i="17"/>
  <c r="G276" i="17"/>
  <c r="H453" i="17"/>
  <c r="H422" i="17"/>
  <c r="H506" i="17"/>
  <c r="H83" i="17"/>
  <c r="H445" i="17"/>
  <c r="H472" i="17"/>
  <c r="H222" i="17"/>
  <c r="G63" i="17"/>
  <c r="H319" i="17"/>
  <c r="H575" i="17"/>
  <c r="H113" i="17"/>
  <c r="H370" i="17"/>
  <c r="G494" i="17"/>
  <c r="H255" i="17"/>
  <c r="G507" i="17"/>
  <c r="H139" i="17"/>
  <c r="H324" i="17"/>
  <c r="G492" i="17"/>
  <c r="H366" i="17"/>
  <c r="H109" i="17"/>
  <c r="H569" i="17"/>
  <c r="H313" i="17"/>
  <c r="G57" i="17"/>
  <c r="H52" i="17"/>
  <c r="G383" i="17"/>
  <c r="G441" i="17"/>
  <c r="H98" i="17"/>
  <c r="G561" i="17"/>
  <c r="H19" i="17"/>
  <c r="G117" i="17"/>
  <c r="H261" i="17"/>
  <c r="H210" i="17"/>
  <c r="G99" i="17"/>
  <c r="H368" i="17"/>
  <c r="G272" i="17"/>
  <c r="G170" i="17"/>
  <c r="G406" i="17"/>
  <c r="G595" i="17"/>
  <c r="G81" i="17"/>
  <c r="G288" i="17"/>
  <c r="H305" i="17"/>
  <c r="H91" i="21"/>
  <c r="G205" i="25"/>
  <c r="G457" i="17"/>
  <c r="G197" i="17"/>
  <c r="G166" i="17"/>
  <c r="H249" i="17"/>
  <c r="G560" i="17"/>
  <c r="H381" i="17"/>
  <c r="H296" i="17"/>
  <c r="H94" i="17"/>
  <c r="G79" i="17"/>
  <c r="H335" i="17"/>
  <c r="H592" i="17"/>
  <c r="H145" i="17"/>
  <c r="H402" i="17"/>
  <c r="G510" i="17"/>
  <c r="G32" i="17"/>
  <c r="G475" i="17"/>
  <c r="H75" i="17"/>
  <c r="G260" i="17"/>
  <c r="G476" i="17"/>
  <c r="H334" i="17"/>
  <c r="H77" i="17"/>
  <c r="H553" i="17"/>
  <c r="H297" i="17"/>
  <c r="G41" i="17"/>
  <c r="H36" i="17"/>
  <c r="G351" i="17"/>
  <c r="H522" i="17"/>
  <c r="H82" i="17"/>
  <c r="H168" i="17"/>
  <c r="H147" i="17"/>
  <c r="H309" i="17"/>
  <c r="G568" i="17"/>
  <c r="H178" i="17"/>
  <c r="G531" i="17"/>
  <c r="G587" i="17"/>
  <c r="H513" i="17"/>
  <c r="G394" i="17"/>
  <c r="G374" i="17"/>
  <c r="H413" i="17"/>
  <c r="G17" i="17"/>
  <c r="G241" i="17"/>
  <c r="H571" i="17"/>
  <c r="H75" i="21"/>
  <c r="H183" i="25"/>
  <c r="G163" i="17"/>
  <c r="H192" i="17"/>
  <c r="H165" i="17"/>
  <c r="G306" i="17"/>
  <c r="G496" i="17"/>
  <c r="H317" i="17"/>
  <c r="G40" i="17"/>
  <c r="H26" i="17"/>
  <c r="G95" i="17"/>
  <c r="H351" i="17"/>
  <c r="G270" i="17"/>
  <c r="H177" i="17"/>
  <c r="H434" i="17"/>
  <c r="G526" i="17"/>
  <c r="G64" i="17"/>
  <c r="G443" i="17"/>
  <c r="H602" i="17"/>
  <c r="G196" i="17"/>
  <c r="G460" i="17"/>
  <c r="H302" i="17"/>
  <c r="H45" i="17"/>
  <c r="H537" i="17"/>
  <c r="H281" i="17"/>
  <c r="G25" i="17"/>
  <c r="H20" i="17"/>
  <c r="G319" i="17"/>
  <c r="H458" i="17"/>
  <c r="H190" i="17"/>
  <c r="H200" i="17"/>
  <c r="H276" i="17"/>
  <c r="H565" i="17"/>
  <c r="G116" i="17"/>
  <c r="G322" i="17"/>
  <c r="H424" i="17"/>
  <c r="G347" i="17"/>
  <c r="H385" i="17"/>
  <c r="G330" i="17"/>
  <c r="H487" i="17"/>
  <c r="H408" i="17"/>
  <c r="H76" i="17"/>
  <c r="G597" i="17"/>
  <c r="H107" i="17"/>
  <c r="H73" i="21"/>
  <c r="H241" i="25"/>
  <c r="H617" i="17"/>
  <c r="G419" i="17"/>
  <c r="G553" i="17"/>
  <c r="G388" i="17"/>
  <c r="H387" i="17"/>
  <c r="G421" i="17"/>
  <c r="G253" i="17"/>
  <c r="H39" i="17"/>
  <c r="H58" i="17"/>
  <c r="G111" i="17"/>
  <c r="H367" i="17"/>
  <c r="G286" i="17"/>
  <c r="H209" i="17"/>
  <c r="H466" i="17"/>
  <c r="G542" i="17"/>
  <c r="G96" i="17"/>
  <c r="G379" i="17"/>
  <c r="G588" i="17"/>
  <c r="G132" i="17"/>
  <c r="G444" i="17"/>
  <c r="H270" i="17"/>
  <c r="G440" i="17"/>
  <c r="H521" i="17"/>
  <c r="G265" i="17"/>
  <c r="H260" i="17"/>
  <c r="H603" i="17"/>
  <c r="G287" i="17"/>
  <c r="H265" i="17"/>
  <c r="H254" i="17"/>
  <c r="G45" i="17"/>
  <c r="G447" i="17"/>
  <c r="G292" i="17"/>
  <c r="H314" i="17"/>
  <c r="G26" i="17"/>
  <c r="H570" i="17"/>
  <c r="G172" i="17"/>
  <c r="H353" i="17"/>
  <c r="G219" i="17"/>
  <c r="H455" i="17"/>
  <c r="H327" i="17"/>
  <c r="G431" i="17"/>
  <c r="G469" i="17"/>
  <c r="H17" i="21"/>
  <c r="G337" i="25"/>
  <c r="G617" i="17"/>
  <c r="H622" i="17"/>
  <c r="H582" i="17"/>
  <c r="H488" i="17"/>
  <c r="H604" i="17"/>
  <c r="G131" i="17"/>
  <c r="G293" i="17"/>
  <c r="G189" i="17"/>
  <c r="G514" i="17"/>
  <c r="H90" i="17"/>
  <c r="G127" i="17"/>
  <c r="H383" i="17"/>
  <c r="G302" i="17"/>
  <c r="H241" i="17"/>
  <c r="H498" i="17"/>
  <c r="G558" i="17"/>
  <c r="G128" i="17"/>
  <c r="G315" i="17"/>
  <c r="G599" i="17"/>
  <c r="G68" i="17"/>
  <c r="G413" i="17"/>
  <c r="G238" i="17"/>
  <c r="G424" i="17"/>
  <c r="H505" i="17"/>
  <c r="G249" i="17"/>
  <c r="H244" i="17"/>
  <c r="G605" i="17"/>
  <c r="H594" i="17"/>
  <c r="H201" i="17"/>
  <c r="G51" i="17"/>
  <c r="G173" i="17"/>
  <c r="G511" i="17"/>
  <c r="H358" i="17"/>
  <c r="H199" i="17"/>
  <c r="G168" i="17"/>
  <c r="G70" i="17"/>
  <c r="G44" i="17"/>
  <c r="G129" i="17"/>
  <c r="G155" i="17"/>
  <c r="H359" i="17"/>
  <c r="H161" i="17"/>
  <c r="G303" i="17"/>
  <c r="H443" i="17"/>
  <c r="G291" i="25"/>
  <c r="G617" i="25"/>
  <c r="G622" i="17"/>
  <c r="G340" i="17"/>
  <c r="G530" i="17"/>
  <c r="H469" i="17"/>
  <c r="H14" i="17"/>
  <c r="H502" i="17"/>
  <c r="G125" i="17"/>
  <c r="G329" i="17"/>
  <c r="H122" i="17"/>
  <c r="G143" i="17"/>
  <c r="H399" i="17"/>
  <c r="G318" i="17"/>
  <c r="G18" i="17"/>
  <c r="H530" i="17"/>
  <c r="G574" i="17"/>
  <c r="G160" i="17"/>
  <c r="H588" i="17"/>
  <c r="G567" i="17"/>
  <c r="H259" i="17"/>
  <c r="G381" i="17"/>
  <c r="G206" i="17"/>
  <c r="G408" i="17"/>
  <c r="H489" i="17"/>
  <c r="G233" i="17"/>
  <c r="H228" i="17"/>
  <c r="G589" i="17"/>
  <c r="H560" i="17"/>
  <c r="G442" i="17"/>
  <c r="H307" i="17"/>
  <c r="G205" i="17"/>
  <c r="H348" i="17"/>
  <c r="H486" i="17"/>
  <c r="G37" i="17"/>
  <c r="H88" i="17"/>
  <c r="G504" i="17"/>
  <c r="G275" i="17"/>
  <c r="G97" i="17"/>
  <c r="H214" i="17"/>
  <c r="G103" i="17"/>
  <c r="G162" i="17"/>
  <c r="H490" i="17"/>
  <c r="G187" i="17"/>
  <c r="H102" i="21"/>
  <c r="AO93" i="21"/>
  <c r="H483" i="25"/>
  <c r="H617" i="25"/>
  <c r="G622" i="25"/>
  <c r="G165" i="17"/>
  <c r="H185" i="17"/>
  <c r="H341" i="17"/>
  <c r="G515" i="17"/>
  <c r="H374" i="17"/>
  <c r="G61" i="17"/>
  <c r="H410" i="17"/>
  <c r="H154" i="17"/>
  <c r="G159" i="17"/>
  <c r="H415" i="17"/>
  <c r="G334" i="17"/>
  <c r="G50" i="17"/>
  <c r="H562" i="17"/>
  <c r="G590" i="17"/>
  <c r="G192" i="17"/>
  <c r="H524" i="17"/>
  <c r="G535" i="17"/>
  <c r="H195" i="17"/>
  <c r="G349" i="17"/>
  <c r="G174" i="17"/>
  <c r="G392" i="17"/>
  <c r="H473" i="17"/>
  <c r="G217" i="17"/>
  <c r="H212" i="17"/>
  <c r="G573" i="17"/>
  <c r="H528" i="17"/>
  <c r="G314" i="17"/>
  <c r="H371" i="17"/>
  <c r="H429" i="17"/>
  <c r="H476" i="17"/>
  <c r="G488" i="17"/>
  <c r="H326" i="17"/>
  <c r="H216" i="17"/>
  <c r="H566" i="17"/>
  <c r="H484" i="17"/>
  <c r="H252" i="17"/>
  <c r="H336" i="17"/>
  <c r="G39" i="17"/>
  <c r="G555" i="17"/>
  <c r="G234" i="17"/>
  <c r="H284" i="17"/>
  <c r="H100" i="21"/>
  <c r="AO65" i="21"/>
  <c r="H417" i="25"/>
  <c r="G625" i="17"/>
  <c r="H622" i="25"/>
  <c r="G521" i="17"/>
  <c r="H355" i="17"/>
  <c r="G213" i="17"/>
  <c r="G331" i="17"/>
  <c r="G246" i="17"/>
  <c r="H248" i="17"/>
  <c r="G154" i="17"/>
  <c r="H170" i="17"/>
  <c r="G175" i="17"/>
  <c r="H431" i="17"/>
  <c r="G350" i="17"/>
  <c r="G82" i="17"/>
  <c r="H598" i="17"/>
  <c r="G606" i="17"/>
  <c r="G224" i="17"/>
  <c r="H460" i="17"/>
  <c r="G503" i="17"/>
  <c r="H131" i="17"/>
  <c r="G317" i="17"/>
  <c r="G142" i="17"/>
  <c r="G376" i="17"/>
  <c r="H457" i="17"/>
  <c r="G201" i="17"/>
  <c r="H196" i="17"/>
  <c r="G557" i="17"/>
  <c r="H496" i="17"/>
  <c r="G282" i="17"/>
  <c r="H89" i="17"/>
  <c r="H461" i="17"/>
  <c r="G483" i="17"/>
  <c r="H308" i="17"/>
  <c r="G472" i="17"/>
  <c r="H181" i="17"/>
  <c r="G332" i="17"/>
  <c r="G100" i="17"/>
  <c r="H124" i="17"/>
  <c r="H272" i="17"/>
  <c r="H167" i="17"/>
  <c r="G411" i="17"/>
  <c r="G298" i="17"/>
  <c r="G176" i="17"/>
  <c r="H86" i="21"/>
  <c r="H33" i="23"/>
  <c r="G391" i="25"/>
  <c r="H625" i="17"/>
  <c r="G466" i="17"/>
  <c r="G563" i="17"/>
  <c r="G85" i="17"/>
  <c r="H412" i="17"/>
  <c r="G118" i="17"/>
  <c r="H184" i="17"/>
  <c r="H153" i="17"/>
  <c r="H186" i="17"/>
  <c r="G191" i="17"/>
  <c r="H447" i="17"/>
  <c r="G366" i="17"/>
  <c r="G114" i="17"/>
  <c r="G289" i="17"/>
  <c r="H605" i="17"/>
  <c r="G256" i="17"/>
  <c r="H396" i="17"/>
  <c r="G471" i="17"/>
  <c r="H67" i="17"/>
  <c r="G285" i="17"/>
  <c r="G110" i="17"/>
  <c r="G360" i="17"/>
  <c r="H441" i="17"/>
  <c r="G185" i="17"/>
  <c r="H180" i="17"/>
  <c r="G541" i="17"/>
  <c r="H464" i="17"/>
  <c r="H395" i="17"/>
  <c r="H217" i="17"/>
  <c r="H557" i="17"/>
  <c r="G67" i="17"/>
  <c r="H564" i="17"/>
  <c r="H357" i="17"/>
  <c r="G182" i="17"/>
  <c r="G450" i="17"/>
  <c r="G564" i="17"/>
  <c r="H92" i="17"/>
  <c r="H79" i="17"/>
  <c r="G327" i="17"/>
  <c r="H235" i="17"/>
  <c r="G123" i="17"/>
  <c r="H364" i="17"/>
  <c r="H70" i="21"/>
  <c r="AO73" i="23"/>
  <c r="G462" i="25"/>
  <c r="H291" i="17"/>
  <c r="H508" i="17"/>
  <c r="H208" i="17"/>
  <c r="G156" i="17"/>
  <c r="H245" i="17"/>
  <c r="H120" i="17"/>
  <c r="G386" i="17"/>
  <c r="H202" i="17"/>
  <c r="G207" i="17"/>
  <c r="H463" i="17"/>
  <c r="G382" i="17"/>
  <c r="G146" i="17"/>
  <c r="G321" i="17"/>
  <c r="H31" i="17"/>
  <c r="H288" i="17"/>
  <c r="H332" i="17"/>
  <c r="G435" i="17"/>
  <c r="H609" i="17"/>
  <c r="H590" i="17"/>
  <c r="G78" i="17"/>
  <c r="G344" i="17"/>
  <c r="H425" i="17"/>
  <c r="G169" i="17"/>
  <c r="H164" i="17"/>
  <c r="G525" i="17"/>
  <c r="H432" i="17"/>
  <c r="H363" i="17"/>
  <c r="H346" i="17"/>
  <c r="G348" i="17"/>
  <c r="G195" i="17"/>
  <c r="G499" i="17"/>
  <c r="H197" i="17"/>
  <c r="G528" i="17"/>
  <c r="G135" i="17"/>
  <c r="G532" i="17"/>
  <c r="G485" i="17"/>
  <c r="H15" i="17"/>
  <c r="H285" i="17"/>
  <c r="H420" i="17"/>
  <c r="H246" i="17"/>
  <c r="G177" i="17"/>
  <c r="H68" i="21"/>
  <c r="AO80" i="23"/>
  <c r="H542" i="25"/>
  <c r="G624" i="17"/>
  <c r="H624" i="17"/>
  <c r="H444" i="17"/>
  <c r="H251" i="17"/>
  <c r="H80" i="17"/>
  <c r="H155" i="17"/>
  <c r="H117" i="17"/>
  <c r="H56" i="17"/>
  <c r="H599" i="17"/>
  <c r="H218" i="17"/>
  <c r="G223" i="17"/>
  <c r="H479" i="17"/>
  <c r="G398" i="17"/>
  <c r="G178" i="17"/>
  <c r="G353" i="17"/>
  <c r="H63" i="17"/>
  <c r="H320" i="17"/>
  <c r="H268" i="17"/>
  <c r="G371" i="17"/>
  <c r="G592" i="17"/>
  <c r="H558" i="17"/>
  <c r="G46" i="17"/>
  <c r="G328" i="17"/>
  <c r="H409" i="17"/>
  <c r="G153" i="17"/>
  <c r="H148" i="17"/>
  <c r="G509" i="17"/>
  <c r="H400" i="17"/>
  <c r="H267" i="17"/>
  <c r="G482" i="17"/>
  <c r="G380" i="17"/>
  <c r="H378" i="17"/>
  <c r="H142" i="17"/>
  <c r="G58" i="17"/>
  <c r="G28" i="17"/>
  <c r="G263" i="17"/>
  <c r="H510" i="17"/>
  <c r="G453" i="17"/>
  <c r="G534" i="17"/>
  <c r="G464" i="17"/>
  <c r="G164" i="17"/>
  <c r="H535" i="17"/>
  <c r="H172" i="17"/>
  <c r="AW8" i="21"/>
  <c r="H54" i="21"/>
  <c r="AO32" i="23"/>
  <c r="H612" i="25"/>
  <c r="G627" i="17"/>
  <c r="G495" i="17"/>
  <c r="G527" i="17"/>
  <c r="G569" i="17"/>
  <c r="G607" i="17"/>
  <c r="G428" i="17"/>
  <c r="G609" i="17"/>
  <c r="H467" i="17"/>
  <c r="H234" i="17"/>
  <c r="G239" i="17"/>
  <c r="H495" i="17"/>
  <c r="G414" i="17"/>
  <c r="G210" i="17"/>
  <c r="G385" i="17"/>
  <c r="H95" i="17"/>
  <c r="H352" i="17"/>
  <c r="G204" i="17"/>
  <c r="G307" i="17"/>
  <c r="G572" i="17"/>
  <c r="H526" i="17"/>
  <c r="G14" i="17"/>
  <c r="G312" i="17"/>
  <c r="H393" i="17"/>
  <c r="G137" i="17"/>
  <c r="H132" i="17"/>
  <c r="G493" i="17"/>
  <c r="H344" i="17"/>
  <c r="G139" i="17"/>
  <c r="G546" i="17"/>
  <c r="G86" i="17"/>
  <c r="G297" i="17"/>
  <c r="G402" i="17"/>
  <c r="G229" i="17"/>
  <c r="H540" i="17"/>
  <c r="G422" i="17"/>
  <c r="H446" i="17"/>
  <c r="G271" i="17"/>
  <c r="G369" i="17"/>
  <c r="G212" i="17"/>
  <c r="H414" i="17"/>
  <c r="H33" i="17"/>
  <c r="G490" i="17"/>
  <c r="H38" i="21"/>
  <c r="G613" i="25"/>
  <c r="G594" i="25"/>
  <c r="G574" i="25"/>
  <c r="G555" i="25"/>
  <c r="H610" i="25"/>
  <c r="H591" i="25"/>
  <c r="H572" i="25"/>
  <c r="H552" i="25"/>
  <c r="H624" i="25"/>
  <c r="G519" i="25"/>
  <c r="G500" i="25"/>
  <c r="G480" i="25"/>
  <c r="G460" i="25"/>
  <c r="G440" i="25"/>
  <c r="G421" i="25"/>
  <c r="G401" i="25"/>
  <c r="G382" i="25"/>
  <c r="H504" i="25"/>
  <c r="H428" i="25"/>
  <c r="H493" i="25"/>
  <c r="H413" i="25"/>
  <c r="H360" i="25"/>
  <c r="H340" i="25"/>
  <c r="H527" i="25"/>
  <c r="H447" i="25"/>
  <c r="H522" i="25"/>
  <c r="G334" i="25"/>
  <c r="G309" i="25"/>
  <c r="G289" i="25"/>
  <c r="G270" i="25"/>
  <c r="G359" i="25"/>
  <c r="H380" i="25"/>
  <c r="H319" i="25"/>
  <c r="H299" i="25"/>
  <c r="H279" i="25"/>
  <c r="H259" i="25"/>
  <c r="H240" i="25"/>
  <c r="H232" i="25"/>
  <c r="H212" i="25"/>
  <c r="H192" i="25"/>
  <c r="H172" i="25"/>
  <c r="H146" i="25"/>
  <c r="G368" i="25"/>
  <c r="G223" i="25"/>
  <c r="G204" i="25"/>
  <c r="G185" i="25"/>
  <c r="G165" i="25"/>
  <c r="G145" i="25"/>
  <c r="G125" i="25"/>
  <c r="G106" i="25"/>
  <c r="G86" i="25"/>
  <c r="G252" i="25"/>
  <c r="H136" i="25"/>
  <c r="H101" i="25"/>
  <c r="H48" i="25"/>
  <c r="G33" i="25"/>
  <c r="H98" i="25"/>
  <c r="G67" i="25"/>
  <c r="G51" i="25"/>
  <c r="G332" i="25"/>
  <c r="H88" i="25"/>
  <c r="H56" i="25"/>
  <c r="H33" i="25"/>
  <c r="G35" i="25"/>
  <c r="H83" i="25"/>
  <c r="AO94" i="23"/>
  <c r="H105" i="23"/>
  <c r="AO52" i="23"/>
  <c r="AO31" i="23"/>
  <c r="H68" i="23"/>
  <c r="H37" i="23"/>
  <c r="H78" i="23"/>
  <c r="AO72" i="23"/>
  <c r="H56" i="23"/>
  <c r="H22" i="23"/>
  <c r="H79" i="23"/>
  <c r="H26" i="23"/>
  <c r="AO20" i="21"/>
  <c r="AO84" i="21"/>
  <c r="AO33" i="21"/>
  <c r="AO97" i="21"/>
  <c r="AO31" i="21"/>
  <c r="AO95" i="21"/>
  <c r="AO86" i="21"/>
  <c r="H33" i="21"/>
  <c r="H65" i="21"/>
  <c r="H623" i="25"/>
  <c r="G593" i="25"/>
  <c r="G573" i="25"/>
  <c r="G553" i="25"/>
  <c r="H609" i="25"/>
  <c r="H590" i="25"/>
  <c r="H570" i="25"/>
  <c r="H551" i="25"/>
  <c r="G537" i="25"/>
  <c r="G518" i="25"/>
  <c r="G499" i="25"/>
  <c r="G479" i="25"/>
  <c r="G459" i="25"/>
  <c r="G439" i="25"/>
  <c r="G420" i="25"/>
  <c r="G400" i="25"/>
  <c r="G380" i="25"/>
  <c r="H500" i="25"/>
  <c r="H424" i="25"/>
  <c r="H485" i="25"/>
  <c r="H409" i="25"/>
  <c r="H358" i="25"/>
  <c r="H339" i="25"/>
  <c r="H523" i="25"/>
  <c r="H443" i="25"/>
  <c r="H506" i="25"/>
  <c r="G330" i="25"/>
  <c r="G308" i="25"/>
  <c r="G288" i="25"/>
  <c r="G268" i="25"/>
  <c r="G355" i="25"/>
  <c r="H372" i="25"/>
  <c r="H317" i="25"/>
  <c r="H298" i="25"/>
  <c r="H277" i="25"/>
  <c r="H258" i="25"/>
  <c r="H239" i="25"/>
  <c r="H231" i="25"/>
  <c r="H211" i="25"/>
  <c r="H191" i="25"/>
  <c r="H171" i="25"/>
  <c r="H145" i="25"/>
  <c r="G336" i="25"/>
  <c r="G222" i="25"/>
  <c r="G203" i="25"/>
  <c r="G183" i="25"/>
  <c r="G164" i="25"/>
  <c r="G143" i="25"/>
  <c r="G124" i="25"/>
  <c r="G105" i="25"/>
  <c r="G85" i="25"/>
  <c r="G248" i="25"/>
  <c r="H134" i="25"/>
  <c r="H97" i="25"/>
  <c r="H45" i="25"/>
  <c r="G29" i="25"/>
  <c r="H94" i="25"/>
  <c r="G66" i="25"/>
  <c r="G50" i="25"/>
  <c r="G259" i="25"/>
  <c r="H84" i="25"/>
  <c r="H55" i="25"/>
  <c r="H31" i="25"/>
  <c r="G34" i="25"/>
  <c r="AO109" i="23"/>
  <c r="AO93" i="23"/>
  <c r="H103" i="23"/>
  <c r="AO51" i="23"/>
  <c r="AO30" i="23"/>
  <c r="H92" i="23"/>
  <c r="H36" i="23"/>
  <c r="H73" i="23"/>
  <c r="AO71" i="23"/>
  <c r="H55" i="23"/>
  <c r="H21" i="23"/>
  <c r="H77" i="23"/>
  <c r="AO18" i="23"/>
  <c r="AO24" i="21"/>
  <c r="AO88" i="21"/>
  <c r="AO37" i="21"/>
  <c r="AO101" i="21"/>
  <c r="AO35" i="21"/>
  <c r="AO99" i="21"/>
  <c r="AO98" i="21"/>
  <c r="H35" i="21"/>
  <c r="G612" i="25"/>
  <c r="G592" i="25"/>
  <c r="G572" i="25"/>
  <c r="G552" i="25"/>
  <c r="H608" i="25"/>
  <c r="H589" i="25"/>
  <c r="H569" i="25"/>
  <c r="H549" i="25"/>
  <c r="G536" i="25"/>
  <c r="G517" i="25"/>
  <c r="G497" i="25"/>
  <c r="G478" i="25"/>
  <c r="G457" i="25"/>
  <c r="G438" i="25"/>
  <c r="G419" i="25"/>
  <c r="G399" i="25"/>
  <c r="G379" i="25"/>
  <c r="H496" i="25"/>
  <c r="H420" i="25"/>
  <c r="H481" i="25"/>
  <c r="H401" i="25"/>
  <c r="H357" i="25"/>
  <c r="H338" i="25"/>
  <c r="H515" i="25"/>
  <c r="H439" i="25"/>
  <c r="H474" i="25"/>
  <c r="G326" i="25"/>
  <c r="G307" i="25"/>
  <c r="G287" i="25"/>
  <c r="G267" i="25"/>
  <c r="G351" i="25"/>
  <c r="G369" i="25"/>
  <c r="H316" i="25"/>
  <c r="H296" i="25"/>
  <c r="H276" i="25"/>
  <c r="H257" i="25"/>
  <c r="H237" i="25"/>
  <c r="H230" i="25"/>
  <c r="H209" i="25"/>
  <c r="H190" i="25"/>
  <c r="H170" i="25"/>
  <c r="H143" i="25"/>
  <c r="G262" i="25"/>
  <c r="G221" i="25"/>
  <c r="G202" i="25"/>
  <c r="G182" i="25"/>
  <c r="G162" i="25"/>
  <c r="G142" i="25"/>
  <c r="G123" i="25"/>
  <c r="G103" i="25"/>
  <c r="G84" i="25"/>
  <c r="G244" i="25"/>
  <c r="H132" i="25"/>
  <c r="H93" i="25"/>
  <c r="H42" i="25"/>
  <c r="G26" i="25"/>
  <c r="H90" i="25"/>
  <c r="G65" i="25"/>
  <c r="G49" i="25"/>
  <c r="H115" i="25"/>
  <c r="H80" i="25"/>
  <c r="H53" i="25"/>
  <c r="H30" i="25"/>
  <c r="G31" i="25"/>
  <c r="AO108" i="23"/>
  <c r="AO92" i="23"/>
  <c r="H101" i="23"/>
  <c r="AO50" i="23"/>
  <c r="H29" i="23"/>
  <c r="H88" i="23"/>
  <c r="H35" i="23"/>
  <c r="H69" i="23"/>
  <c r="AO70" i="23"/>
  <c r="H54" i="23"/>
  <c r="AO15" i="23"/>
  <c r="H75" i="23"/>
  <c r="H15" i="23"/>
  <c r="AO28" i="21"/>
  <c r="AO96" i="21"/>
  <c r="AO41" i="21"/>
  <c r="AO105" i="21"/>
  <c r="AO39" i="21"/>
  <c r="AO103" i="21"/>
  <c r="AO102" i="21"/>
  <c r="H37" i="21"/>
  <c r="G611" i="25"/>
  <c r="G590" i="25"/>
  <c r="G571" i="25"/>
  <c r="G550" i="25"/>
  <c r="H607" i="25"/>
  <c r="H588" i="25"/>
  <c r="H568" i="25"/>
  <c r="H548" i="25"/>
  <c r="G535" i="25"/>
  <c r="G516" i="25"/>
  <c r="G496" i="25"/>
  <c r="G476" i="25"/>
  <c r="G456" i="25"/>
  <c r="G437" i="25"/>
  <c r="G417" i="25"/>
  <c r="G398" i="25"/>
  <c r="G377" i="25"/>
  <c r="H492" i="25"/>
  <c r="H416" i="25"/>
  <c r="H477" i="25"/>
  <c r="H397" i="25"/>
  <c r="H356" i="25"/>
  <c r="H337" i="25"/>
  <c r="H511" i="25"/>
  <c r="H431" i="25"/>
  <c r="H458" i="25"/>
  <c r="G325" i="25"/>
  <c r="G305" i="25"/>
  <c r="G286" i="25"/>
  <c r="G265" i="25"/>
  <c r="G347" i="25"/>
  <c r="G365" i="25"/>
  <c r="H315" i="25"/>
  <c r="H295" i="25"/>
  <c r="H275" i="25"/>
  <c r="H256" i="25"/>
  <c r="H236" i="25"/>
  <c r="H228" i="25"/>
  <c r="H208" i="25"/>
  <c r="H189" i="25"/>
  <c r="H168" i="25"/>
  <c r="H141" i="25"/>
  <c r="G254" i="25"/>
  <c r="G220" i="25"/>
  <c r="G201" i="25"/>
  <c r="G181" i="25"/>
  <c r="G161" i="25"/>
  <c r="G141" i="25"/>
  <c r="G122" i="25"/>
  <c r="G102" i="25"/>
  <c r="G82" i="25"/>
  <c r="G240" i="25"/>
  <c r="H130" i="25"/>
  <c r="H89" i="25"/>
  <c r="H39" i="25"/>
  <c r="G22" i="25"/>
  <c r="H86" i="25"/>
  <c r="G64" i="25"/>
  <c r="G48" i="25"/>
  <c r="H103" i="25"/>
  <c r="H76" i="25"/>
  <c r="H52" i="25"/>
  <c r="H28" i="25"/>
  <c r="G30" i="25"/>
  <c r="AO107" i="23"/>
  <c r="AO91" i="23"/>
  <c r="H99" i="23"/>
  <c r="H49" i="23"/>
  <c r="H28" i="23"/>
  <c r="H84" i="23"/>
  <c r="AO29" i="23"/>
  <c r="H66" i="23"/>
  <c r="AO69" i="23"/>
  <c r="H53" i="23"/>
  <c r="H14" i="23"/>
  <c r="H74" i="23"/>
  <c r="H62" i="23"/>
  <c r="AO32" i="21"/>
  <c r="AO104" i="21"/>
  <c r="AO45" i="21"/>
  <c r="AO109" i="21"/>
  <c r="AO43" i="21"/>
  <c r="AO107" i="21"/>
  <c r="H39" i="21"/>
  <c r="G610" i="25"/>
  <c r="G589" i="25"/>
  <c r="G569" i="25"/>
  <c r="G549" i="25"/>
  <c r="H606" i="25"/>
  <c r="H586" i="25"/>
  <c r="H567" i="25"/>
  <c r="H546" i="25"/>
  <c r="G534" i="25"/>
  <c r="G515" i="25"/>
  <c r="G495" i="25"/>
  <c r="G475" i="25"/>
  <c r="G455" i="25"/>
  <c r="G436" i="25"/>
  <c r="G416" i="25"/>
  <c r="G396" i="25"/>
  <c r="G376" i="25"/>
  <c r="H488" i="25"/>
  <c r="H408" i="25"/>
  <c r="H473" i="25"/>
  <c r="H389" i="25"/>
  <c r="H355" i="25"/>
  <c r="H336" i="25"/>
  <c r="H507" i="25"/>
  <c r="H427" i="25"/>
  <c r="H442" i="25"/>
  <c r="G324" i="25"/>
  <c r="G304" i="25"/>
  <c r="G284" i="25"/>
  <c r="G264" i="25"/>
  <c r="G343" i="25"/>
  <c r="G357" i="25"/>
  <c r="H314" i="25"/>
  <c r="H293" i="25"/>
  <c r="H274" i="25"/>
  <c r="H255" i="25"/>
  <c r="H235" i="25"/>
  <c r="H227" i="25"/>
  <c r="H207" i="25"/>
  <c r="H188" i="25"/>
  <c r="H167" i="25"/>
  <c r="H137" i="25"/>
  <c r="G250" i="25"/>
  <c r="G219" i="25"/>
  <c r="G199" i="25"/>
  <c r="G180" i="25"/>
  <c r="G159" i="25"/>
  <c r="G140" i="25"/>
  <c r="G121" i="25"/>
  <c r="G101" i="25"/>
  <c r="G81" i="25"/>
  <c r="G236" i="25"/>
  <c r="H127" i="25"/>
  <c r="H85" i="25"/>
  <c r="H35" i="25"/>
  <c r="G18" i="25"/>
  <c r="H82" i="25"/>
  <c r="G63" i="25"/>
  <c r="G47" i="25"/>
  <c r="H91" i="25"/>
  <c r="H74" i="25"/>
  <c r="H50" i="25"/>
  <c r="H27" i="25"/>
  <c r="G27" i="25"/>
  <c r="AO106" i="23"/>
  <c r="AO90" i="23"/>
  <c r="H97" i="23"/>
  <c r="H48" i="23"/>
  <c r="AO22" i="23"/>
  <c r="AO49" i="23"/>
  <c r="AO28" i="23"/>
  <c r="H94" i="23"/>
  <c r="AO68" i="23"/>
  <c r="H52" i="23"/>
  <c r="H13" i="23"/>
  <c r="H71" i="23"/>
  <c r="AO19" i="23"/>
  <c r="AO36" i="21"/>
  <c r="AO18" i="21"/>
  <c r="AO49" i="21"/>
  <c r="AO10" i="21"/>
  <c r="AO47" i="21"/>
  <c r="AO92" i="21"/>
  <c r="B38" i="2"/>
  <c r="F136" i="2" s="1"/>
  <c r="H41" i="21"/>
  <c r="G608" i="25"/>
  <c r="G588" i="25"/>
  <c r="G568" i="25"/>
  <c r="G548" i="25"/>
  <c r="H605" i="25"/>
  <c r="H585" i="25"/>
  <c r="H565" i="25"/>
  <c r="H545" i="25"/>
  <c r="G533" i="25"/>
  <c r="G513" i="25"/>
  <c r="G494" i="25"/>
  <c r="G473" i="25"/>
  <c r="G454" i="25"/>
  <c r="G435" i="25"/>
  <c r="G415" i="25"/>
  <c r="G395" i="25"/>
  <c r="G375" i="25"/>
  <c r="H484" i="25"/>
  <c r="H404" i="25"/>
  <c r="H465" i="25"/>
  <c r="H385" i="25"/>
  <c r="H354" i="25"/>
  <c r="H334" i="25"/>
  <c r="H503" i="25"/>
  <c r="H419" i="25"/>
  <c r="H426" i="25"/>
  <c r="G323" i="25"/>
  <c r="G303" i="25"/>
  <c r="G283" i="25"/>
  <c r="H534" i="25"/>
  <c r="G339" i="25"/>
  <c r="G353" i="25"/>
  <c r="H312" i="25"/>
  <c r="H292" i="25"/>
  <c r="H273" i="25"/>
  <c r="H253" i="25"/>
  <c r="H234" i="25"/>
  <c r="H225" i="25"/>
  <c r="H206" i="25"/>
  <c r="H187" i="25"/>
  <c r="H166" i="25"/>
  <c r="H135" i="25"/>
  <c r="G246" i="25"/>
  <c r="G218" i="25"/>
  <c r="G198" i="25"/>
  <c r="G178" i="25"/>
  <c r="G158" i="25"/>
  <c r="G139" i="25"/>
  <c r="G119" i="25"/>
  <c r="G100" i="25"/>
  <c r="G80" i="25"/>
  <c r="H174" i="25"/>
  <c r="H125" i="25"/>
  <c r="H81" i="25"/>
  <c r="H32" i="25"/>
  <c r="G14" i="25"/>
  <c r="H78" i="25"/>
  <c r="G62" i="25"/>
  <c r="G46" i="25"/>
  <c r="H79" i="25"/>
  <c r="H72" i="25"/>
  <c r="H49" i="25"/>
  <c r="H26" i="25"/>
  <c r="G25" i="25"/>
  <c r="AO105" i="23"/>
  <c r="AO89" i="23"/>
  <c r="H95" i="23"/>
  <c r="H47" i="23"/>
  <c r="AO21" i="23"/>
  <c r="AO48" i="23"/>
  <c r="H27" i="23"/>
  <c r="H90" i="23"/>
  <c r="AO67" i="23"/>
  <c r="H51" i="23"/>
  <c r="H12" i="23"/>
  <c r="H70" i="23"/>
  <c r="AO17" i="23"/>
  <c r="AO40" i="21"/>
  <c r="AO26" i="21"/>
  <c r="AO53" i="21"/>
  <c r="AO30" i="21"/>
  <c r="AO51" i="21"/>
  <c r="AO100" i="21"/>
  <c r="H11" i="21"/>
  <c r="H43" i="21"/>
  <c r="G606" i="25"/>
  <c r="G587" i="25"/>
  <c r="G566" i="25"/>
  <c r="G547" i="25"/>
  <c r="H604" i="25"/>
  <c r="H584" i="25"/>
  <c r="H564" i="25"/>
  <c r="H544" i="25"/>
  <c r="G532" i="25"/>
  <c r="G512" i="25"/>
  <c r="G492" i="25"/>
  <c r="G472" i="25"/>
  <c r="G453" i="25"/>
  <c r="G433" i="25"/>
  <c r="G414" i="25"/>
  <c r="G393" i="25"/>
  <c r="G374" i="25"/>
  <c r="H480" i="25"/>
  <c r="H400" i="25"/>
  <c r="H461" i="25"/>
  <c r="H381" i="25"/>
  <c r="H353" i="25"/>
  <c r="H333" i="25"/>
  <c r="H495" i="25"/>
  <c r="H415" i="25"/>
  <c r="H410" i="25"/>
  <c r="G321" i="25"/>
  <c r="G302" i="25"/>
  <c r="G281" i="25"/>
  <c r="H518" i="25"/>
  <c r="G335" i="25"/>
  <c r="G349" i="25"/>
  <c r="H311" i="25"/>
  <c r="H291" i="25"/>
  <c r="H272" i="25"/>
  <c r="H252" i="25"/>
  <c r="H418" i="25"/>
  <c r="H224" i="25"/>
  <c r="H205" i="25"/>
  <c r="H185" i="25"/>
  <c r="H165" i="25"/>
  <c r="H131" i="25"/>
  <c r="G242" i="25"/>
  <c r="G217" i="25"/>
  <c r="G197" i="25"/>
  <c r="G177" i="25"/>
  <c r="G157" i="25"/>
  <c r="G138" i="25"/>
  <c r="G118" i="25"/>
  <c r="G98" i="25"/>
  <c r="G79" i="25"/>
  <c r="H160" i="25"/>
  <c r="H123" i="25"/>
  <c r="H77" i="25"/>
  <c r="H29" i="25"/>
  <c r="H107" i="25"/>
  <c r="G77" i="25"/>
  <c r="G61" i="25"/>
  <c r="G45" i="25"/>
  <c r="H390" i="25"/>
  <c r="H71" i="25"/>
  <c r="H47" i="25"/>
  <c r="H24" i="25"/>
  <c r="G23" i="25"/>
  <c r="AO104" i="23"/>
  <c r="AO88" i="23"/>
  <c r="H91" i="23"/>
  <c r="H46" i="23"/>
  <c r="H20" i="23"/>
  <c r="AO47" i="23"/>
  <c r="AO20" i="23"/>
  <c r="H86" i="23"/>
  <c r="AO66" i="23"/>
  <c r="H50" i="23"/>
  <c r="H11" i="23"/>
  <c r="H67" i="23"/>
  <c r="H23" i="23"/>
  <c r="AO44" i="21"/>
  <c r="AO42" i="21"/>
  <c r="AO57" i="21"/>
  <c r="AO46" i="21"/>
  <c r="AO55" i="21"/>
  <c r="AO108" i="21"/>
  <c r="H13" i="21"/>
  <c r="H45" i="21"/>
  <c r="G605" i="25"/>
  <c r="G585" i="25"/>
  <c r="G565" i="25"/>
  <c r="G546" i="25"/>
  <c r="H602" i="25"/>
  <c r="H583" i="25"/>
  <c r="H562" i="25"/>
  <c r="H543" i="25"/>
  <c r="G531" i="25"/>
  <c r="G511" i="25"/>
  <c r="G491" i="25"/>
  <c r="G471" i="25"/>
  <c r="G452" i="25"/>
  <c r="G432" i="25"/>
  <c r="G412" i="25"/>
  <c r="G392" i="25"/>
  <c r="G373" i="25"/>
  <c r="H472" i="25"/>
  <c r="H396" i="25"/>
  <c r="H453" i="25"/>
  <c r="H377" i="25"/>
  <c r="H352" i="25"/>
  <c r="H332" i="25"/>
  <c r="H491" i="25"/>
  <c r="H411" i="25"/>
  <c r="H394" i="25"/>
  <c r="G320" i="25"/>
  <c r="G300" i="25"/>
  <c r="G280" i="25"/>
  <c r="H502" i="25"/>
  <c r="G327" i="25"/>
  <c r="G345" i="25"/>
  <c r="H309" i="25"/>
  <c r="H290" i="25"/>
  <c r="H271" i="25"/>
  <c r="H251" i="25"/>
  <c r="H374" i="25"/>
  <c r="H223" i="25"/>
  <c r="H204" i="25"/>
  <c r="H184" i="25"/>
  <c r="H163" i="25"/>
  <c r="H129" i="25"/>
  <c r="G238" i="25"/>
  <c r="G215" i="25"/>
  <c r="G196" i="25"/>
  <c r="G175" i="25"/>
  <c r="G156" i="25"/>
  <c r="G137" i="25"/>
  <c r="G117" i="25"/>
  <c r="G97" i="25"/>
  <c r="G78" i="25"/>
  <c r="H157" i="25"/>
  <c r="H121" i="25"/>
  <c r="H75" i="25"/>
  <c r="H25" i="25"/>
  <c r="H95" i="25"/>
  <c r="G76" i="25"/>
  <c r="G60" i="25"/>
  <c r="G43" i="25"/>
  <c r="G255" i="25"/>
  <c r="H69" i="25"/>
  <c r="H46" i="25"/>
  <c r="H23" i="25"/>
  <c r="G20" i="25"/>
  <c r="AO103" i="23"/>
  <c r="AO87" i="23"/>
  <c r="H87" i="23"/>
  <c r="H45" i="23"/>
  <c r="AO14" i="23"/>
  <c r="AO46" i="23"/>
  <c r="H19" i="23"/>
  <c r="H82" i="23"/>
  <c r="AO65" i="23"/>
  <c r="AO34" i="23"/>
  <c r="B11" i="23"/>
  <c r="H65" i="23"/>
  <c r="AO16" i="23"/>
  <c r="AO48" i="21"/>
  <c r="AO58" i="21"/>
  <c r="AO61" i="21"/>
  <c r="AO62" i="21"/>
  <c r="AO59" i="21"/>
  <c r="AO14" i="21"/>
  <c r="H15" i="21"/>
  <c r="H47" i="21"/>
  <c r="G603" i="25"/>
  <c r="G582" i="25"/>
  <c r="G563" i="25"/>
  <c r="G544" i="25"/>
  <c r="H600" i="25"/>
  <c r="H580" i="25"/>
  <c r="H560" i="25"/>
  <c r="H541" i="25"/>
  <c r="G528" i="25"/>
  <c r="G508" i="25"/>
  <c r="G488" i="25"/>
  <c r="G469" i="25"/>
  <c r="G449" i="25"/>
  <c r="G430" i="25"/>
  <c r="G409" i="25"/>
  <c r="G390" i="25"/>
  <c r="G371" i="25"/>
  <c r="H464" i="25"/>
  <c r="H525" i="25"/>
  <c r="H445" i="25"/>
  <c r="H369" i="25"/>
  <c r="H349" i="25"/>
  <c r="H329" i="25"/>
  <c r="H479" i="25"/>
  <c r="H403" i="25"/>
  <c r="H370" i="25"/>
  <c r="G318" i="25"/>
  <c r="G297" i="25"/>
  <c r="G278" i="25"/>
  <c r="H470" i="25"/>
  <c r="H510" i="25"/>
  <c r="G333" i="25"/>
  <c r="H307" i="25"/>
  <c r="H288" i="25"/>
  <c r="H268" i="25"/>
  <c r="H248" i="25"/>
  <c r="G261" i="25"/>
  <c r="H221" i="25"/>
  <c r="H201" i="25"/>
  <c r="H182" i="25"/>
  <c r="H159" i="25"/>
  <c r="H126" i="25"/>
  <c r="G233" i="25"/>
  <c r="G213" i="25"/>
  <c r="G193" i="25"/>
  <c r="G173" i="25"/>
  <c r="G154" i="25"/>
  <c r="G134" i="25"/>
  <c r="G114" i="25"/>
  <c r="G94" i="25"/>
  <c r="H434" i="25"/>
  <c r="H153" i="25"/>
  <c r="H117" i="25"/>
  <c r="H70" i="25"/>
  <c r="H19" i="25"/>
  <c r="G348" i="25"/>
  <c r="G74" i="25"/>
  <c r="G58" i="25"/>
  <c r="G36" i="25"/>
  <c r="H116" i="25"/>
  <c r="H66" i="25"/>
  <c r="H43" i="25"/>
  <c r="H20" i="25"/>
  <c r="G16" i="25"/>
  <c r="AO101" i="23"/>
  <c r="AO85" i="23"/>
  <c r="AO59" i="23"/>
  <c r="H43" i="23"/>
  <c r="AO12" i="23"/>
  <c r="AO44" i="23"/>
  <c r="H17" i="23"/>
  <c r="AO79" i="23"/>
  <c r="AO63" i="23"/>
  <c r="H32" i="23"/>
  <c r="H108" i="23"/>
  <c r="H61" i="23"/>
  <c r="AO36" i="23"/>
  <c r="AO56" i="21"/>
  <c r="AO94" i="21"/>
  <c r="AO69" i="21"/>
  <c r="AO90" i="21"/>
  <c r="AO67" i="21"/>
  <c r="AO34" i="21"/>
  <c r="H19" i="21"/>
  <c r="H51" i="21"/>
  <c r="G601" i="25"/>
  <c r="G581" i="25"/>
  <c r="G562" i="25"/>
  <c r="G625" i="25"/>
  <c r="H599" i="25"/>
  <c r="H578" i="25"/>
  <c r="H559" i="25"/>
  <c r="H540" i="25"/>
  <c r="G527" i="25"/>
  <c r="G507" i="25"/>
  <c r="G487" i="25"/>
  <c r="G468" i="25"/>
  <c r="G448" i="25"/>
  <c r="G428" i="25"/>
  <c r="G408" i="25"/>
  <c r="G389" i="25"/>
  <c r="H536" i="25"/>
  <c r="H460" i="25"/>
  <c r="H517" i="25"/>
  <c r="H441" i="25"/>
  <c r="H368" i="25"/>
  <c r="H348" i="25"/>
  <c r="H328" i="25"/>
  <c r="H475" i="25"/>
  <c r="H399" i="25"/>
  <c r="G366" i="25"/>
  <c r="G316" i="25"/>
  <c r="G296" i="25"/>
  <c r="G277" i="25"/>
  <c r="H438" i="25"/>
  <c r="H494" i="25"/>
  <c r="H325" i="25"/>
  <c r="H306" i="25"/>
  <c r="H287" i="25"/>
  <c r="H267" i="25"/>
  <c r="H247" i="25"/>
  <c r="G257" i="25"/>
  <c r="H220" i="25"/>
  <c r="H200" i="25"/>
  <c r="H180" i="25"/>
  <c r="H158" i="25"/>
  <c r="H124" i="25"/>
  <c r="G231" i="25"/>
  <c r="G212" i="25"/>
  <c r="G191" i="25"/>
  <c r="G172" i="25"/>
  <c r="G153" i="25"/>
  <c r="G133" i="25"/>
  <c r="G113" i="25"/>
  <c r="G93" i="25"/>
  <c r="H382" i="25"/>
  <c r="H151" i="25"/>
  <c r="G364" i="25"/>
  <c r="H67" i="25"/>
  <c r="H16" i="25"/>
  <c r="G263" i="25"/>
  <c r="G73" i="25"/>
  <c r="G57" i="25"/>
  <c r="G32" i="25"/>
  <c r="H112" i="25"/>
  <c r="H65" i="25"/>
  <c r="H41" i="25"/>
  <c r="H18" i="25"/>
  <c r="G15" i="25"/>
  <c r="AO100" i="23"/>
  <c r="AO84" i="23"/>
  <c r="AO58" i="23"/>
  <c r="H42" i="23"/>
  <c r="AO11" i="23"/>
  <c r="AO43" i="23"/>
  <c r="H16" i="23"/>
  <c r="AO78" i="23"/>
  <c r="AO62" i="23"/>
  <c r="H31" i="23"/>
  <c r="H106" i="23"/>
  <c r="AO37" i="23"/>
  <c r="AO27" i="23"/>
  <c r="AO60" i="21"/>
  <c r="AO9" i="21"/>
  <c r="AO73" i="21"/>
  <c r="AO106" i="21"/>
  <c r="AO71" i="21"/>
  <c r="AO38" i="21"/>
  <c r="H21" i="21"/>
  <c r="H53" i="21"/>
  <c r="G600" i="25"/>
  <c r="G580" i="25"/>
  <c r="G561" i="25"/>
  <c r="G623" i="25"/>
  <c r="H597" i="25"/>
  <c r="H577" i="25"/>
  <c r="H558" i="25"/>
  <c r="H538" i="25"/>
  <c r="G526" i="25"/>
  <c r="G505" i="25"/>
  <c r="G486" i="25"/>
  <c r="G467" i="25"/>
  <c r="G447" i="25"/>
  <c r="G427" i="25"/>
  <c r="G407" i="25"/>
  <c r="G388" i="25"/>
  <c r="H532" i="25"/>
  <c r="H452" i="25"/>
  <c r="H513" i="25"/>
  <c r="H437" i="25"/>
  <c r="H366" i="25"/>
  <c r="H347" i="25"/>
  <c r="H326" i="25"/>
  <c r="H471" i="25"/>
  <c r="H395" i="25"/>
  <c r="G362" i="25"/>
  <c r="G315" i="25"/>
  <c r="G295" i="25"/>
  <c r="G276" i="25"/>
  <c r="H422" i="25"/>
  <c r="H462" i="25"/>
  <c r="H324" i="25"/>
  <c r="H305" i="25"/>
  <c r="H285" i="25"/>
  <c r="H266" i="25"/>
  <c r="H245" i="25"/>
  <c r="G253" i="25"/>
  <c r="H219" i="25"/>
  <c r="H199" i="25"/>
  <c r="H179" i="25"/>
  <c r="H156" i="25"/>
  <c r="H122" i="25"/>
  <c r="G230" i="25"/>
  <c r="G210" i="25"/>
  <c r="G190" i="25"/>
  <c r="G171" i="25"/>
  <c r="G151" i="25"/>
  <c r="G132" i="25"/>
  <c r="G111" i="25"/>
  <c r="G92" i="25"/>
  <c r="G360" i="25"/>
  <c r="H147" i="25"/>
  <c r="G251" i="25"/>
  <c r="H64" i="25"/>
  <c r="H14" i="25"/>
  <c r="G247" i="25"/>
  <c r="G72" i="25"/>
  <c r="G56" i="25"/>
  <c r="G28" i="25"/>
  <c r="H108" i="25"/>
  <c r="H63" i="25"/>
  <c r="H40" i="25"/>
  <c r="H17" i="25"/>
  <c r="H450" i="25"/>
  <c r="AO99" i="23"/>
  <c r="AO83" i="23"/>
  <c r="AO57" i="23"/>
  <c r="H41" i="23"/>
  <c r="H9" i="23"/>
  <c r="AO42" i="23"/>
  <c r="AO10" i="23"/>
  <c r="AO77" i="23"/>
  <c r="AO61" i="23"/>
  <c r="H30" i="23"/>
  <c r="H104" i="23"/>
  <c r="AO35" i="23"/>
  <c r="H24" i="23"/>
  <c r="AO64" i="21"/>
  <c r="AO13" i="21"/>
  <c r="AO77" i="21"/>
  <c r="AO11" i="21"/>
  <c r="AO75" i="21"/>
  <c r="AO50" i="21"/>
  <c r="H23" i="21"/>
  <c r="H55" i="21"/>
  <c r="G598" i="25"/>
  <c r="G579" i="25"/>
  <c r="G560" i="25"/>
  <c r="G628" i="25"/>
  <c r="H596" i="25"/>
  <c r="H576" i="25"/>
  <c r="H557" i="25"/>
  <c r="H537" i="25"/>
  <c r="G524" i="25"/>
  <c r="G504" i="25"/>
  <c r="G485" i="25"/>
  <c r="G465" i="25"/>
  <c r="G446" i="25"/>
  <c r="G425" i="25"/>
  <c r="G406" i="25"/>
  <c r="G387" i="25"/>
  <c r="H528" i="25"/>
  <c r="H448" i="25"/>
  <c r="H509" i="25"/>
  <c r="H433" i="25"/>
  <c r="H365" i="25"/>
  <c r="H345" i="25"/>
  <c r="H626" i="25"/>
  <c r="H467" i="25"/>
  <c r="H387" i="25"/>
  <c r="G358" i="25"/>
  <c r="G313" i="25"/>
  <c r="G294" i="25"/>
  <c r="G275" i="25"/>
  <c r="H406" i="25"/>
  <c r="H446" i="25"/>
  <c r="H323" i="25"/>
  <c r="H304" i="25"/>
  <c r="H284" i="25"/>
  <c r="H264" i="25"/>
  <c r="H244" i="25"/>
  <c r="G249" i="25"/>
  <c r="H217" i="25"/>
  <c r="H198" i="25"/>
  <c r="H177" i="25"/>
  <c r="H154" i="25"/>
  <c r="H120" i="25"/>
  <c r="G229" i="25"/>
  <c r="G209" i="25"/>
  <c r="G189" i="25"/>
  <c r="G170" i="25"/>
  <c r="G150" i="25"/>
  <c r="G130" i="25"/>
  <c r="G110" i="25"/>
  <c r="G91" i="25"/>
  <c r="G344" i="25"/>
  <c r="H144" i="25"/>
  <c r="G235" i="25"/>
  <c r="H60" i="25"/>
  <c r="H13" i="25"/>
  <c r="H114" i="25"/>
  <c r="G71" i="25"/>
  <c r="G55" i="25"/>
  <c r="G24" i="25"/>
  <c r="H104" i="25"/>
  <c r="H62" i="25"/>
  <c r="H38" i="25"/>
  <c r="H15" i="25"/>
  <c r="G243" i="25"/>
  <c r="AO98" i="23"/>
  <c r="AO82" i="23"/>
  <c r="AO56" i="23"/>
  <c r="H40" i="23"/>
  <c r="H102" i="23"/>
  <c r="AO41" i="23"/>
  <c r="AO9" i="23"/>
  <c r="AO76" i="23"/>
  <c r="AO60" i="23"/>
  <c r="AO26" i="23"/>
  <c r="H100" i="23"/>
  <c r="H34" i="23"/>
  <c r="AW8" i="23"/>
  <c r="AO68" i="21"/>
  <c r="AO17" i="21"/>
  <c r="AO81" i="21"/>
  <c r="AO15" i="21"/>
  <c r="AO79" i="21"/>
  <c r="AO54" i="21"/>
  <c r="H25" i="21"/>
  <c r="H57" i="21"/>
  <c r="G597" i="25"/>
  <c r="G578" i="25"/>
  <c r="G558" i="25"/>
  <c r="G626" i="25"/>
  <c r="H594" i="25"/>
  <c r="H575" i="25"/>
  <c r="H556" i="25"/>
  <c r="G542" i="25"/>
  <c r="G523" i="25"/>
  <c r="G503" i="25"/>
  <c r="G484" i="25"/>
  <c r="G464" i="25"/>
  <c r="G444" i="25"/>
  <c r="G424" i="25"/>
  <c r="G405" i="25"/>
  <c r="G385" i="25"/>
  <c r="H524" i="25"/>
  <c r="H440" i="25"/>
  <c r="H505" i="25"/>
  <c r="H429" i="25"/>
  <c r="H364" i="25"/>
  <c r="H344" i="25"/>
  <c r="G540" i="25"/>
  <c r="H463" i="25"/>
  <c r="H383" i="25"/>
  <c r="G350" i="25"/>
  <c r="G312" i="25"/>
  <c r="G293" i="25"/>
  <c r="G273" i="25"/>
  <c r="H392" i="25"/>
  <c r="H414" i="25"/>
  <c r="H322" i="25"/>
  <c r="H303" i="25"/>
  <c r="H283" i="25"/>
  <c r="H263" i="25"/>
  <c r="H243" i="25"/>
  <c r="G245" i="25"/>
  <c r="H216" i="25"/>
  <c r="H196" i="25"/>
  <c r="H176" i="25"/>
  <c r="H152" i="25"/>
  <c r="H530" i="25"/>
  <c r="G228" i="25"/>
  <c r="G207" i="25"/>
  <c r="G188" i="25"/>
  <c r="G169" i="25"/>
  <c r="G149" i="25"/>
  <c r="G129" i="25"/>
  <c r="G109" i="25"/>
  <c r="G90" i="25"/>
  <c r="G328" i="25"/>
  <c r="H142" i="25"/>
  <c r="H113" i="25"/>
  <c r="H57" i="25"/>
  <c r="G44" i="25"/>
  <c r="H110" i="25"/>
  <c r="G70" i="25"/>
  <c r="G54" i="25"/>
  <c r="G21" i="25"/>
  <c r="H100" i="25"/>
  <c r="H61" i="25"/>
  <c r="H37" i="25"/>
  <c r="G42" i="25"/>
  <c r="H111" i="25"/>
  <c r="AO97" i="23"/>
  <c r="AO81" i="23"/>
  <c r="AO55" i="23"/>
  <c r="H39" i="23"/>
  <c r="H80" i="23"/>
  <c r="AO40" i="23"/>
  <c r="H98" i="23"/>
  <c r="AO75" i="23"/>
  <c r="H59" i="23"/>
  <c r="AO25" i="23"/>
  <c r="H96" i="23"/>
  <c r="H25" i="23"/>
  <c r="AX8" i="23"/>
  <c r="AO72" i="21"/>
  <c r="AO21" i="21"/>
  <c r="AO85" i="21"/>
  <c r="AO19" i="21"/>
  <c r="AO83" i="21"/>
  <c r="AO66" i="21"/>
  <c r="H27" i="21"/>
  <c r="H59" i="21"/>
  <c r="G596" i="25"/>
  <c r="G577" i="25"/>
  <c r="G557" i="25"/>
  <c r="H613" i="25"/>
  <c r="H593" i="25"/>
  <c r="H574" i="25"/>
  <c r="H554" i="25"/>
  <c r="G538" i="25"/>
  <c r="G521" i="25"/>
  <c r="G502" i="25"/>
  <c r="G483" i="25"/>
  <c r="G463" i="25"/>
  <c r="G443" i="25"/>
  <c r="G423" i="25"/>
  <c r="G404" i="25"/>
  <c r="G384" i="25"/>
  <c r="H516" i="25"/>
  <c r="H436" i="25"/>
  <c r="H501" i="25"/>
  <c r="H421" i="25"/>
  <c r="H363" i="25"/>
  <c r="H342" i="25"/>
  <c r="H535" i="25"/>
  <c r="H459" i="25"/>
  <c r="H379" i="25"/>
  <c r="G346" i="25"/>
  <c r="G311" i="25"/>
  <c r="G292" i="25"/>
  <c r="G272" i="25"/>
  <c r="H376" i="25"/>
  <c r="H398" i="25"/>
  <c r="H321" i="25"/>
  <c r="H301" i="25"/>
  <c r="H282" i="25"/>
  <c r="H261" i="25"/>
  <c r="H242" i="25"/>
  <c r="G241" i="25"/>
  <c r="H215" i="25"/>
  <c r="H195" i="25"/>
  <c r="H175" i="25"/>
  <c r="H150" i="25"/>
  <c r="H466" i="25"/>
  <c r="G226" i="25"/>
  <c r="G206" i="25"/>
  <c r="G187" i="25"/>
  <c r="G167" i="25"/>
  <c r="G148" i="25"/>
  <c r="G127" i="25"/>
  <c r="G108" i="25"/>
  <c r="G89" i="25"/>
  <c r="G260" i="25"/>
  <c r="H140" i="25"/>
  <c r="H109" i="25"/>
  <c r="H54" i="25"/>
  <c r="G41" i="25"/>
  <c r="H106" i="25"/>
  <c r="G69" i="25"/>
  <c r="G53" i="25"/>
  <c r="G17" i="25"/>
  <c r="H96" i="25"/>
  <c r="H59" i="25"/>
  <c r="H36" i="25"/>
  <c r="G39" i="25"/>
  <c r="H99" i="25"/>
  <c r="AO96" i="23"/>
  <c r="H109" i="23"/>
  <c r="AO54" i="23"/>
  <c r="H38" i="23"/>
  <c r="H76" i="23"/>
  <c r="AO39" i="23"/>
  <c r="H89" i="23"/>
  <c r="AO74" i="23"/>
  <c r="H58" i="23"/>
  <c r="AO24" i="23"/>
  <c r="H93" i="23"/>
  <c r="H60" i="23"/>
  <c r="AO12" i="21"/>
  <c r="AO76" i="21"/>
  <c r="AO25" i="21"/>
  <c r="AO89" i="21"/>
  <c r="AO23" i="21"/>
  <c r="AO87" i="21"/>
  <c r="AO70" i="21"/>
  <c r="H29" i="21"/>
  <c r="H61" i="21"/>
  <c r="G24" i="17"/>
  <c r="H394" i="17"/>
  <c r="H587" i="17"/>
  <c r="G75" i="17"/>
  <c r="H66" i="17"/>
  <c r="H435" i="17"/>
  <c r="G610" i="17"/>
  <c r="G593" i="17"/>
  <c r="G237" i="17"/>
  <c r="G412" i="17"/>
  <c r="G389" i="17"/>
  <c r="G575" i="17"/>
  <c r="H323" i="17"/>
  <c r="G537" i="17"/>
  <c r="G356" i="17"/>
  <c r="G463" i="17"/>
  <c r="G489" i="17"/>
  <c r="G291" i="17"/>
  <c r="G244" i="17"/>
  <c r="G404" i="17"/>
  <c r="H138" i="17"/>
  <c r="G93" i="17"/>
  <c r="G579" i="17"/>
  <c r="H442" i="17"/>
  <c r="G72" i="17"/>
  <c r="H375" i="17"/>
  <c r="G550" i="17"/>
  <c r="H171" i="17"/>
  <c r="G500" i="17"/>
  <c r="H125" i="17"/>
  <c r="H321" i="17"/>
  <c r="H60" i="17"/>
  <c r="G56" i="17"/>
  <c r="G266" i="17"/>
  <c r="G208" i="17"/>
  <c r="H578" i="17"/>
  <c r="G342" i="17"/>
  <c r="H226" i="17"/>
  <c r="H27" i="17"/>
  <c r="H419" i="17"/>
  <c r="H418" i="17"/>
  <c r="H163" i="17"/>
  <c r="H465" i="17"/>
  <c r="H512" i="17"/>
  <c r="H118" i="17"/>
  <c r="G36" i="17"/>
  <c r="H576" i="17"/>
  <c r="G455" i="17"/>
  <c r="G491" i="17"/>
  <c r="H44" i="17"/>
  <c r="H98" i="21"/>
  <c r="H66" i="21"/>
  <c r="H34" i="21"/>
  <c r="H103" i="21"/>
  <c r="H71" i="21"/>
  <c r="AO29" i="21"/>
  <c r="H81" i="23"/>
  <c r="G38" i="25"/>
  <c r="G37" i="25"/>
  <c r="G146" i="25"/>
  <c r="H193" i="25"/>
  <c r="H388" i="25"/>
  <c r="H531" i="25"/>
  <c r="G403" i="25"/>
  <c r="H553" i="25"/>
  <c r="H215" i="17"/>
  <c r="H330" i="17"/>
  <c r="H555" i="17"/>
  <c r="G43" i="17"/>
  <c r="H50" i="17"/>
  <c r="H499" i="17"/>
  <c r="H103" i="17"/>
  <c r="H611" i="17"/>
  <c r="H269" i="17"/>
  <c r="H21" i="17"/>
  <c r="G448" i="17"/>
  <c r="G596" i="17"/>
  <c r="H451" i="17"/>
  <c r="G601" i="17"/>
  <c r="G420" i="17"/>
  <c r="G591" i="17"/>
  <c r="H595" i="17"/>
  <c r="H607" i="17"/>
  <c r="H59" i="17"/>
  <c r="H30" i="17"/>
  <c r="H74" i="17"/>
  <c r="G221" i="17"/>
  <c r="G259" i="17"/>
  <c r="G407" i="17"/>
  <c r="G180" i="17"/>
  <c r="H439" i="17"/>
  <c r="H13" i="17"/>
  <c r="H43" i="17"/>
  <c r="G468" i="17"/>
  <c r="H61" i="17"/>
  <c r="H289" i="17"/>
  <c r="H28" i="17"/>
  <c r="H183" i="17"/>
  <c r="H539" i="17"/>
  <c r="G144" i="17"/>
  <c r="H514" i="17"/>
  <c r="G310" i="17"/>
  <c r="H162" i="17"/>
  <c r="G451" i="17"/>
  <c r="G101" i="17"/>
  <c r="G337" i="17"/>
  <c r="G580" i="17"/>
  <c r="H401" i="17"/>
  <c r="H376" i="17"/>
  <c r="H57" i="17"/>
  <c r="G548" i="17"/>
  <c r="G248" i="17"/>
  <c r="H35" i="17"/>
  <c r="H292" i="17"/>
  <c r="G594" i="17"/>
  <c r="H96" i="21"/>
  <c r="H64" i="21"/>
  <c r="H32" i="21"/>
  <c r="H101" i="21"/>
  <c r="H69" i="21"/>
  <c r="AO78" i="21"/>
  <c r="H18" i="23"/>
  <c r="H21" i="25"/>
  <c r="H22" i="25"/>
  <c r="G155" i="25"/>
  <c r="H203" i="25"/>
  <c r="H526" i="25"/>
  <c r="H331" i="25"/>
  <c r="G411" i="25"/>
  <c r="H561" i="25"/>
  <c r="H151" i="17"/>
  <c r="H266" i="17"/>
  <c r="H523" i="17"/>
  <c r="H262" i="17"/>
  <c r="H34" i="17"/>
  <c r="H563" i="17"/>
  <c r="H231" i="17"/>
  <c r="H40" i="17"/>
  <c r="H301" i="17"/>
  <c r="H85" i="17"/>
  <c r="G480" i="17"/>
  <c r="H91" i="17"/>
  <c r="H579" i="17"/>
  <c r="H48" i="17"/>
  <c r="H101" i="17"/>
  <c r="H123" i="17"/>
  <c r="H128" i="17"/>
  <c r="G188" i="17"/>
  <c r="G467" i="17"/>
  <c r="H343" i="17"/>
  <c r="H623" i="17"/>
  <c r="H349" i="17"/>
  <c r="G434" i="17"/>
  <c r="G69" i="17"/>
  <c r="H533" i="17"/>
  <c r="H503" i="17"/>
  <c r="H111" i="17"/>
  <c r="H591" i="17"/>
  <c r="G429" i="17"/>
  <c r="G432" i="17"/>
  <c r="G257" i="17"/>
  <c r="G613" i="17"/>
  <c r="H55" i="17"/>
  <c r="H475" i="17"/>
  <c r="G80" i="17"/>
  <c r="H450" i="17"/>
  <c r="G278" i="17"/>
  <c r="H42" i="17"/>
  <c r="H515" i="17"/>
  <c r="H325" i="17"/>
  <c r="G518" i="17"/>
  <c r="G516" i="17"/>
  <c r="H337" i="17"/>
  <c r="G120" i="17"/>
  <c r="G21" i="17"/>
  <c r="G397" i="17"/>
  <c r="H597" i="17"/>
  <c r="G269" i="17"/>
  <c r="H350" i="17"/>
  <c r="H94" i="21"/>
  <c r="H62" i="21"/>
  <c r="H30" i="21"/>
  <c r="H99" i="21"/>
  <c r="H67" i="21"/>
  <c r="AO80" i="21"/>
  <c r="AO38" i="23"/>
  <c r="H34" i="25"/>
  <c r="H51" i="25"/>
  <c r="G166" i="25"/>
  <c r="H214" i="25"/>
  <c r="G367" i="25"/>
  <c r="H341" i="25"/>
  <c r="G422" i="25"/>
  <c r="H573" i="25"/>
  <c r="H87" i="17"/>
  <c r="G202" i="17"/>
  <c r="H491" i="17"/>
  <c r="H230" i="17"/>
  <c r="H18" i="17"/>
  <c r="G290" i="17"/>
  <c r="G104" i="17"/>
  <c r="H72" i="17"/>
  <c r="H333" i="17"/>
  <c r="H149" i="17"/>
  <c r="G512" i="17"/>
  <c r="H219" i="17"/>
  <c r="G370" i="17"/>
  <c r="H112" i="17"/>
  <c r="H229" i="17"/>
  <c r="G124" i="17"/>
  <c r="H256" i="17"/>
  <c r="G363" i="17"/>
  <c r="G338" i="17"/>
  <c r="H311" i="17"/>
  <c r="G35" i="17"/>
  <c r="H477" i="17"/>
  <c r="G425" i="17"/>
  <c r="H581" i="17"/>
  <c r="G311" i="17"/>
  <c r="H567" i="17"/>
  <c r="H239" i="17"/>
  <c r="G551" i="17"/>
  <c r="G365" i="17"/>
  <c r="G400" i="17"/>
  <c r="G225" i="17"/>
  <c r="G581" i="17"/>
  <c r="G586" i="17"/>
  <c r="H411" i="17"/>
  <c r="G16" i="17"/>
  <c r="H386" i="17"/>
  <c r="H583" i="17"/>
  <c r="H238" i="17"/>
  <c r="H135" i="17"/>
  <c r="H294" i="17"/>
  <c r="H47" i="17"/>
  <c r="G452" i="17"/>
  <c r="H273" i="17"/>
  <c r="H119" i="17"/>
  <c r="G54" i="17"/>
  <c r="H478" i="17"/>
  <c r="G281" i="17"/>
  <c r="G94" i="17"/>
  <c r="H561" i="17"/>
  <c r="H92" i="21"/>
  <c r="H60" i="21"/>
  <c r="H28" i="21"/>
  <c r="H97" i="21"/>
  <c r="H63" i="21"/>
  <c r="AO52" i="21"/>
  <c r="AO45" i="23"/>
  <c r="H44" i="25"/>
  <c r="H73" i="25"/>
  <c r="G174" i="25"/>
  <c r="H222" i="25"/>
  <c r="H486" i="25"/>
  <c r="H350" i="25"/>
  <c r="G431" i="25"/>
  <c r="H581" i="25"/>
  <c r="H23" i="17"/>
  <c r="G138" i="17"/>
  <c r="H459" i="17"/>
  <c r="H198" i="17"/>
  <c r="H62" i="17"/>
  <c r="G354" i="17"/>
  <c r="G232" i="17"/>
  <c r="H104" i="17"/>
  <c r="H365" i="17"/>
  <c r="H213" i="17"/>
  <c r="G544" i="17"/>
  <c r="G92" i="17"/>
  <c r="H121" i="17"/>
  <c r="H176" i="17"/>
  <c r="G102" i="17"/>
  <c r="H380" i="17"/>
  <c r="G133" i="17"/>
  <c r="G19" i="17"/>
  <c r="G200" i="17"/>
  <c r="H279" i="17"/>
  <c r="G147" i="17"/>
  <c r="G268" i="17"/>
  <c r="H392" i="17"/>
  <c r="H390" i="17"/>
  <c r="H206" i="17"/>
  <c r="G294" i="17"/>
  <c r="G112" i="17"/>
  <c r="G487" i="17"/>
  <c r="G301" i="17"/>
  <c r="G368" i="17"/>
  <c r="G193" i="17"/>
  <c r="G549" i="17"/>
  <c r="G522" i="17"/>
  <c r="H347" i="17"/>
  <c r="H207" i="17"/>
  <c r="H322" i="17"/>
  <c r="H551" i="17"/>
  <c r="H531" i="17"/>
  <c r="H16" i="17"/>
  <c r="G250" i="17"/>
  <c r="G48" i="17"/>
  <c r="G333" i="17"/>
  <c r="G209" i="17"/>
  <c r="G554" i="17"/>
  <c r="H25" i="17"/>
  <c r="G222" i="17"/>
  <c r="G106" i="17"/>
  <c r="G352" i="17"/>
  <c r="G49" i="17"/>
  <c r="B203" i="2"/>
  <c r="H90" i="21"/>
  <c r="H58" i="21"/>
  <c r="H26" i="21"/>
  <c r="H95" i="21"/>
  <c r="H49" i="21"/>
  <c r="AO16" i="21"/>
  <c r="H72" i="23"/>
  <c r="H58" i="25"/>
  <c r="H105" i="25"/>
  <c r="G186" i="25"/>
  <c r="H233" i="25"/>
  <c r="G271" i="25"/>
  <c r="H361" i="25"/>
  <c r="G441" i="25"/>
  <c r="H592" i="25"/>
  <c r="G602" i="17"/>
  <c r="G74" i="17"/>
  <c r="H427" i="17"/>
  <c r="H166" i="17"/>
  <c r="H126" i="17"/>
  <c r="G418" i="17"/>
  <c r="H360" i="17"/>
  <c r="H136" i="17"/>
  <c r="H397" i="17"/>
  <c r="G22" i="17"/>
  <c r="G576" i="17"/>
  <c r="G220" i="17"/>
  <c r="G122" i="17"/>
  <c r="H240" i="17"/>
  <c r="G230" i="17"/>
  <c r="G299" i="17"/>
  <c r="G261" i="17"/>
  <c r="H547" i="17"/>
  <c r="H96" i="17"/>
  <c r="G247" i="17"/>
  <c r="H403" i="17"/>
  <c r="G396" i="17"/>
  <c r="G505" i="17"/>
  <c r="H372" i="17"/>
  <c r="G387" i="17"/>
  <c r="G358" i="17"/>
  <c r="G240" i="17"/>
  <c r="G403" i="17"/>
  <c r="H574" i="17"/>
  <c r="G336" i="17"/>
  <c r="G161" i="17"/>
  <c r="G517" i="17"/>
  <c r="G458" i="17"/>
  <c r="H283" i="17"/>
  <c r="H143" i="17"/>
  <c r="G258" i="17"/>
  <c r="H519" i="17"/>
  <c r="H282" i="17"/>
  <c r="H277" i="17"/>
  <c r="G600" i="17"/>
  <c r="H304" i="17"/>
  <c r="H542" i="17"/>
  <c r="G145" i="17"/>
  <c r="G409" i="17"/>
  <c r="G199" i="17"/>
  <c r="H221" i="17"/>
  <c r="G362" i="17"/>
  <c r="H433" i="17"/>
  <c r="G367" i="17"/>
  <c r="B34" i="2"/>
  <c r="B35" i="2" s="1"/>
  <c r="H88" i="21"/>
  <c r="H56" i="21"/>
  <c r="H24" i="21"/>
  <c r="H93" i="21"/>
  <c r="H31" i="21"/>
  <c r="H64" i="23"/>
  <c r="AO13" i="23"/>
  <c r="H68" i="25"/>
  <c r="H119" i="25"/>
  <c r="G194" i="25"/>
  <c r="G340" i="25"/>
  <c r="G279" i="25"/>
  <c r="H373" i="25"/>
  <c r="G451" i="25"/>
  <c r="H601" i="25"/>
  <c r="B411" i="2"/>
  <c r="H84" i="21"/>
  <c r="H52" i="21"/>
  <c r="H20" i="21"/>
  <c r="H89" i="21"/>
  <c r="H63" i="23"/>
  <c r="H44" i="23"/>
  <c r="G239" i="25"/>
  <c r="H155" i="25"/>
  <c r="G214" i="25"/>
  <c r="H250" i="25"/>
  <c r="G299" i="25"/>
  <c r="H449" i="25"/>
  <c r="G470" i="25"/>
  <c r="G545" i="25"/>
  <c r="G506" i="17"/>
  <c r="H137" i="17"/>
  <c r="H331" i="17"/>
  <c r="H70" i="17"/>
  <c r="H46" i="17"/>
  <c r="G90" i="17"/>
  <c r="H568" i="17"/>
  <c r="H232" i="17"/>
  <c r="H493" i="17"/>
  <c r="G214" i="17"/>
  <c r="G20" i="17"/>
  <c r="G267" i="17"/>
  <c r="G498" i="17"/>
  <c r="G181" i="17"/>
  <c r="G277" i="17"/>
  <c r="G227" i="17"/>
  <c r="G308" i="17"/>
  <c r="G343" i="17"/>
  <c r="G536" i="17"/>
  <c r="G151" i="17"/>
  <c r="H538" i="17"/>
  <c r="H438" i="17"/>
  <c r="H405" i="17"/>
  <c r="H421" i="17"/>
  <c r="G157" i="17"/>
  <c r="H225" i="17"/>
  <c r="G523" i="17"/>
  <c r="H356" i="17"/>
  <c r="H382" i="17"/>
  <c r="H577" i="17"/>
  <c r="G65" i="17"/>
  <c r="G399" i="17"/>
  <c r="H426" i="17"/>
  <c r="G91" i="17"/>
  <c r="G598" i="17"/>
  <c r="G66" i="17"/>
  <c r="H423" i="17"/>
  <c r="H24" i="17"/>
  <c r="G612" i="17"/>
  <c r="H158" i="17"/>
  <c r="H492" i="17"/>
  <c r="G158" i="17"/>
  <c r="H204" i="17"/>
  <c r="H233" i="17"/>
  <c r="H290" i="17"/>
  <c r="H497" i="17"/>
  <c r="H182" i="17"/>
  <c r="G533" i="17"/>
  <c r="G582" i="17"/>
  <c r="H82" i="21"/>
  <c r="H50" i="21"/>
  <c r="H18" i="21"/>
  <c r="H87" i="21"/>
  <c r="AO82" i="21"/>
  <c r="H85" i="23"/>
  <c r="AO53" i="23"/>
  <c r="G13" i="25"/>
  <c r="G256" i="25"/>
  <c r="G225" i="25"/>
  <c r="H260" i="25"/>
  <c r="G310" i="25"/>
  <c r="H497" i="25"/>
  <c r="G481" i="25"/>
  <c r="G556" i="25"/>
  <c r="G474" i="17"/>
  <c r="H73" i="17"/>
  <c r="H299" i="17"/>
  <c r="H38" i="17"/>
  <c r="H174" i="17"/>
  <c r="G218" i="17"/>
  <c r="G295" i="17"/>
  <c r="H264" i="17"/>
  <c r="H525" i="17"/>
  <c r="H278" i="17"/>
  <c r="G148" i="17"/>
  <c r="G395" i="17"/>
  <c r="H613" i="17"/>
  <c r="G245" i="17"/>
  <c r="G405" i="17"/>
  <c r="H483" i="17"/>
  <c r="G436" i="17"/>
  <c r="H32" i="17"/>
  <c r="G60" i="17"/>
  <c r="G119" i="17"/>
  <c r="G578" i="17"/>
  <c r="G357" i="17"/>
  <c r="G324" i="17"/>
  <c r="H593" i="17"/>
  <c r="G513" i="17"/>
  <c r="G98" i="17"/>
  <c r="G459" i="17"/>
  <c r="G228" i="17"/>
  <c r="H318" i="17"/>
  <c r="H545" i="17"/>
  <c r="G33" i="17"/>
  <c r="G335" i="17"/>
  <c r="H298" i="17"/>
  <c r="G27" i="17"/>
  <c r="G566" i="17"/>
  <c r="H257" i="17"/>
  <c r="H391" i="17"/>
  <c r="G29" i="17"/>
  <c r="G274" i="17"/>
  <c r="G71" i="17"/>
  <c r="G236" i="17"/>
  <c r="G30" i="17"/>
  <c r="H140" i="17"/>
  <c r="G426" i="17"/>
  <c r="G454" i="17"/>
  <c r="H369" i="17"/>
  <c r="G427" i="17"/>
  <c r="H448" i="17"/>
  <c r="G484" i="17"/>
  <c r="B11" i="21"/>
  <c r="H80" i="21"/>
  <c r="H48" i="21"/>
  <c r="H16" i="21"/>
  <c r="H85" i="21"/>
  <c r="AO22" i="21"/>
  <c r="H10" i="23"/>
  <c r="H83" i="23"/>
  <c r="G40" i="25"/>
  <c r="H498" i="25"/>
  <c r="G234" i="25"/>
  <c r="H269" i="25"/>
  <c r="G319" i="25"/>
  <c r="H529" i="25"/>
  <c r="G489" i="25"/>
  <c r="G564" i="25"/>
  <c r="H9" i="21"/>
  <c r="H78" i="21"/>
  <c r="H46" i="21"/>
  <c r="H14" i="21"/>
  <c r="H83" i="21"/>
  <c r="AO91" i="21"/>
  <c r="AO23" i="23"/>
  <c r="H107" i="23"/>
  <c r="G52" i="25"/>
  <c r="G87" i="25"/>
  <c r="H402" i="25"/>
  <c r="H280" i="25"/>
  <c r="G338" i="25"/>
  <c r="H432" i="25"/>
  <c r="G501" i="25"/>
  <c r="G576" i="25"/>
  <c r="G377" i="17"/>
  <c r="G410" i="17"/>
  <c r="G235" i="17"/>
  <c r="H146" i="17"/>
  <c r="G115" i="17"/>
  <c r="H474" i="17"/>
  <c r="G423" i="17"/>
  <c r="G77" i="17"/>
  <c r="H589" i="17"/>
  <c r="H406" i="17"/>
  <c r="H404" i="17"/>
  <c r="G547" i="17"/>
  <c r="G264" i="17"/>
  <c r="H373" i="17"/>
  <c r="G552" i="17"/>
  <c r="G186" i="17"/>
  <c r="G262" i="17"/>
  <c r="H293" i="17"/>
  <c r="H224" i="17"/>
  <c r="G55" i="17"/>
  <c r="H536" i="17"/>
  <c r="H211" i="17"/>
  <c r="H550" i="17"/>
  <c r="H454" i="17"/>
  <c r="H275" i="17"/>
  <c r="H354" i="17"/>
  <c r="H556" i="17"/>
  <c r="H227" i="17"/>
  <c r="G190" i="17"/>
  <c r="H481" i="17"/>
  <c r="H220" i="17"/>
  <c r="H544" i="17"/>
  <c r="G42" i="17"/>
  <c r="H150" i="17"/>
  <c r="G502" i="17"/>
  <c r="H129" i="17"/>
  <c r="H295" i="17"/>
  <c r="H541" i="17"/>
  <c r="H133" i="17"/>
  <c r="H471" i="17"/>
  <c r="G604" i="17"/>
  <c r="H29" i="17"/>
  <c r="H626" i="17"/>
  <c r="H507" i="17"/>
  <c r="H600" i="17"/>
  <c r="G113" i="17"/>
  <c r="H194" i="17"/>
  <c r="H105" i="17"/>
  <c r="H247" i="17"/>
  <c r="AX8" i="21"/>
  <c r="H108" i="21"/>
  <c r="H76" i="21"/>
  <c r="H44" i="21"/>
  <c r="H12" i="21"/>
  <c r="H81" i="21"/>
  <c r="AO63" i="21"/>
  <c r="AO33" i="23"/>
  <c r="AO86" i="23"/>
  <c r="G59" i="25"/>
  <c r="G95" i="25"/>
  <c r="H128" i="25"/>
  <c r="H289" i="25"/>
  <c r="H386" i="25"/>
  <c r="H468" i="25"/>
  <c r="G510" i="25"/>
  <c r="G584" i="25"/>
  <c r="H280" i="17"/>
  <c r="G313" i="17"/>
  <c r="G378" i="17"/>
  <c r="G203" i="17"/>
  <c r="H130" i="17"/>
  <c r="G179" i="17"/>
  <c r="G13" i="17"/>
  <c r="G465" i="17"/>
  <c r="G109" i="17"/>
  <c r="G284" i="17"/>
  <c r="H470" i="17"/>
  <c r="H532" i="17"/>
  <c r="G611" i="17"/>
  <c r="H456" i="17"/>
  <c r="H437" i="17"/>
  <c r="H51" i="17"/>
  <c r="G361" i="17"/>
  <c r="H518" i="17"/>
  <c r="H549" i="17"/>
  <c r="G198" i="17"/>
  <c r="G23" i="17"/>
  <c r="G449" i="17"/>
  <c r="H468" i="17"/>
  <c r="G584" i="17"/>
  <c r="H485" i="17"/>
  <c r="H106" i="17"/>
  <c r="H482" i="17"/>
  <c r="H428" i="17"/>
  <c r="H99" i="17"/>
  <c r="G126" i="17"/>
  <c r="H449" i="17"/>
  <c r="H188" i="17"/>
  <c r="H480" i="17"/>
  <c r="H169" i="17"/>
  <c r="H86" i="17"/>
  <c r="G470" i="17"/>
  <c r="H65" i="17"/>
  <c r="G231" i="17"/>
  <c r="H53" i="17"/>
  <c r="H187" i="17"/>
  <c r="H608" i="17"/>
  <c r="G519" i="17"/>
  <c r="G384" i="17"/>
  <c r="G565" i="17"/>
  <c r="H379" i="17"/>
  <c r="G283" i="17"/>
  <c r="H236" i="17"/>
  <c r="G326" i="17"/>
  <c r="H315" i="17"/>
  <c r="H407" i="17"/>
  <c r="H106" i="21"/>
  <c r="H74" i="21"/>
  <c r="H42" i="21"/>
  <c r="H10" i="21"/>
  <c r="H79" i="21"/>
  <c r="AO27" i="21"/>
  <c r="H57" i="23"/>
  <c r="AO95" i="23"/>
  <c r="G68" i="25"/>
  <c r="G107" i="25"/>
  <c r="H149" i="25"/>
  <c r="H300" i="25"/>
  <c r="H375" i="25"/>
  <c r="H512" i="25"/>
  <c r="G520" i="25"/>
  <c r="G595" i="25"/>
  <c r="G216" i="17"/>
  <c r="H586" i="17"/>
  <c r="G346" i="17"/>
  <c r="G171" i="17"/>
  <c r="H114" i="17"/>
  <c r="G243" i="17"/>
  <c r="G393" i="17"/>
  <c r="G497" i="17"/>
  <c r="G141" i="17"/>
  <c r="G316" i="17"/>
  <c r="H534" i="17"/>
  <c r="G323" i="17"/>
  <c r="H78" i="17"/>
  <c r="H584" i="17"/>
  <c r="H501" i="17"/>
  <c r="G52" i="17"/>
  <c r="H71" i="17"/>
  <c r="G437" i="17"/>
  <c r="H69" i="17"/>
  <c r="H572" i="17"/>
  <c r="H242" i="17"/>
  <c r="G577" i="17"/>
  <c r="G543" i="17"/>
  <c r="G355" i="17"/>
  <c r="G559" i="17"/>
  <c r="H258" i="17"/>
  <c r="G273" i="17"/>
  <c r="H300" i="17"/>
  <c r="G608" i="17"/>
  <c r="G62" i="17"/>
  <c r="H417" i="17"/>
  <c r="H156" i="17"/>
  <c r="H416" i="17"/>
  <c r="H41" i="17"/>
  <c r="H22" i="17"/>
  <c r="G433" i="17"/>
  <c r="G438" i="17"/>
  <c r="G167" i="17"/>
  <c r="H310" i="17"/>
  <c r="H160" i="17"/>
  <c r="G390" i="17"/>
  <c r="G339" i="17"/>
  <c r="G320" i="17"/>
  <c r="G501" i="17"/>
  <c r="G251" i="17"/>
  <c r="G108" i="17"/>
  <c r="H108" i="17"/>
  <c r="H546" i="17"/>
  <c r="H54" i="17"/>
  <c r="H93" i="17"/>
  <c r="H104" i="21"/>
  <c r="H72" i="21"/>
  <c r="H40" i="21"/>
  <c r="H109" i="21"/>
  <c r="H77" i="21"/>
  <c r="AO74" i="21"/>
  <c r="AO64" i="23"/>
  <c r="AO102" i="23"/>
  <c r="G75" i="25"/>
  <c r="G116" i="25"/>
  <c r="H162" i="25"/>
  <c r="H308" i="25"/>
  <c r="H407" i="25"/>
  <c r="G372" i="25"/>
  <c r="G529" i="25"/>
  <c r="G604" i="25"/>
  <c r="H87" i="25"/>
  <c r="H102" i="25"/>
  <c r="G126" i="25"/>
  <c r="H173" i="25"/>
  <c r="H320" i="25"/>
  <c r="H451" i="25"/>
  <c r="G383" i="25"/>
  <c r="G539" i="25"/>
  <c r="D68" i="1"/>
  <c r="D69" i="1"/>
  <c r="D222" i="2"/>
  <c r="C3" i="25" s="1"/>
  <c r="D38" i="2"/>
  <c r="D41" i="2" s="1"/>
  <c r="D39" i="2"/>
  <c r="K9" i="23"/>
  <c r="B412" i="2"/>
  <c r="D37" i="2"/>
  <c r="B68" i="23" s="1"/>
  <c r="B69" i="23" s="1"/>
  <c r="D239" i="2"/>
  <c r="B59" i="23"/>
  <c r="B277" i="2"/>
  <c r="J100" i="23"/>
  <c r="K100" i="23" s="1"/>
  <c r="J71" i="23"/>
  <c r="K71" i="23" s="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J20" i="23"/>
  <c r="K20" i="23" s="1"/>
  <c r="B257" i="2"/>
  <c r="N10" i="8" s="1"/>
  <c r="O10" i="8" s="1"/>
  <c r="B258" i="2" s="1"/>
  <c r="B261" i="2" s="1"/>
  <c r="E70" i="1" s="1"/>
  <c r="B23" i="21"/>
  <c r="G609" i="25"/>
  <c r="B370" i="2"/>
  <c r="B24" i="21"/>
  <c r="J57" i="23"/>
  <c r="K57" i="23" s="1"/>
  <c r="J44" i="21"/>
  <c r="AM24" i="23"/>
  <c r="AU24" i="23"/>
  <c r="K24" i="23"/>
  <c r="AQ23" i="21"/>
  <c r="J96" i="23"/>
  <c r="M96" i="23" s="1"/>
  <c r="N96" i="23" s="1"/>
  <c r="AH96" i="23" s="1"/>
  <c r="AI96" i="23" s="1"/>
  <c r="AQ93" i="21"/>
  <c r="AR61" i="23"/>
  <c r="AR68" i="21"/>
  <c r="AR85" i="21"/>
  <c r="B13" i="21"/>
  <c r="D54" i="2"/>
  <c r="D58" i="2" s="1"/>
  <c r="J78" i="23"/>
  <c r="J43" i="23"/>
  <c r="K43" i="23" s="1"/>
  <c r="J92" i="23"/>
  <c r="K92" i="23" s="1"/>
  <c r="J94" i="23"/>
  <c r="AL94" i="23" s="1"/>
  <c r="J59" i="23"/>
  <c r="K59" i="23" s="1"/>
  <c r="J12" i="23"/>
  <c r="AL12" i="23" s="1"/>
  <c r="D55" i="2"/>
  <c r="D59" i="2" s="1"/>
  <c r="J90" i="23"/>
  <c r="K90" i="23" s="1"/>
  <c r="J102" i="23"/>
  <c r="K102" i="23" s="1"/>
  <c r="AQ9" i="21"/>
  <c r="D53" i="2"/>
  <c r="D57" i="2" s="1"/>
  <c r="D68" i="2" s="1"/>
  <c r="AR99" i="21"/>
  <c r="AR53" i="21"/>
  <c r="B13" i="23"/>
  <c r="J66" i="23"/>
  <c r="K66" i="23" s="1"/>
  <c r="J38" i="23"/>
  <c r="K38" i="23" s="1"/>
  <c r="J88" i="23"/>
  <c r="K88" i="23" s="1"/>
  <c r="J74" i="23"/>
  <c r="K74" i="23" s="1"/>
  <c r="J55" i="23"/>
  <c r="K55" i="23" s="1"/>
  <c r="AQ36" i="21"/>
  <c r="AR54" i="21"/>
  <c r="N3" i="17"/>
  <c r="N5" i="17" s="1"/>
  <c r="J16" i="23"/>
  <c r="AM16" i="23" s="1"/>
  <c r="AQ37" i="21"/>
  <c r="B42" i="2"/>
  <c r="B44" i="2" s="1"/>
  <c r="B45" i="2" s="1"/>
  <c r="E27" i="1" s="1"/>
  <c r="AR67" i="21"/>
  <c r="AR20" i="21"/>
  <c r="J54" i="23"/>
  <c r="AM54" i="23" s="1"/>
  <c r="J33" i="23"/>
  <c r="K33" i="23" s="1"/>
  <c r="J84" i="23"/>
  <c r="K84" i="23" s="1"/>
  <c r="J70" i="23"/>
  <c r="M70" i="23" s="1"/>
  <c r="N70" i="23" s="1"/>
  <c r="V70" i="23" s="1"/>
  <c r="W70" i="23" s="1"/>
  <c r="X70" i="23" s="1"/>
  <c r="J51" i="23"/>
  <c r="K51" i="23" s="1"/>
  <c r="J53" i="23"/>
  <c r="K53" i="23" s="1"/>
  <c r="J67" i="23"/>
  <c r="K67" i="23" s="1"/>
  <c r="AQ18" i="21"/>
  <c r="AQ59" i="21"/>
  <c r="AR19" i="21"/>
  <c r="J109" i="23"/>
  <c r="K109" i="23" s="1"/>
  <c r="J27" i="23"/>
  <c r="K27" i="23" s="1"/>
  <c r="J80" i="23"/>
  <c r="M80" i="23" s="1"/>
  <c r="N80" i="23" s="1"/>
  <c r="O80" i="23" s="1"/>
  <c r="J50" i="23"/>
  <c r="M50" i="23" s="1"/>
  <c r="N50" i="23" s="1"/>
  <c r="P50" i="23" s="1"/>
  <c r="Q50" i="23" s="1"/>
  <c r="AE50" i="23" s="1"/>
  <c r="J46" i="23"/>
  <c r="K46" i="23" s="1"/>
  <c r="N16" i="8"/>
  <c r="O16" i="8" s="1"/>
  <c r="B167" i="2" s="1"/>
  <c r="C68" i="16" s="1"/>
  <c r="D68" i="16" s="1"/>
  <c r="AQ24" i="21"/>
  <c r="B78" i="21"/>
  <c r="G252" i="2"/>
  <c r="AR97" i="21"/>
  <c r="J105" i="23"/>
  <c r="J22" i="23"/>
  <c r="AM22" i="23" s="1"/>
  <c r="J72" i="23"/>
  <c r="AU72" i="23" s="1"/>
  <c r="J39" i="23"/>
  <c r="AM39" i="23" s="1"/>
  <c r="J35" i="23"/>
  <c r="AL35" i="23" s="1"/>
  <c r="AQ49" i="21"/>
  <c r="AQ30" i="23"/>
  <c r="AR13" i="21"/>
  <c r="AR81" i="21"/>
  <c r="J101" i="23"/>
  <c r="K101" i="23" s="1"/>
  <c r="J17" i="23"/>
  <c r="AU17" i="23" s="1"/>
  <c r="J68" i="23"/>
  <c r="K68" i="23" s="1"/>
  <c r="J29" i="23"/>
  <c r="M29" i="23" s="1"/>
  <c r="N29" i="23" s="1"/>
  <c r="AB29" i="23" s="1"/>
  <c r="AC29" i="23" s="1"/>
  <c r="J30" i="23"/>
  <c r="B267" i="2"/>
  <c r="B165" i="2"/>
  <c r="AQ63" i="21"/>
  <c r="AQ103" i="23"/>
  <c r="AR78" i="21"/>
  <c r="AR33" i="21"/>
  <c r="J97" i="23"/>
  <c r="M97" i="23" s="1"/>
  <c r="N97" i="23" s="1"/>
  <c r="P97" i="23" s="1"/>
  <c r="Q97" i="23" s="1"/>
  <c r="AE97" i="23" s="1"/>
  <c r="J11" i="23"/>
  <c r="K11" i="23" s="1"/>
  <c r="J60" i="23"/>
  <c r="K60" i="23" s="1"/>
  <c r="J18" i="23"/>
  <c r="M18" i="23" s="1"/>
  <c r="N18" i="23" s="1"/>
  <c r="P18" i="23" s="1"/>
  <c r="Q18" i="23" s="1"/>
  <c r="AE18" i="23" s="1"/>
  <c r="J25" i="23"/>
  <c r="AU25" i="23" s="1"/>
  <c r="AR72" i="21"/>
  <c r="B265" i="2"/>
  <c r="B239" i="2"/>
  <c r="K3" i="17" s="1"/>
  <c r="AQ34" i="21"/>
  <c r="AQ78" i="23"/>
  <c r="AR46" i="21"/>
  <c r="AR96" i="21"/>
  <c r="J93" i="23"/>
  <c r="J98" i="23"/>
  <c r="AL98" i="23" s="1"/>
  <c r="J56" i="23"/>
  <c r="AU56" i="23" s="1"/>
  <c r="J103" i="23"/>
  <c r="M103" i="23" s="1"/>
  <c r="J19" i="23"/>
  <c r="AL19" i="23" s="1"/>
  <c r="AQ83" i="21"/>
  <c r="AQ42" i="23"/>
  <c r="AR44" i="21"/>
  <c r="AR48" i="21"/>
  <c r="J89" i="23"/>
  <c r="K89" i="23" s="1"/>
  <c r="J82" i="23"/>
  <c r="K82" i="23" s="1"/>
  <c r="J52" i="23"/>
  <c r="K52" i="23" s="1"/>
  <c r="J99" i="23"/>
  <c r="K99" i="23" s="1"/>
  <c r="J14" i="23"/>
  <c r="AL14" i="23" s="1"/>
  <c r="AR70" i="21"/>
  <c r="AR28" i="23"/>
  <c r="B4" i="6"/>
  <c r="B12" i="6" s="1"/>
  <c r="AQ87" i="21"/>
  <c r="AQ15" i="23"/>
  <c r="AR109" i="21"/>
  <c r="AR106" i="21"/>
  <c r="J85" i="23"/>
  <c r="K85" i="23" s="1"/>
  <c r="J45" i="23"/>
  <c r="AU45" i="23" s="1"/>
  <c r="J47" i="23"/>
  <c r="K47" i="23" s="1"/>
  <c r="J95" i="23"/>
  <c r="K95" i="23" s="1"/>
  <c r="J48" i="23"/>
  <c r="K48" i="23" s="1"/>
  <c r="AR84" i="21"/>
  <c r="AQ107" i="21"/>
  <c r="AQ23" i="23"/>
  <c r="AR75" i="21"/>
  <c r="AR90" i="21"/>
  <c r="J77" i="23"/>
  <c r="J34" i="23"/>
  <c r="AL34" i="23" s="1"/>
  <c r="J37" i="23"/>
  <c r="K37" i="23" s="1"/>
  <c r="J91" i="23"/>
  <c r="K91" i="23" s="1"/>
  <c r="J44" i="23"/>
  <c r="AL44" i="23" s="1"/>
  <c r="AQ41" i="21"/>
  <c r="AQ18" i="23"/>
  <c r="AR59" i="21"/>
  <c r="AR105" i="21"/>
  <c r="J73" i="23"/>
  <c r="AL73" i="23" s="1"/>
  <c r="J13" i="23"/>
  <c r="K13" i="23" s="1"/>
  <c r="J31" i="23"/>
  <c r="K31" i="23" s="1"/>
  <c r="J87" i="23"/>
  <c r="K87" i="23" s="1"/>
  <c r="J36" i="23"/>
  <c r="AM36" i="23" s="1"/>
  <c r="AQ56" i="21"/>
  <c r="B351" i="2"/>
  <c r="AR58" i="21"/>
  <c r="AR73" i="21"/>
  <c r="AR14" i="23"/>
  <c r="J65" i="23"/>
  <c r="K65" i="23" s="1"/>
  <c r="B14" i="23"/>
  <c r="J26" i="23"/>
  <c r="K26" i="23" s="1"/>
  <c r="J83" i="23"/>
  <c r="J32" i="23"/>
  <c r="M32" i="23" s="1"/>
  <c r="N32" i="23" s="1"/>
  <c r="AR86" i="23"/>
  <c r="AQ75" i="21"/>
  <c r="AR16" i="23"/>
  <c r="AR57" i="21"/>
  <c r="AR24" i="21"/>
  <c r="J61" i="23"/>
  <c r="K61" i="23" s="1"/>
  <c r="J104" i="23"/>
  <c r="M104" i="23" s="1"/>
  <c r="N104" i="23" s="1"/>
  <c r="V104" i="23" s="1"/>
  <c r="W104" i="23" s="1"/>
  <c r="X104" i="23" s="1"/>
  <c r="J21" i="23"/>
  <c r="K21" i="23" s="1"/>
  <c r="J79" i="23"/>
  <c r="AL79" i="23" s="1"/>
  <c r="AQ99" i="21"/>
  <c r="AQ101" i="21"/>
  <c r="AQ15" i="21"/>
  <c r="AQ42" i="21"/>
  <c r="AQ62" i="21"/>
  <c r="AQ51" i="21"/>
  <c r="AQ66" i="21"/>
  <c r="AQ69" i="21"/>
  <c r="AQ96" i="21"/>
  <c r="AQ106" i="21"/>
  <c r="AQ100" i="21"/>
  <c r="AQ17" i="21"/>
  <c r="F137" i="2"/>
  <c r="B137" i="2" s="1"/>
  <c r="AQ53" i="21"/>
  <c r="AQ72" i="21"/>
  <c r="AQ81" i="21"/>
  <c r="AQ92" i="23"/>
  <c r="AQ108" i="23"/>
  <c r="AQ95" i="23"/>
  <c r="AQ43" i="23"/>
  <c r="AQ52" i="23"/>
  <c r="AQ61" i="23"/>
  <c r="B39" i="23"/>
  <c r="AR23" i="23"/>
  <c r="AR104" i="23"/>
  <c r="AR22" i="23"/>
  <c r="AR20" i="23"/>
  <c r="AR59" i="23"/>
  <c r="AR84" i="23"/>
  <c r="AM9" i="23"/>
  <c r="AQ28" i="23"/>
  <c r="AQ44" i="23"/>
  <c r="AQ63" i="23"/>
  <c r="AQ16" i="23"/>
  <c r="AQ20" i="23"/>
  <c r="AQ34" i="23"/>
  <c r="B19" i="21"/>
  <c r="AR9" i="23"/>
  <c r="AR63" i="23"/>
  <c r="AR58" i="23"/>
  <c r="AR64" i="23"/>
  <c r="AR40" i="23"/>
  <c r="AR103" i="23"/>
  <c r="AL105" i="23"/>
  <c r="B73" i="2"/>
  <c r="AQ25" i="23"/>
  <c r="AQ12" i="23"/>
  <c r="AQ31" i="23"/>
  <c r="AQ87" i="23"/>
  <c r="AQ73" i="23"/>
  <c r="AQ67" i="23"/>
  <c r="AR102" i="23"/>
  <c r="AR74" i="23"/>
  <c r="AR80" i="23"/>
  <c r="AR47" i="23"/>
  <c r="AR39" i="23"/>
  <c r="AR31" i="23"/>
  <c r="AL88" i="23"/>
  <c r="AQ93" i="23"/>
  <c r="AQ94" i="23"/>
  <c r="AQ100" i="23"/>
  <c r="AQ60" i="23"/>
  <c r="AQ109" i="23"/>
  <c r="AQ40" i="23"/>
  <c r="D363" i="2"/>
  <c r="AR38" i="23"/>
  <c r="AR66" i="23"/>
  <c r="AR55" i="23"/>
  <c r="AR72" i="23"/>
  <c r="AR48" i="23"/>
  <c r="AR24" i="23"/>
  <c r="A395" i="2"/>
  <c r="B372" i="2"/>
  <c r="AQ29" i="23"/>
  <c r="AQ9" i="23"/>
  <c r="AQ68" i="23"/>
  <c r="AQ70" i="23"/>
  <c r="AQ14" i="23"/>
  <c r="AQ59" i="23"/>
  <c r="AP3" i="21"/>
  <c r="AR69" i="23"/>
  <c r="AR78" i="23"/>
  <c r="AR96" i="23"/>
  <c r="AR56" i="23"/>
  <c r="AR32" i="23"/>
  <c r="AR95" i="23"/>
  <c r="M9" i="23"/>
  <c r="N9" i="23" s="1"/>
  <c r="O9" i="23" s="1"/>
  <c r="AQ66" i="23"/>
  <c r="AQ45" i="23"/>
  <c r="AQ36" i="23"/>
  <c r="AQ98" i="23"/>
  <c r="AQ85" i="23"/>
  <c r="AQ64" i="23"/>
  <c r="B22" i="23"/>
  <c r="AR100" i="23"/>
  <c r="AR109" i="23"/>
  <c r="AR88" i="23"/>
  <c r="AR62" i="23"/>
  <c r="AR54" i="23"/>
  <c r="AR46" i="23"/>
  <c r="B50" i="2"/>
  <c r="B51" i="2" s="1"/>
  <c r="AQ99" i="23"/>
  <c r="AQ65" i="23"/>
  <c r="AQ97" i="23"/>
  <c r="AQ35" i="23"/>
  <c r="AQ53" i="23"/>
  <c r="AQ102" i="23"/>
  <c r="D54" i="16"/>
  <c r="AR36" i="23"/>
  <c r="AR45" i="23"/>
  <c r="AR70" i="23"/>
  <c r="AR93" i="23"/>
  <c r="AR85" i="23"/>
  <c r="AR77" i="23"/>
  <c r="B199" i="2"/>
  <c r="B229" i="2"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104" i="23"/>
  <c r="AQ83" i="23"/>
  <c r="AQ41" i="23"/>
  <c r="AQ72" i="23"/>
  <c r="AQ21" i="23"/>
  <c r="AQ71" i="23"/>
  <c r="D53" i="16"/>
  <c r="AR75" i="23"/>
  <c r="AR76" i="23"/>
  <c r="AR101" i="23"/>
  <c r="AR29" i="23"/>
  <c r="AR13" i="23"/>
  <c r="AR108" i="23"/>
  <c r="B240" i="2"/>
  <c r="AR105" i="23"/>
  <c r="C59" i="16"/>
  <c r="D59" i="16" s="1"/>
  <c r="AQ91" i="23"/>
  <c r="AQ51" i="23"/>
  <c r="AQ86" i="23"/>
  <c r="AQ105" i="23"/>
  <c r="AQ90" i="23"/>
  <c r="AQ76" i="23"/>
  <c r="AR79" i="23"/>
  <c r="AR11" i="23"/>
  <c r="AR12" i="23"/>
  <c r="AR37" i="23"/>
  <c r="AR60" i="23"/>
  <c r="AR52" i="23"/>
  <c r="AR44" i="23"/>
  <c r="B28" i="2"/>
  <c r="K206" i="2" s="1"/>
  <c r="C66" i="16"/>
  <c r="D66" i="16" s="1"/>
  <c r="B96" i="2"/>
  <c r="E20" i="1" s="1"/>
  <c r="AQ27" i="23"/>
  <c r="AQ19" i="23"/>
  <c r="AQ101" i="23"/>
  <c r="AQ17" i="23"/>
  <c r="AQ58" i="23"/>
  <c r="AQ57" i="23"/>
  <c r="AR94" i="23"/>
  <c r="AR10" i="23"/>
  <c r="AR51" i="23"/>
  <c r="AR68" i="23"/>
  <c r="AR99" i="23"/>
  <c r="AR91" i="23"/>
  <c r="AR83" i="23"/>
  <c r="C60" i="16"/>
  <c r="D60" i="16" s="1"/>
  <c r="AQ75" i="23"/>
  <c r="AQ96" i="23"/>
  <c r="AQ88" i="23"/>
  <c r="AQ69" i="23"/>
  <c r="AQ54" i="23"/>
  <c r="AQ26" i="23"/>
  <c r="AQ77" i="23"/>
  <c r="AR41" i="23"/>
  <c r="AR49" i="23"/>
  <c r="AR50" i="23"/>
  <c r="AR107" i="23"/>
  <c r="AR35" i="23"/>
  <c r="AR27" i="23"/>
  <c r="AR19" i="23"/>
  <c r="AR17" i="23"/>
  <c r="AQ11" i="23"/>
  <c r="AQ32" i="23"/>
  <c r="AQ56" i="23"/>
  <c r="AQ37" i="23"/>
  <c r="AQ22" i="23"/>
  <c r="AQ107" i="23"/>
  <c r="AQ13" i="23"/>
  <c r="AR71" i="23"/>
  <c r="AR33" i="23"/>
  <c r="AR89" i="23"/>
  <c r="AR43" i="23"/>
  <c r="AR34" i="23"/>
  <c r="AR26" i="23"/>
  <c r="AR18" i="23"/>
  <c r="B374" i="2"/>
  <c r="AQ48" i="23"/>
  <c r="AQ81" i="23"/>
  <c r="AQ24" i="23"/>
  <c r="AQ106" i="23"/>
  <c r="AQ79" i="23"/>
  <c r="AQ80" i="23"/>
  <c r="AQ82" i="23"/>
  <c r="AR98" i="23"/>
  <c r="AR21" i="23"/>
  <c r="AR25" i="23"/>
  <c r="AR42" i="23"/>
  <c r="AR73" i="23"/>
  <c r="AR65" i="23"/>
  <c r="AR57" i="23"/>
  <c r="AQ33" i="23"/>
  <c r="AQ46" i="23"/>
  <c r="AQ49" i="23"/>
  <c r="AQ74" i="23"/>
  <c r="AQ47" i="23"/>
  <c r="AQ62" i="23"/>
  <c r="AQ50" i="23"/>
  <c r="AR53" i="23"/>
  <c r="AR82" i="23"/>
  <c r="AR15" i="23"/>
  <c r="AR81" i="23"/>
  <c r="AR106" i="23"/>
  <c r="AR30" i="23"/>
  <c r="B55" i="2"/>
  <c r="B161" i="2" s="1"/>
  <c r="AQ55" i="23"/>
  <c r="AQ39" i="23"/>
  <c r="AQ38" i="23"/>
  <c r="AQ10" i="23"/>
  <c r="AQ84" i="23"/>
  <c r="AQ89" i="23"/>
  <c r="B77" i="23"/>
  <c r="AR87" i="23"/>
  <c r="AR97" i="23"/>
  <c r="AR90" i="23"/>
  <c r="AR92" i="23"/>
  <c r="AR67" i="23"/>
  <c r="AR15" i="21"/>
  <c r="K66" i="21"/>
  <c r="AU66" i="21" s="1"/>
  <c r="K16" i="21"/>
  <c r="AM16" i="21" s="1"/>
  <c r="J59" i="21"/>
  <c r="K50" i="21"/>
  <c r="AU50" i="21" s="1"/>
  <c r="J15" i="21"/>
  <c r="K75" i="21"/>
  <c r="AM75" i="21" s="1"/>
  <c r="K67" i="21"/>
  <c r="J92" i="21"/>
  <c r="K18" i="21"/>
  <c r="L18" i="21" s="1"/>
  <c r="J55" i="21"/>
  <c r="A41" i="16"/>
  <c r="K38" i="21"/>
  <c r="AM38" i="21" s="1"/>
  <c r="J47" i="21"/>
  <c r="K76" i="21"/>
  <c r="AL76" i="21" s="1"/>
  <c r="B145" i="2"/>
  <c r="K42" i="21"/>
  <c r="AM42" i="21" s="1"/>
  <c r="K51" i="21"/>
  <c r="AL51" i="21" s="1"/>
  <c r="K77" i="21"/>
  <c r="J33" i="21"/>
  <c r="J93" i="21"/>
  <c r="B16" i="2"/>
  <c r="B232" i="2" s="1"/>
  <c r="J10" i="21"/>
  <c r="J98" i="21"/>
  <c r="J46" i="21"/>
  <c r="J108" i="21"/>
  <c r="B53" i="2"/>
  <c r="B57" i="2" s="1"/>
  <c r="J88" i="21"/>
  <c r="J107" i="21"/>
  <c r="B49" i="23"/>
  <c r="M93" i="23"/>
  <c r="N93" i="23" s="1"/>
  <c r="P93" i="23" s="1"/>
  <c r="Q93" i="23" s="1"/>
  <c r="AE93" i="23" s="1"/>
  <c r="M15" i="23"/>
  <c r="N15" i="23" s="1"/>
  <c r="R15" i="23" s="1"/>
  <c r="AN15" i="23" s="1"/>
  <c r="BE15" i="23" s="1"/>
  <c r="M24" i="23"/>
  <c r="I68" i="1"/>
  <c r="I69" i="1"/>
  <c r="C6" i="25"/>
  <c r="C6" i="17"/>
  <c r="B159" i="8"/>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N21" i="8"/>
  <c r="G3" i="8"/>
  <c r="O15" i="8"/>
  <c r="D185" i="2" s="1"/>
  <c r="B186" i="2" s="1"/>
  <c r="AU51" i="23"/>
  <c r="G602" i="25"/>
  <c r="G586" i="25"/>
  <c r="G570" i="25"/>
  <c r="G554" i="25"/>
  <c r="G624" i="25"/>
  <c r="H598" i="25"/>
  <c r="H582" i="25"/>
  <c r="H566" i="25"/>
  <c r="H550" i="25"/>
  <c r="H628" i="25"/>
  <c r="G525" i="25"/>
  <c r="G509" i="25"/>
  <c r="G493" i="25"/>
  <c r="G477" i="25"/>
  <c r="G461" i="25"/>
  <c r="G445" i="25"/>
  <c r="G429" i="25"/>
  <c r="G413" i="25"/>
  <c r="G397" i="25"/>
  <c r="G381" i="25"/>
  <c r="H520" i="25"/>
  <c r="H456" i="25"/>
  <c r="H533" i="25"/>
  <c r="H469" i="25"/>
  <c r="H405" i="25"/>
  <c r="H362" i="25"/>
  <c r="H346" i="25"/>
  <c r="H330" i="25"/>
  <c r="H499" i="25"/>
  <c r="H435" i="25"/>
  <c r="H371" i="25"/>
  <c r="G354" i="25"/>
  <c r="G317" i="25"/>
  <c r="G301" i="25"/>
  <c r="G285" i="25"/>
  <c r="G269" i="25"/>
  <c r="H384" i="25"/>
  <c r="H478" i="25"/>
  <c r="G341" i="25"/>
  <c r="H313" i="25"/>
  <c r="H297" i="25"/>
  <c r="H281" i="25"/>
  <c r="H265" i="25"/>
  <c r="H249" i="25"/>
  <c r="H482" i="25"/>
  <c r="H229" i="25"/>
  <c r="H213" i="25"/>
  <c r="H197" i="25"/>
  <c r="H181" i="25"/>
  <c r="H164" i="25"/>
  <c r="H139" i="25"/>
  <c r="G352" i="25"/>
  <c r="G227" i="25"/>
  <c r="G211" i="25"/>
  <c r="G195" i="25"/>
  <c r="G179" i="25"/>
  <c r="G163" i="25"/>
  <c r="G147" i="25"/>
  <c r="G131" i="25"/>
  <c r="G115" i="25"/>
  <c r="G99" i="25"/>
  <c r="G83" i="25"/>
  <c r="H625" i="25"/>
  <c r="G599" i="25"/>
  <c r="G583" i="25"/>
  <c r="G567" i="25"/>
  <c r="G551" i="25"/>
  <c r="H611" i="25"/>
  <c r="H595" i="25"/>
  <c r="H579" i="25"/>
  <c r="H563" i="25"/>
  <c r="H547" i="25"/>
  <c r="G541" i="25"/>
  <c r="G522" i="25"/>
  <c r="G506" i="25"/>
  <c r="G490" i="25"/>
  <c r="G474" i="25"/>
  <c r="G458" i="25"/>
  <c r="G442" i="25"/>
  <c r="G426" i="25"/>
  <c r="G410" i="25"/>
  <c r="G394" i="25"/>
  <c r="G378" i="25"/>
  <c r="H508" i="25"/>
  <c r="H444" i="25"/>
  <c r="H521" i="25"/>
  <c r="H457" i="25"/>
  <c r="H393" i="25"/>
  <c r="H359" i="25"/>
  <c r="H343" i="25"/>
  <c r="H327" i="25"/>
  <c r="H487" i="25"/>
  <c r="H423" i="25"/>
  <c r="H490" i="25"/>
  <c r="G342" i="25"/>
  <c r="G314" i="25"/>
  <c r="G298" i="25"/>
  <c r="G282" i="25"/>
  <c r="G266" i="25"/>
  <c r="G363" i="25"/>
  <c r="H430" i="25"/>
  <c r="G329" i="25"/>
  <c r="H310" i="25"/>
  <c r="H294" i="25"/>
  <c r="H278" i="25"/>
  <c r="H262" i="25"/>
  <c r="H246" i="25"/>
  <c r="G356" i="25"/>
  <c r="H226" i="25"/>
  <c r="H210" i="25"/>
  <c r="H194" i="25"/>
  <c r="H178" i="25"/>
  <c r="H161" i="25"/>
  <c r="H133" i="25"/>
  <c r="G258" i="25"/>
  <c r="G224" i="25"/>
  <c r="G208" i="25"/>
  <c r="G192" i="25"/>
  <c r="G176" i="25"/>
  <c r="G160" i="25"/>
  <c r="G144" i="25"/>
  <c r="G128" i="25"/>
  <c r="G112" i="25"/>
  <c r="G96" i="25"/>
  <c r="G607" i="25"/>
  <c r="G591" i="25"/>
  <c r="G575" i="25"/>
  <c r="G559" i="25"/>
  <c r="G543" i="25"/>
  <c r="H603" i="25"/>
  <c r="H587" i="25"/>
  <c r="H571" i="25"/>
  <c r="H555" i="25"/>
  <c r="H539" i="25"/>
  <c r="G530" i="25"/>
  <c r="G514" i="25"/>
  <c r="G498" i="25"/>
  <c r="G482" i="25"/>
  <c r="G466" i="25"/>
  <c r="G450" i="25"/>
  <c r="G434" i="25"/>
  <c r="G418" i="25"/>
  <c r="G402" i="25"/>
  <c r="G386" i="25"/>
  <c r="G370" i="25"/>
  <c r="H476" i="25"/>
  <c r="H412" i="25"/>
  <c r="H489" i="25"/>
  <c r="H425" i="25"/>
  <c r="H367" i="25"/>
  <c r="H351" i="25"/>
  <c r="H335" i="25"/>
  <c r="H519" i="25"/>
  <c r="H455" i="25"/>
  <c r="H391" i="25"/>
  <c r="H378" i="25"/>
  <c r="G322" i="25"/>
  <c r="G306" i="25"/>
  <c r="G290" i="25"/>
  <c r="G274" i="25"/>
  <c r="H454" i="25"/>
  <c r="G331" i="25"/>
  <c r="G361" i="25"/>
  <c r="H318" i="25"/>
  <c r="H302" i="25"/>
  <c r="H286" i="25"/>
  <c r="H270" i="25"/>
  <c r="H254" i="25"/>
  <c r="H238" i="25"/>
  <c r="G237" i="25"/>
  <c r="H218" i="25"/>
  <c r="H202" i="25"/>
  <c r="H186" i="25"/>
  <c r="H169" i="25"/>
  <c r="H148" i="25"/>
  <c r="H118" i="25"/>
  <c r="G232" i="25"/>
  <c r="G216" i="25"/>
  <c r="G200" i="25"/>
  <c r="G184" i="25"/>
  <c r="G168" i="25"/>
  <c r="G152" i="25"/>
  <c r="G136" i="25"/>
  <c r="G120" i="25"/>
  <c r="G104" i="25"/>
  <c r="G88" i="25"/>
  <c r="B55" i="21"/>
  <c r="D257" i="2"/>
  <c r="N12" i="8" s="1"/>
  <c r="O12" i="8" s="1"/>
  <c r="D258" i="2" s="1"/>
  <c r="D261" i="2" s="1"/>
  <c r="J70" i="1" s="1"/>
  <c r="AU35" i="23"/>
  <c r="D204" i="2"/>
  <c r="B12" i="23"/>
  <c r="J28" i="23"/>
  <c r="AU28" i="23" s="1"/>
  <c r="J63" i="23"/>
  <c r="J58" i="23"/>
  <c r="M58" i="23" s="1"/>
  <c r="J64" i="23"/>
  <c r="M64" i="23" s="1"/>
  <c r="N64" i="23" s="1"/>
  <c r="AH64" i="23" s="1"/>
  <c r="AI64" i="23" s="1"/>
  <c r="J62" i="23"/>
  <c r="AU62" i="23" s="1"/>
  <c r="J69" i="23"/>
  <c r="M69" i="23" s="1"/>
  <c r="N69" i="23" s="1"/>
  <c r="V69" i="23" s="1"/>
  <c r="W69" i="23" s="1"/>
  <c r="X69" i="23" s="1"/>
  <c r="J106" i="23"/>
  <c r="J40" i="23"/>
  <c r="J75" i="23"/>
  <c r="AL75" i="23" s="1"/>
  <c r="J86" i="23"/>
  <c r="J76" i="23"/>
  <c r="J10" i="23"/>
  <c r="AU10" i="23" s="1"/>
  <c r="J81" i="23"/>
  <c r="J41" i="23"/>
  <c r="J107" i="23"/>
  <c r="AL107" i="23" s="1"/>
  <c r="J42" i="23"/>
  <c r="J108" i="23"/>
  <c r="J49" i="23"/>
  <c r="AU49" i="23" s="1"/>
  <c r="J23" i="23"/>
  <c r="M23" i="23" s="1"/>
  <c r="B17" i="2"/>
  <c r="D232" i="2" s="1"/>
  <c r="AU9" i="23"/>
  <c r="B352" i="2"/>
  <c r="B323" i="2"/>
  <c r="B72" i="23" s="1"/>
  <c r="D323" i="2"/>
  <c r="D203" i="2"/>
  <c r="B368" i="2"/>
  <c r="B79" i="21"/>
  <c r="E61" i="1"/>
  <c r="B385" i="2"/>
  <c r="K69" i="1"/>
  <c r="B343" i="2"/>
  <c r="D368" i="2"/>
  <c r="K87" i="21"/>
  <c r="AL87" i="21" s="1"/>
  <c r="J21" i="21"/>
  <c r="J89" i="21"/>
  <c r="K98" i="21"/>
  <c r="AM98" i="21" s="1"/>
  <c r="K100" i="21"/>
  <c r="M100" i="21" s="1"/>
  <c r="N100" i="21" s="1"/>
  <c r="P100" i="21" s="1"/>
  <c r="Q100" i="21" s="1"/>
  <c r="AE100" i="21" s="1"/>
  <c r="K79" i="21"/>
  <c r="AL79" i="21" s="1"/>
  <c r="AQ32" i="21"/>
  <c r="AQ91" i="21"/>
  <c r="AQ25" i="21"/>
  <c r="AQ21" i="21"/>
  <c r="AQ85" i="21"/>
  <c r="AQ60" i="21"/>
  <c r="AQ104" i="21"/>
  <c r="AR61" i="21"/>
  <c r="AR11" i="21"/>
  <c r="AR52" i="21"/>
  <c r="AR65" i="21"/>
  <c r="AR42" i="21"/>
  <c r="AR22" i="21"/>
  <c r="AQ40" i="21"/>
  <c r="AQ95" i="21"/>
  <c r="AQ33" i="21"/>
  <c r="AQ30" i="21"/>
  <c r="AQ89" i="21"/>
  <c r="AQ64" i="21"/>
  <c r="AQ108" i="21"/>
  <c r="AR60" i="21"/>
  <c r="AR74" i="21"/>
  <c r="AR36" i="21"/>
  <c r="AR49" i="21"/>
  <c r="AR10" i="21"/>
  <c r="AR101" i="21"/>
  <c r="AQ58" i="21"/>
  <c r="AQ103" i="21"/>
  <c r="AQ48" i="21"/>
  <c r="AQ44" i="21"/>
  <c r="AQ97" i="21"/>
  <c r="AQ28" i="21"/>
  <c r="B40" i="21"/>
  <c r="AR45" i="21"/>
  <c r="AR26" i="21"/>
  <c r="AR83" i="21"/>
  <c r="AR17" i="21"/>
  <c r="AR89" i="21"/>
  <c r="AR69" i="21"/>
  <c r="AQ67" i="21"/>
  <c r="AQ11" i="21"/>
  <c r="AQ70" i="21"/>
  <c r="AQ61" i="21"/>
  <c r="AQ105" i="21"/>
  <c r="AQ45" i="21"/>
  <c r="AP4" i="21"/>
  <c r="AR4" i="21" s="1"/>
  <c r="AR30" i="21"/>
  <c r="AR25" i="21"/>
  <c r="AR51" i="21"/>
  <c r="AR80" i="21"/>
  <c r="AR41" i="21"/>
  <c r="AR37" i="21"/>
  <c r="AQ26" i="21"/>
  <c r="AQ13" i="21"/>
  <c r="AQ76" i="21"/>
  <c r="AQ65" i="21"/>
  <c r="AQ109" i="21"/>
  <c r="AQ52" i="21"/>
  <c r="AR29" i="21"/>
  <c r="AR104" i="21"/>
  <c r="AR35" i="21"/>
  <c r="AR64" i="21"/>
  <c r="AR88" i="21"/>
  <c r="AR21" i="21"/>
  <c r="AQ43" i="21"/>
  <c r="AQ19" i="21"/>
  <c r="AQ82" i="21"/>
  <c r="AQ29" i="21"/>
  <c r="AQ12" i="21"/>
  <c r="AQ73" i="21"/>
  <c r="AR28" i="21"/>
  <c r="AR56" i="21"/>
  <c r="AR98" i="21"/>
  <c r="AR32" i="21"/>
  <c r="AR103" i="21"/>
  <c r="AR95" i="21"/>
  <c r="AQ50" i="21"/>
  <c r="AQ22" i="21"/>
  <c r="AQ86" i="21"/>
  <c r="AQ39" i="21"/>
  <c r="AQ14" i="21"/>
  <c r="AQ79" i="21"/>
  <c r="AR76" i="21"/>
  <c r="AR108" i="21"/>
  <c r="AR40" i="21"/>
  <c r="AR82" i="21"/>
  <c r="AR16" i="21"/>
  <c r="AR87" i="21"/>
  <c r="AR79" i="21"/>
  <c r="AQ57" i="21"/>
  <c r="AQ31" i="21"/>
  <c r="AQ90" i="21"/>
  <c r="AQ47" i="21"/>
  <c r="AQ16" i="21"/>
  <c r="AQ80" i="21"/>
  <c r="AR9" i="21"/>
  <c r="AR14" i="21"/>
  <c r="AR71" i="21"/>
  <c r="AR66" i="21"/>
  <c r="AR107" i="21"/>
  <c r="AR55" i="21"/>
  <c r="AR63" i="21"/>
  <c r="AQ71" i="21"/>
  <c r="AQ38" i="21"/>
  <c r="AQ94" i="21"/>
  <c r="AQ54" i="21"/>
  <c r="AQ20" i="21"/>
  <c r="AQ84" i="21"/>
  <c r="AR92" i="21"/>
  <c r="AR94" i="21"/>
  <c r="AR23" i="21"/>
  <c r="AR50" i="21"/>
  <c r="AR91" i="21"/>
  <c r="AR39" i="21"/>
  <c r="AR47" i="21"/>
  <c r="AQ78" i="21"/>
  <c r="AQ46" i="21"/>
  <c r="AQ98" i="21"/>
  <c r="AQ68" i="21"/>
  <c r="AQ27" i="21"/>
  <c r="AQ88" i="21"/>
  <c r="AR77" i="21"/>
  <c r="AR93" i="21"/>
  <c r="AR38" i="21"/>
  <c r="AR34" i="21"/>
  <c r="AR43" i="21"/>
  <c r="AR102" i="21"/>
  <c r="AR31" i="21"/>
  <c r="AQ10" i="21"/>
  <c r="AQ77" i="21"/>
  <c r="AQ55" i="21"/>
  <c r="AQ102" i="21"/>
  <c r="AQ74" i="21"/>
  <c r="AQ35" i="21"/>
  <c r="AQ92" i="21"/>
  <c r="AR62" i="21"/>
  <c r="AR12" i="21"/>
  <c r="AR100" i="21"/>
  <c r="AR18" i="21"/>
  <c r="AR27" i="21"/>
  <c r="AR86" i="21"/>
  <c r="AL15" i="23"/>
  <c r="B78" i="23"/>
  <c r="AL24" i="23"/>
  <c r="B206" i="2"/>
  <c r="D42" i="2"/>
  <c r="D44" i="2" s="1"/>
  <c r="D45" i="2" s="1"/>
  <c r="J27" i="1" s="1"/>
  <c r="B30" i="2"/>
  <c r="N4" i="8" s="1"/>
  <c r="O4" i="8" s="1"/>
  <c r="AL9" i="23"/>
  <c r="N3" i="25"/>
  <c r="J23" i="21"/>
  <c r="J76" i="21"/>
  <c r="J13" i="21"/>
  <c r="K59" i="21"/>
  <c r="K22" i="21"/>
  <c r="K93" i="21"/>
  <c r="J43" i="21"/>
  <c r="J84" i="21"/>
  <c r="J29" i="21"/>
  <c r="K102" i="21"/>
  <c r="K74" i="21"/>
  <c r="K43" i="21"/>
  <c r="K40" i="21"/>
  <c r="K97" i="21"/>
  <c r="K108" i="21"/>
  <c r="K91" i="21"/>
  <c r="K36" i="21"/>
  <c r="K55" i="21"/>
  <c r="K103" i="21"/>
  <c r="J97" i="21"/>
  <c r="J94" i="21"/>
  <c r="J30" i="21"/>
  <c r="J68" i="21"/>
  <c r="J103" i="21"/>
  <c r="J39" i="21"/>
  <c r="K56" i="21"/>
  <c r="K54" i="21"/>
  <c r="K25" i="21"/>
  <c r="K70" i="21"/>
  <c r="K52" i="21"/>
  <c r="K26" i="21"/>
  <c r="K61" i="21"/>
  <c r="J81" i="21"/>
  <c r="J90" i="21"/>
  <c r="J26" i="21"/>
  <c r="J64" i="21"/>
  <c r="J99" i="21"/>
  <c r="J35" i="21"/>
  <c r="K72" i="21"/>
  <c r="K96" i="21"/>
  <c r="K41" i="21"/>
  <c r="K47" i="21"/>
  <c r="K68" i="21"/>
  <c r="K95" i="21"/>
  <c r="K106" i="21"/>
  <c r="J65" i="21"/>
  <c r="J86" i="21"/>
  <c r="J22" i="21"/>
  <c r="J60" i="21"/>
  <c r="J95" i="21"/>
  <c r="J31" i="21"/>
  <c r="B54" i="2"/>
  <c r="K88" i="21"/>
  <c r="K45" i="21"/>
  <c r="K90" i="21"/>
  <c r="K15" i="21"/>
  <c r="K84" i="21"/>
  <c r="K53" i="21"/>
  <c r="K65" i="21"/>
  <c r="J49" i="21"/>
  <c r="J82" i="21"/>
  <c r="J18" i="21"/>
  <c r="J56" i="21"/>
  <c r="J91" i="21"/>
  <c r="J27" i="21"/>
  <c r="K104" i="21"/>
  <c r="K21" i="21"/>
  <c r="K78" i="21"/>
  <c r="K105" i="21"/>
  <c r="K32" i="21"/>
  <c r="K17" i="21"/>
  <c r="K81" i="21"/>
  <c r="J105" i="21"/>
  <c r="J109" i="21"/>
  <c r="J74" i="21"/>
  <c r="J17" i="21"/>
  <c r="J48" i="21"/>
  <c r="J83" i="21"/>
  <c r="J19" i="21"/>
  <c r="K37" i="21"/>
  <c r="K101" i="21"/>
  <c r="K34" i="21"/>
  <c r="K62" i="21"/>
  <c r="K64" i="21"/>
  <c r="K49" i="21"/>
  <c r="K31" i="21"/>
  <c r="J37" i="21"/>
  <c r="J77" i="21"/>
  <c r="J66" i="21"/>
  <c r="J104" i="21"/>
  <c r="J40" i="21"/>
  <c r="J75" i="21"/>
  <c r="B304" i="2"/>
  <c r="K58" i="21"/>
  <c r="K107" i="21"/>
  <c r="K35" i="21"/>
  <c r="K80" i="21"/>
  <c r="K69" i="21"/>
  <c r="K89" i="21"/>
  <c r="J41" i="21"/>
  <c r="J61" i="21"/>
  <c r="J62" i="21"/>
  <c r="J100" i="21"/>
  <c r="J36" i="21"/>
  <c r="J71" i="21"/>
  <c r="D304" i="2"/>
  <c r="K10" i="21"/>
  <c r="K86" i="21"/>
  <c r="K109" i="21"/>
  <c r="K13" i="21"/>
  <c r="K14" i="21"/>
  <c r="K11" i="21"/>
  <c r="J73" i="21"/>
  <c r="J45" i="21"/>
  <c r="J58" i="21"/>
  <c r="J96" i="21"/>
  <c r="J32" i="21"/>
  <c r="J67" i="21"/>
  <c r="B138" i="2"/>
  <c r="K71" i="21"/>
  <c r="K60" i="21"/>
  <c r="K9" i="21"/>
  <c r="K63" i="21"/>
  <c r="K19" i="21"/>
  <c r="K23" i="21"/>
  <c r="J85" i="21"/>
  <c r="J106" i="21"/>
  <c r="J42" i="21"/>
  <c r="J80" i="21"/>
  <c r="J16" i="21"/>
  <c r="J51" i="21"/>
  <c r="J11" i="21"/>
  <c r="K24" i="21"/>
  <c r="J63" i="21"/>
  <c r="J14" i="21"/>
  <c r="J53" i="21"/>
  <c r="K73" i="21"/>
  <c r="K83" i="21"/>
  <c r="J79" i="21"/>
  <c r="J34" i="21"/>
  <c r="J25" i="21"/>
  <c r="K94" i="21"/>
  <c r="K46" i="21"/>
  <c r="B18" i="2"/>
  <c r="B21" i="2" s="1"/>
  <c r="J87" i="21"/>
  <c r="J38" i="21"/>
  <c r="J57" i="21"/>
  <c r="K33" i="21"/>
  <c r="K92" i="21"/>
  <c r="J12" i="21"/>
  <c r="J50" i="21"/>
  <c r="J101" i="21"/>
  <c r="K20" i="21"/>
  <c r="K44" i="21"/>
  <c r="J20" i="21"/>
  <c r="J54" i="21"/>
  <c r="J69" i="21"/>
  <c r="K39" i="21"/>
  <c r="K28" i="21"/>
  <c r="J24" i="21"/>
  <c r="J70" i="21"/>
  <c r="K99" i="21"/>
  <c r="K82" i="21"/>
  <c r="K12" i="21"/>
  <c r="J28" i="21"/>
  <c r="J78" i="21"/>
  <c r="K29" i="21"/>
  <c r="K57" i="21"/>
  <c r="K27" i="21"/>
  <c r="J52" i="21"/>
  <c r="J102" i="21"/>
  <c r="K85" i="21"/>
  <c r="K48" i="21"/>
  <c r="K30" i="21"/>
  <c r="D208" i="2" l="1"/>
  <c r="AM105" i="23"/>
  <c r="M105" i="23"/>
  <c r="N105" i="23" s="1"/>
  <c r="K105" i="23"/>
  <c r="AU93" i="23"/>
  <c r="AL93" i="23"/>
  <c r="AM93" i="23"/>
  <c r="K93" i="23"/>
  <c r="D207" i="2"/>
  <c r="D223" i="2"/>
  <c r="F3" i="25" s="1"/>
  <c r="D243" i="2"/>
  <c r="AM15" i="23"/>
  <c r="K15" i="23"/>
  <c r="AU15" i="23"/>
  <c r="M77" i="23"/>
  <c r="N77" i="23" s="1"/>
  <c r="AJ77" i="23" s="1"/>
  <c r="AU77" i="23"/>
  <c r="K35" i="23"/>
  <c r="AM35" i="23"/>
  <c r="K19" i="23"/>
  <c r="M35" i="23"/>
  <c r="N35" i="23" s="1"/>
  <c r="AH35" i="23" s="1"/>
  <c r="AI35" i="23" s="1"/>
  <c r="AM19" i="23"/>
  <c r="AU97" i="23"/>
  <c r="K97" i="23"/>
  <c r="AM97" i="23"/>
  <c r="AL97" i="23"/>
  <c r="A626" i="17"/>
  <c r="M109" i="23"/>
  <c r="K132" i="2"/>
  <c r="B149" i="2"/>
  <c r="B152" i="2" s="1"/>
  <c r="B153" i="2" s="1"/>
  <c r="E46" i="1" s="1"/>
  <c r="B143" i="2"/>
  <c r="B146" i="2" s="1"/>
  <c r="B147" i="2" s="1"/>
  <c r="E44" i="1" s="1"/>
  <c r="D387" i="2"/>
  <c r="D259" i="2"/>
  <c r="D260" i="2" s="1"/>
  <c r="AM90" i="23"/>
  <c r="AL80" i="23"/>
  <c r="AU90" i="23"/>
  <c r="AL90" i="23"/>
  <c r="B387" i="2"/>
  <c r="B259" i="2"/>
  <c r="B260" i="2" s="1"/>
  <c r="M90" i="23"/>
  <c r="N90" i="23" s="1"/>
  <c r="AF90" i="23" s="1"/>
  <c r="K134" i="2"/>
  <c r="M12" i="23"/>
  <c r="N12" i="23" s="1"/>
  <c r="Y12" i="23" s="1"/>
  <c r="Z12" i="23" s="1"/>
  <c r="AA12" i="23" s="1"/>
  <c r="M60" i="23"/>
  <c r="N60" i="23" s="1"/>
  <c r="O60" i="23" s="1"/>
  <c r="AL59" i="23"/>
  <c r="AU26" i="23"/>
  <c r="AU12" i="23"/>
  <c r="AL60" i="23"/>
  <c r="AM11" i="23"/>
  <c r="AU11" i="23"/>
  <c r="AL11" i="23"/>
  <c r="M11" i="23"/>
  <c r="N11" i="23" s="1"/>
  <c r="V11" i="23" s="1"/>
  <c r="W11" i="23" s="1"/>
  <c r="X11" i="23" s="1"/>
  <c r="AU19" i="23"/>
  <c r="M19" i="23"/>
  <c r="N19" i="23" s="1"/>
  <c r="AB19" i="23" s="1"/>
  <c r="AC19" i="23" s="1"/>
  <c r="AL96" i="23"/>
  <c r="B345" i="2"/>
  <c r="B348" i="2" s="1"/>
  <c r="B349" i="2" s="1"/>
  <c r="E106" i="1" s="1"/>
  <c r="B347" i="2"/>
  <c r="AP89" i="23" s="1"/>
  <c r="AS89" i="23" s="1"/>
  <c r="AU104" i="23"/>
  <c r="AU20" i="23"/>
  <c r="AM20" i="23"/>
  <c r="M20" i="23"/>
  <c r="N20" i="23" s="1"/>
  <c r="P20" i="23" s="1"/>
  <c r="Q20" i="23" s="1"/>
  <c r="AE20" i="23" s="1"/>
  <c r="B41" i="2"/>
  <c r="M14" i="23"/>
  <c r="N14" i="23" s="1"/>
  <c r="N14" i="8"/>
  <c r="O14" i="8" s="1"/>
  <c r="D186" i="2" s="1"/>
  <c r="E58" i="1" s="1"/>
  <c r="AU43" i="23"/>
  <c r="K133" i="2"/>
  <c r="AU54" i="23"/>
  <c r="M99" i="23"/>
  <c r="N99" i="23" s="1"/>
  <c r="M65" i="23"/>
  <c r="N65" i="23" s="1"/>
  <c r="V65" i="23" s="1"/>
  <c r="W65" i="23" s="1"/>
  <c r="X65" i="23" s="1"/>
  <c r="AL103" i="23"/>
  <c r="AU44" i="23"/>
  <c r="AU16" i="23"/>
  <c r="AL54" i="23"/>
  <c r="AU109" i="23"/>
  <c r="AL65" i="23"/>
  <c r="AL36" i="23"/>
  <c r="AU60" i="23"/>
  <c r="M54" i="23"/>
  <c r="N54" i="23" s="1"/>
  <c r="AJ54" i="23" s="1"/>
  <c r="AL16" i="23"/>
  <c r="AM109" i="23"/>
  <c r="AU99" i="23"/>
  <c r="AU65" i="23"/>
  <c r="M39" i="23"/>
  <c r="N39" i="23" s="1"/>
  <c r="Y39" i="23" s="1"/>
  <c r="Z39" i="23" s="1"/>
  <c r="AA39" i="23" s="1"/>
  <c r="M59" i="23"/>
  <c r="N59" i="23" s="1"/>
  <c r="AF59" i="23" s="1"/>
  <c r="K39" i="23"/>
  <c r="AL39" i="23"/>
  <c r="AM59" i="23"/>
  <c r="AU59" i="23"/>
  <c r="K103" i="23"/>
  <c r="AL91" i="23"/>
  <c r="M91" i="23"/>
  <c r="N91" i="23" s="1"/>
  <c r="O91" i="23" s="1"/>
  <c r="AM103" i="23"/>
  <c r="AU39" i="23"/>
  <c r="M132" i="2"/>
  <c r="AU91" i="23"/>
  <c r="AU87" i="23"/>
  <c r="M25" i="23"/>
  <c r="N25" i="23" s="1"/>
  <c r="AF25" i="23" s="1"/>
  <c r="AM91" i="23"/>
  <c r="AL109" i="23"/>
  <c r="AU103" i="23"/>
  <c r="AM100" i="23"/>
  <c r="AL75" i="21"/>
  <c r="AL25" i="23"/>
  <c r="K25" i="23"/>
  <c r="AM25" i="23"/>
  <c r="M45" i="23"/>
  <c r="N45" i="23" s="1"/>
  <c r="P45" i="23" s="1"/>
  <c r="Q45" i="23" s="1"/>
  <c r="AE45" i="23" s="1"/>
  <c r="AM80" i="23"/>
  <c r="M50" i="21"/>
  <c r="M75" i="21"/>
  <c r="N75" i="21" s="1"/>
  <c r="AH75" i="21" s="1"/>
  <c r="AI75" i="21" s="1"/>
  <c r="AU101" i="23"/>
  <c r="AU100" i="23"/>
  <c r="AL71" i="23"/>
  <c r="AL17" i="23"/>
  <c r="AB77" i="23"/>
  <c r="AC77" i="23" s="1"/>
  <c r="M17" i="23"/>
  <c r="N17" i="23" s="1"/>
  <c r="V17" i="23" s="1"/>
  <c r="W17" i="23" s="1"/>
  <c r="X17" i="23" s="1"/>
  <c r="P77" i="23"/>
  <c r="Q77" i="23" s="1"/>
  <c r="AE77" i="23" s="1"/>
  <c r="D98" i="2"/>
  <c r="D102" i="2" s="1"/>
  <c r="D106" i="2" s="1"/>
  <c r="J21" i="1" s="1"/>
  <c r="AF77" i="23"/>
  <c r="AL100" i="23"/>
  <c r="M101" i="23"/>
  <c r="N101" i="23" s="1"/>
  <c r="O101" i="23" s="1"/>
  <c r="AL95" i="23"/>
  <c r="M100" i="23"/>
  <c r="N100" i="23" s="1"/>
  <c r="AF100" i="23" s="1"/>
  <c r="AL50" i="23"/>
  <c r="AL46" i="23"/>
  <c r="AU46" i="23"/>
  <c r="M13" i="23"/>
  <c r="N13" i="23" s="1"/>
  <c r="AB13" i="23" s="1"/>
  <c r="AC13" i="23" s="1"/>
  <c r="M71" i="23"/>
  <c r="AU71" i="23"/>
  <c r="AM71" i="23"/>
  <c r="M46" i="23"/>
  <c r="N46" i="23" s="1"/>
  <c r="V46" i="23" s="1"/>
  <c r="W46" i="23" s="1"/>
  <c r="X46" i="23" s="1"/>
  <c r="AL101" i="23"/>
  <c r="AM46" i="23"/>
  <c r="AM50" i="23"/>
  <c r="AU13" i="23"/>
  <c r="AU76" i="21"/>
  <c r="R77" i="23"/>
  <c r="S77" i="23" s="1"/>
  <c r="U77" i="23" s="1"/>
  <c r="V77" i="23"/>
  <c r="W77" i="23" s="1"/>
  <c r="X77" i="23" s="1"/>
  <c r="O77" i="23"/>
  <c r="AH105" i="23"/>
  <c r="AI105" i="23" s="1"/>
  <c r="AB105" i="23"/>
  <c r="AC105" i="23" s="1"/>
  <c r="AF105" i="23"/>
  <c r="Y77" i="23"/>
  <c r="Z77" i="23" s="1"/>
  <c r="AA77" i="23" s="1"/>
  <c r="AH77" i="23"/>
  <c r="AI77" i="23" s="1"/>
  <c r="AK77" i="23" s="1"/>
  <c r="AJ96" i="23"/>
  <c r="AK96" i="23" s="1"/>
  <c r="AH15" i="23"/>
  <c r="AI15" i="23" s="1"/>
  <c r="R93" i="23"/>
  <c r="S93" i="23" s="1"/>
  <c r="U93" i="23" s="1"/>
  <c r="AF93" i="23"/>
  <c r="V15" i="23"/>
  <c r="W15" i="23" s="1"/>
  <c r="X15" i="23" s="1"/>
  <c r="Y15" i="23"/>
  <c r="Z15" i="23" s="1"/>
  <c r="AA15" i="23" s="1"/>
  <c r="AJ15" i="23"/>
  <c r="P15" i="23"/>
  <c r="Q15" i="23" s="1"/>
  <c r="AE15" i="23" s="1"/>
  <c r="AF15" i="23"/>
  <c r="C636" i="17"/>
  <c r="B266" i="2"/>
  <c r="AU14" i="23"/>
  <c r="M61" i="23"/>
  <c r="N61" i="23" s="1"/>
  <c r="P61" i="23" s="1"/>
  <c r="Q61" i="23" s="1"/>
  <c r="AE61" i="23" s="1"/>
  <c r="M36" i="23"/>
  <c r="N36" i="23" s="1"/>
  <c r="P36" i="23" s="1"/>
  <c r="Q36" i="23" s="1"/>
  <c r="AE36" i="23" s="1"/>
  <c r="AM87" i="21"/>
  <c r="AU61" i="23"/>
  <c r="M66" i="23"/>
  <c r="N66" i="23" s="1"/>
  <c r="O66" i="23" s="1"/>
  <c r="AL33" i="23"/>
  <c r="AU87" i="21"/>
  <c r="AM26" i="23"/>
  <c r="AM85" i="23"/>
  <c r="AU33" i="23"/>
  <c r="L206" i="2"/>
  <c r="M206" i="2" s="1"/>
  <c r="M33" i="23"/>
  <c r="N33" i="23" s="1"/>
  <c r="O33" i="23" s="1"/>
  <c r="AM87" i="23"/>
  <c r="AL20" i="23"/>
  <c r="AM61" i="23"/>
  <c r="AM60" i="23"/>
  <c r="AU66" i="23"/>
  <c r="AM99" i="23"/>
  <c r="AM33" i="23"/>
  <c r="AM52" i="23"/>
  <c r="AM53" i="23"/>
  <c r="K56" i="23"/>
  <c r="AU53" i="23"/>
  <c r="AL22" i="23"/>
  <c r="AU67" i="23"/>
  <c r="AU105" i="23"/>
  <c r="AL38" i="23"/>
  <c r="E69" i="1"/>
  <c r="A387" i="2" s="1"/>
  <c r="K54" i="23"/>
  <c r="AL52" i="23"/>
  <c r="Y96" i="23"/>
  <c r="Z96" i="23" s="1"/>
  <c r="AA96" i="23" s="1"/>
  <c r="AU69" i="23"/>
  <c r="AM34" i="23"/>
  <c r="AL66" i="23"/>
  <c r="AU55" i="23"/>
  <c r="K98" i="23"/>
  <c r="AM66" i="23"/>
  <c r="AM98" i="23"/>
  <c r="AU37" i="23"/>
  <c r="AU21" i="23"/>
  <c r="AM72" i="23"/>
  <c r="AL37" i="23"/>
  <c r="AU57" i="23"/>
  <c r="M56" i="23"/>
  <c r="N56" i="23" s="1"/>
  <c r="AH56" i="23" s="1"/>
  <c r="AI56" i="23" s="1"/>
  <c r="M34" i="23"/>
  <c r="AL67" i="23"/>
  <c r="AU98" i="23"/>
  <c r="AM55" i="23"/>
  <c r="M31" i="23"/>
  <c r="N31" i="23" s="1"/>
  <c r="AB31" i="23" s="1"/>
  <c r="AC31" i="23" s="1"/>
  <c r="AM56" i="23"/>
  <c r="AL99" i="23"/>
  <c r="AU22" i="23"/>
  <c r="M57" i="23"/>
  <c r="N57" i="23" s="1"/>
  <c r="AJ57" i="23" s="1"/>
  <c r="AL57" i="23"/>
  <c r="M67" i="23"/>
  <c r="N67" i="23" s="1"/>
  <c r="V67" i="23" s="1"/>
  <c r="W67" i="23" s="1"/>
  <c r="X67" i="23" s="1"/>
  <c r="K22" i="23"/>
  <c r="M37" i="23"/>
  <c r="N37" i="23" s="1"/>
  <c r="AH37" i="23" s="1"/>
  <c r="AI37" i="23" s="1"/>
  <c r="M53" i="23"/>
  <c r="N53" i="23" s="1"/>
  <c r="AH53" i="23" s="1"/>
  <c r="AI53" i="23" s="1"/>
  <c r="AM57" i="23"/>
  <c r="AL21" i="23"/>
  <c r="K72" i="23"/>
  <c r="M87" i="23"/>
  <c r="AL72" i="23"/>
  <c r="AU34" i="23"/>
  <c r="AM94" i="23"/>
  <c r="M22" i="23"/>
  <c r="N22" i="23" s="1"/>
  <c r="P22" i="23" s="1"/>
  <c r="Q22" i="23" s="1"/>
  <c r="AE22" i="23" s="1"/>
  <c r="AM67" i="23"/>
  <c r="M72" i="23"/>
  <c r="N72" i="23" s="1"/>
  <c r="R72" i="23" s="1"/>
  <c r="AN72" i="23" s="1"/>
  <c r="BE72" i="23" s="1"/>
  <c r="M55" i="23"/>
  <c r="N55" i="23" s="1"/>
  <c r="R55" i="23" s="1"/>
  <c r="S55" i="23" s="1"/>
  <c r="U55" i="23" s="1"/>
  <c r="BA55" i="23" s="1"/>
  <c r="AM31" i="23"/>
  <c r="AL56" i="23"/>
  <c r="M98" i="23"/>
  <c r="AU31" i="23"/>
  <c r="AU52" i="23"/>
  <c r="M21" i="23"/>
  <c r="N21" i="23" s="1"/>
  <c r="R21" i="23" s="1"/>
  <c r="M79" i="23"/>
  <c r="AL55" i="23"/>
  <c r="AL87" i="23"/>
  <c r="M94" i="23"/>
  <c r="N94" i="23" s="1"/>
  <c r="P94" i="23" s="1"/>
  <c r="Q94" i="23" s="1"/>
  <c r="AE94" i="23" s="1"/>
  <c r="AM51" i="21"/>
  <c r="M52" i="23"/>
  <c r="N52" i="23" s="1"/>
  <c r="AB52" i="23" s="1"/>
  <c r="AC52" i="23" s="1"/>
  <c r="AU79" i="23"/>
  <c r="K3" i="25"/>
  <c r="J65" i="1"/>
  <c r="AL53" i="23"/>
  <c r="AL13" i="23"/>
  <c r="V96" i="23"/>
  <c r="W96" i="23" s="1"/>
  <c r="X96" i="23" s="1"/>
  <c r="O96" i="23"/>
  <c r="R96" i="23"/>
  <c r="S96" i="23" s="1"/>
  <c r="U96" i="23" s="1"/>
  <c r="BA96" i="23" s="1"/>
  <c r="AU85" i="23"/>
  <c r="AM27" i="23"/>
  <c r="AM13" i="23"/>
  <c r="M85" i="23"/>
  <c r="N85" i="23" s="1"/>
  <c r="P85" i="23" s="1"/>
  <c r="Q85" i="23" s="1"/>
  <c r="AE85" i="23" s="1"/>
  <c r="M27" i="23"/>
  <c r="N27" i="23" s="1"/>
  <c r="V27" i="23" s="1"/>
  <c r="W27" i="23" s="1"/>
  <c r="X27" i="23" s="1"/>
  <c r="AL18" i="23"/>
  <c r="M102" i="23"/>
  <c r="M38" i="21"/>
  <c r="N38" i="21" s="1"/>
  <c r="AB38" i="21" s="1"/>
  <c r="AC38" i="21" s="1"/>
  <c r="B404" i="2"/>
  <c r="AL102" i="23"/>
  <c r="AL38" i="21"/>
  <c r="E53" i="1"/>
  <c r="AL31" i="23"/>
  <c r="AM18" i="23"/>
  <c r="AU27" i="23"/>
  <c r="AU18" i="23"/>
  <c r="K18" i="23"/>
  <c r="AL27" i="23"/>
  <c r="AM68" i="23"/>
  <c r="AU102" i="23"/>
  <c r="AM102" i="23"/>
  <c r="M44" i="23"/>
  <c r="AF96" i="23"/>
  <c r="AB96" i="23"/>
  <c r="AC96" i="23" s="1"/>
  <c r="AM37" i="23"/>
  <c r="K34" i="23"/>
  <c r="AL85" i="23"/>
  <c r="P96" i="23"/>
  <c r="Q96" i="23" s="1"/>
  <c r="AE96" i="23" s="1"/>
  <c r="AB18" i="23"/>
  <c r="AC18" i="23" s="1"/>
  <c r="R50" i="23"/>
  <c r="AN50" i="23" s="1"/>
  <c r="BE50" i="23" s="1"/>
  <c r="B132" i="2"/>
  <c r="B112" i="2"/>
  <c r="B156" i="2"/>
  <c r="B159" i="2" s="1"/>
  <c r="E48" i="1" s="1"/>
  <c r="B68" i="2"/>
  <c r="B80" i="2"/>
  <c r="B89" i="2" s="1"/>
  <c r="B98" i="2"/>
  <c r="B102" i="2" s="1"/>
  <c r="B106" i="2" s="1"/>
  <c r="E21" i="1" s="1"/>
  <c r="D80" i="2"/>
  <c r="D89" i="2" s="1"/>
  <c r="D132" i="2"/>
  <c r="D112" i="2"/>
  <c r="D61" i="2"/>
  <c r="R9" i="23"/>
  <c r="S9" i="23" s="1"/>
  <c r="U9" i="23" s="1"/>
  <c r="BA9" i="23" s="1"/>
  <c r="AF9" i="23"/>
  <c r="P9" i="23"/>
  <c r="Q9" i="23" s="1"/>
  <c r="AE9" i="23" s="1"/>
  <c r="B59" i="2"/>
  <c r="B82" i="2" s="1"/>
  <c r="B91" i="2" s="1"/>
  <c r="N103" i="23"/>
  <c r="Y103" i="23" s="1"/>
  <c r="Z103" i="23" s="1"/>
  <c r="AA103" i="23" s="1"/>
  <c r="AJ18" i="23"/>
  <c r="Y50" i="23"/>
  <c r="Z50" i="23" s="1"/>
  <c r="AA50" i="23" s="1"/>
  <c r="V97" i="23"/>
  <c r="W97" i="23" s="1"/>
  <c r="X97" i="23" s="1"/>
  <c r="AM88" i="23"/>
  <c r="AM78" i="23"/>
  <c r="K78" i="23"/>
  <c r="AL66" i="21"/>
  <c r="AH18" i="23"/>
  <c r="AI18" i="23" s="1"/>
  <c r="R97" i="23"/>
  <c r="S97" i="23" s="1"/>
  <c r="U97" i="23" s="1"/>
  <c r="O15" i="23"/>
  <c r="AU68" i="23"/>
  <c r="M78" i="23"/>
  <c r="M92" i="23"/>
  <c r="AL84" i="23"/>
  <c r="M51" i="23"/>
  <c r="AM29" i="23"/>
  <c r="AM73" i="23"/>
  <c r="AM45" i="23"/>
  <c r="K45" i="23"/>
  <c r="K17" i="23"/>
  <c r="AM17" i="23"/>
  <c r="AL48" i="23"/>
  <c r="AM51" i="23"/>
  <c r="M16" i="21"/>
  <c r="N16" i="21" s="1"/>
  <c r="Y16" i="21" s="1"/>
  <c r="Z16" i="21" s="1"/>
  <c r="AA16" i="21" s="1"/>
  <c r="AF18" i="23"/>
  <c r="AJ97" i="23"/>
  <c r="AL32" i="23"/>
  <c r="L50" i="21"/>
  <c r="AU32" i="23"/>
  <c r="M68" i="23"/>
  <c r="AM38" i="23"/>
  <c r="AL70" i="23"/>
  <c r="M43" i="23"/>
  <c r="AM47" i="23"/>
  <c r="AM89" i="23"/>
  <c r="AM95" i="23"/>
  <c r="AL83" i="23"/>
  <c r="K44" i="23"/>
  <c r="AM44" i="23"/>
  <c r="AL89" i="23"/>
  <c r="AU73" i="23"/>
  <c r="K73" i="23"/>
  <c r="M83" i="23"/>
  <c r="AL47" i="23"/>
  <c r="M89" i="23"/>
  <c r="AM82" i="23"/>
  <c r="K70" i="23"/>
  <c r="K79" i="23"/>
  <c r="AM79" i="23"/>
  <c r="AU50" i="23"/>
  <c r="K50" i="23"/>
  <c r="M95" i="23"/>
  <c r="N95" i="23" s="1"/>
  <c r="V95" i="23" s="1"/>
  <c r="W95" i="23" s="1"/>
  <c r="X95" i="23" s="1"/>
  <c r="AF97" i="23"/>
  <c r="AJ50" i="23"/>
  <c r="AB97" i="23"/>
  <c r="AC97" i="23" s="1"/>
  <c r="AU78" i="23"/>
  <c r="M82" i="23"/>
  <c r="N82" i="23" s="1"/>
  <c r="AF82" i="23" s="1"/>
  <c r="M73" i="23"/>
  <c r="N73" i="23" s="1"/>
  <c r="P73" i="23" s="1"/>
  <c r="Q73" i="23" s="1"/>
  <c r="AE73" i="23" s="1"/>
  <c r="K80" i="23"/>
  <c r="AU80" i="23"/>
  <c r="V18" i="23"/>
  <c r="W18" i="23" s="1"/>
  <c r="X18" i="23" s="1"/>
  <c r="AF50" i="23"/>
  <c r="Y97" i="23"/>
  <c r="Z97" i="23" s="1"/>
  <c r="AA97" i="23" s="1"/>
  <c r="AH70" i="23"/>
  <c r="AI70" i="23" s="1"/>
  <c r="AH50" i="23"/>
  <c r="AI50" i="23" s="1"/>
  <c r="AF104" i="23"/>
  <c r="M48" i="23"/>
  <c r="AL68" i="23"/>
  <c r="AM84" i="23"/>
  <c r="AM104" i="23"/>
  <c r="K104" i="23"/>
  <c r="O97" i="23"/>
  <c r="O18" i="23"/>
  <c r="Y70" i="23"/>
  <c r="Z70" i="23" s="1"/>
  <c r="AA70" i="23" s="1"/>
  <c r="AB70" i="23"/>
  <c r="AC70" i="23" s="1"/>
  <c r="AB50" i="23"/>
  <c r="AC50" i="23" s="1"/>
  <c r="AU38" i="23"/>
  <c r="M30" i="23"/>
  <c r="N30" i="23" s="1"/>
  <c r="V30" i="23" s="1"/>
  <c r="W30" i="23" s="1"/>
  <c r="X30" i="23" s="1"/>
  <c r="AM43" i="23"/>
  <c r="AM77" i="23"/>
  <c r="K77" i="23"/>
  <c r="AL77" i="23"/>
  <c r="Y18" i="23"/>
  <c r="Z18" i="23" s="1"/>
  <c r="AA18" i="23" s="1"/>
  <c r="AM79" i="21"/>
  <c r="P70" i="23"/>
  <c r="Q70" i="23" s="1"/>
  <c r="AE70" i="23" s="1"/>
  <c r="O50" i="23"/>
  <c r="AU92" i="23"/>
  <c r="AU88" i="23"/>
  <c r="E65" i="1"/>
  <c r="M38" i="23"/>
  <c r="M88" i="23"/>
  <c r="AL45" i="23"/>
  <c r="B13" i="6"/>
  <c r="B16" i="6" s="1"/>
  <c r="B15" i="6"/>
  <c r="AL104" i="23"/>
  <c r="AU96" i="23"/>
  <c r="K96" i="23"/>
  <c r="AM96" i="23"/>
  <c r="AF70" i="23"/>
  <c r="AH97" i="23"/>
  <c r="AI97" i="23" s="1"/>
  <c r="AU30" i="23"/>
  <c r="M47" i="23"/>
  <c r="AM65" i="23"/>
  <c r="K16" i="23"/>
  <c r="M16" i="23"/>
  <c r="K29" i="23"/>
  <c r="AU29" i="23"/>
  <c r="AU48" i="23"/>
  <c r="O70" i="23"/>
  <c r="AB15" i="23"/>
  <c r="AC15" i="23" s="1"/>
  <c r="AU84" i="23"/>
  <c r="AU89" i="23"/>
  <c r="M26" i="23"/>
  <c r="AM48" i="23"/>
  <c r="AM74" i="23"/>
  <c r="AU36" i="23"/>
  <c r="K36" i="23"/>
  <c r="AL92" i="23"/>
  <c r="AL29" i="23"/>
  <c r="K30" i="23"/>
  <c r="AM30" i="23"/>
  <c r="B243" i="2"/>
  <c r="F248" i="2" s="1"/>
  <c r="R70" i="23"/>
  <c r="S70" i="23" s="1"/>
  <c r="U70" i="23" s="1"/>
  <c r="AU82" i="23"/>
  <c r="B223" i="2"/>
  <c r="F3" i="17" s="1"/>
  <c r="AM70" i="23"/>
  <c r="AM101" i="23"/>
  <c r="AM14" i="23"/>
  <c r="K14" i="23"/>
  <c r="K12" i="23"/>
  <c r="AM12" i="23"/>
  <c r="AM83" i="23"/>
  <c r="AU83" i="23"/>
  <c r="K83" i="23"/>
  <c r="R18" i="23"/>
  <c r="S18" i="23" s="1"/>
  <c r="U18" i="23" s="1"/>
  <c r="AU74" i="23"/>
  <c r="AL26" i="23"/>
  <c r="AL51" i="23"/>
  <c r="K32" i="23"/>
  <c r="AM32" i="23"/>
  <c r="AL74" i="23"/>
  <c r="AJ70" i="23"/>
  <c r="V50" i="23"/>
  <c r="W50" i="23" s="1"/>
  <c r="X50" i="23" s="1"/>
  <c r="AL43" i="23"/>
  <c r="AU70" i="23"/>
  <c r="AM92" i="23"/>
  <c r="B207" i="2"/>
  <c r="AL30" i="23"/>
  <c r="B208" i="2"/>
  <c r="AU95" i="23"/>
  <c r="AU47" i="23"/>
  <c r="M84" i="23"/>
  <c r="N84" i="23" s="1"/>
  <c r="O84" i="23" s="1"/>
  <c r="M74" i="23"/>
  <c r="AL78" i="23"/>
  <c r="AL82" i="23"/>
  <c r="AM21" i="23"/>
  <c r="AL61" i="23"/>
  <c r="AU94" i="23"/>
  <c r="K94" i="23"/>
  <c r="B61" i="2"/>
  <c r="Y9" i="23"/>
  <c r="Z9" i="23" s="1"/>
  <c r="AA9" i="23" s="1"/>
  <c r="E626" i="17"/>
  <c r="O93" i="23"/>
  <c r="Y93" i="23"/>
  <c r="Z93" i="23" s="1"/>
  <c r="AA93" i="23" s="1"/>
  <c r="AF69" i="23"/>
  <c r="V9" i="23"/>
  <c r="W9" i="23" s="1"/>
  <c r="X9" i="23" s="1"/>
  <c r="V93" i="23"/>
  <c r="W93" i="23" s="1"/>
  <c r="X93" i="23" s="1"/>
  <c r="AB69" i="23"/>
  <c r="AC69" i="23" s="1"/>
  <c r="P69" i="23"/>
  <c r="Q69" i="23" s="1"/>
  <c r="AE69" i="23" s="1"/>
  <c r="AB9" i="23"/>
  <c r="AC9" i="23" s="1"/>
  <c r="P105" i="23"/>
  <c r="Q105" i="23" s="1"/>
  <c r="AE105" i="23" s="1"/>
  <c r="O69" i="23"/>
  <c r="AJ9" i="23"/>
  <c r="V105" i="23"/>
  <c r="W105" i="23" s="1"/>
  <c r="X105" i="23" s="1"/>
  <c r="AH93" i="23"/>
  <c r="AI93" i="23" s="1"/>
  <c r="AJ93" i="23"/>
  <c r="R105" i="23"/>
  <c r="S105" i="23" s="1"/>
  <c r="U105" i="23" s="1"/>
  <c r="AB93" i="23"/>
  <c r="AC93" i="23" s="1"/>
  <c r="Y105" i="23"/>
  <c r="Z105" i="23" s="1"/>
  <c r="AA105" i="23" s="1"/>
  <c r="AH9" i="23"/>
  <c r="AI9" i="23" s="1"/>
  <c r="R80" i="23"/>
  <c r="S80" i="23" s="1"/>
  <c r="U80" i="23" s="1"/>
  <c r="AH80" i="23"/>
  <c r="AI80" i="23" s="1"/>
  <c r="AL23" i="23"/>
  <c r="AU107" i="23"/>
  <c r="P80" i="23"/>
  <c r="Q80" i="23" s="1"/>
  <c r="AE80" i="23" s="1"/>
  <c r="Y80" i="23"/>
  <c r="Z80" i="23" s="1"/>
  <c r="AA80" i="23" s="1"/>
  <c r="AH104" i="23"/>
  <c r="AI104" i="23" s="1"/>
  <c r="L76" i="21"/>
  <c r="AB80" i="23"/>
  <c r="AC80" i="23" s="1"/>
  <c r="P104" i="23"/>
  <c r="Q104" i="23" s="1"/>
  <c r="AE104" i="23" s="1"/>
  <c r="AJ80" i="23"/>
  <c r="O104" i="23"/>
  <c r="AF80" i="23"/>
  <c r="AJ104" i="23"/>
  <c r="AH69" i="23"/>
  <c r="AI69" i="23" s="1"/>
  <c r="V80" i="23"/>
  <c r="W80" i="23" s="1"/>
  <c r="X80" i="23" s="1"/>
  <c r="AJ69" i="23"/>
  <c r="Y104" i="23"/>
  <c r="Z104" i="23" s="1"/>
  <c r="AA104" i="23" s="1"/>
  <c r="R104" i="23"/>
  <c r="S104" i="23" s="1"/>
  <c r="U104" i="23" s="1"/>
  <c r="BA104" i="23" s="1"/>
  <c r="AM76" i="21"/>
  <c r="AB104" i="23"/>
  <c r="AC104" i="23" s="1"/>
  <c r="Y69" i="23"/>
  <c r="Z69" i="23" s="1"/>
  <c r="AA69" i="23" s="1"/>
  <c r="M76" i="21"/>
  <c r="N76" i="21" s="1"/>
  <c r="AH76" i="21" s="1"/>
  <c r="AI76" i="21" s="1"/>
  <c r="M66" i="21"/>
  <c r="N66" i="21" s="1"/>
  <c r="AB66" i="21" s="1"/>
  <c r="AC66" i="21" s="1"/>
  <c r="R69" i="23"/>
  <c r="S69" i="23" s="1"/>
  <c r="U69" i="23" s="1"/>
  <c r="BA69" i="23" s="1"/>
  <c r="L66" i="21"/>
  <c r="AM66" i="21"/>
  <c r="AU64" i="23"/>
  <c r="N23" i="23"/>
  <c r="AH23" i="23" s="1"/>
  <c r="AI23" i="23" s="1"/>
  <c r="N58" i="23"/>
  <c r="Y58" i="23" s="1"/>
  <c r="Z58" i="23" s="1"/>
  <c r="AA58" i="23" s="1"/>
  <c r="AL42" i="23"/>
  <c r="M42" i="23"/>
  <c r="AM42" i="23"/>
  <c r="K42" i="23"/>
  <c r="M76" i="23"/>
  <c r="L67" i="21"/>
  <c r="AL67" i="21"/>
  <c r="M67" i="21"/>
  <c r="AM100" i="21"/>
  <c r="B45" i="23"/>
  <c r="D340" i="2"/>
  <c r="D339" i="2"/>
  <c r="B73" i="23"/>
  <c r="K107" i="23"/>
  <c r="AM107" i="23"/>
  <c r="M107" i="23"/>
  <c r="AU75" i="21"/>
  <c r="L75" i="21"/>
  <c r="AU77" i="21"/>
  <c r="AL77" i="21"/>
  <c r="M77" i="21"/>
  <c r="N77" i="21" s="1"/>
  <c r="L77" i="21"/>
  <c r="AM41" i="23"/>
  <c r="K41" i="23"/>
  <c r="AL41" i="23"/>
  <c r="M41" i="23"/>
  <c r="AU41" i="23"/>
  <c r="AL81" i="23"/>
  <c r="AM81" i="23"/>
  <c r="K81" i="23"/>
  <c r="E59" i="1"/>
  <c r="AM50" i="21"/>
  <c r="AL50" i="21"/>
  <c r="AU100" i="21"/>
  <c r="AL10" i="23"/>
  <c r="K10" i="23"/>
  <c r="AM10" i="23"/>
  <c r="M10" i="23"/>
  <c r="N10" i="23" s="1"/>
  <c r="Y10" i="23" s="1"/>
  <c r="Z10" i="23" s="1"/>
  <c r="AA10" i="23" s="1"/>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N24" i="23"/>
  <c r="M81" i="23"/>
  <c r="M51" i="21"/>
  <c r="N51" i="21" s="1"/>
  <c r="Y51" i="21" s="1"/>
  <c r="Z51" i="21" s="1"/>
  <c r="AA51" i="21" s="1"/>
  <c r="AU51" i="21"/>
  <c r="L51" i="21"/>
  <c r="L42" i="21"/>
  <c r="AL42" i="21"/>
  <c r="AU42" i="21"/>
  <c r="M42" i="21"/>
  <c r="AU16" i="21"/>
  <c r="L16" i="21"/>
  <c r="AL16" i="21"/>
  <c r="AM86" i="23"/>
  <c r="AL86" i="23"/>
  <c r="K86" i="23"/>
  <c r="K75" i="23"/>
  <c r="AM75" i="23"/>
  <c r="AU75" i="23"/>
  <c r="AL76" i="23"/>
  <c r="K76" i="23"/>
  <c r="AM76" i="23"/>
  <c r="AU67" i="21"/>
  <c r="AU98" i="21"/>
  <c r="AL40" i="23"/>
  <c r="AM40" i="23"/>
  <c r="K40" i="23"/>
  <c r="M40" i="23"/>
  <c r="AU40" i="23"/>
  <c r="E563" i="17"/>
  <c r="E113" i="17"/>
  <c r="F238" i="17"/>
  <c r="E35" i="17"/>
  <c r="F551" i="17"/>
  <c r="E425" i="17"/>
  <c r="F309" i="17"/>
  <c r="F304" i="17"/>
  <c r="F120" i="17"/>
  <c r="E542" i="17"/>
  <c r="E391" i="17"/>
  <c r="E119" i="17"/>
  <c r="F199" i="17"/>
  <c r="F68" i="17"/>
  <c r="F224" i="17"/>
  <c r="E354" i="17"/>
  <c r="F82" i="17"/>
  <c r="F18" i="17"/>
  <c r="E259" i="17"/>
  <c r="F262" i="17"/>
  <c r="F336" i="17"/>
  <c r="F253" i="17"/>
  <c r="E490" i="17"/>
  <c r="F84" i="17"/>
  <c r="F206" i="17"/>
  <c r="E116" i="17"/>
  <c r="F110" i="17"/>
  <c r="F15" i="17"/>
  <c r="F445" i="17"/>
  <c r="F265" i="17"/>
  <c r="F272" i="17"/>
  <c r="E15" i="17"/>
  <c r="E505" i="17"/>
  <c r="F104" i="17"/>
  <c r="E143" i="17"/>
  <c r="F245" i="17"/>
  <c r="E59" i="17"/>
  <c r="F270" i="17"/>
  <c r="E440" i="17"/>
  <c r="F78" i="17"/>
  <c r="F14" i="17"/>
  <c r="E275" i="17"/>
  <c r="F278" i="17"/>
  <c r="F358" i="17"/>
  <c r="F273" i="17"/>
  <c r="E512" i="17"/>
  <c r="F20" i="17"/>
  <c r="F134" i="17"/>
  <c r="F254" i="17"/>
  <c r="E135" i="17"/>
  <c r="F393" i="17"/>
  <c r="F414" i="17"/>
  <c r="E111" i="17"/>
  <c r="E178" i="17"/>
  <c r="E590" i="17"/>
  <c r="F137" i="17"/>
  <c r="E245" i="17"/>
  <c r="E39" i="17"/>
  <c r="F107" i="17"/>
  <c r="F72" i="17"/>
  <c r="F222" i="17"/>
  <c r="E352" i="17"/>
  <c r="E27" i="17"/>
  <c r="E194" i="17"/>
  <c r="E546" i="17"/>
  <c r="F66" i="17"/>
  <c r="F130" i="17"/>
  <c r="E131" i="17"/>
  <c r="E122" i="17"/>
  <c r="F319" i="17"/>
  <c r="E337" i="17"/>
  <c r="F474" i="17"/>
  <c r="E75" i="17"/>
  <c r="E212" i="17"/>
  <c r="F287" i="17"/>
  <c r="F113" i="17"/>
  <c r="E153" i="17"/>
  <c r="F370" i="17"/>
  <c r="F523" i="17"/>
  <c r="E299" i="17"/>
  <c r="E187" i="17"/>
  <c r="E47" i="17"/>
  <c r="E600" i="17"/>
  <c r="F60" i="17"/>
  <c r="F256" i="17"/>
  <c r="E438" i="17"/>
  <c r="F16" i="17"/>
  <c r="E242" i="17"/>
  <c r="E78" i="17"/>
  <c r="F62" i="17"/>
  <c r="F138" i="17"/>
  <c r="E139" i="17"/>
  <c r="E138" i="17"/>
  <c r="F339" i="17"/>
  <c r="E359" i="17"/>
  <c r="F496" i="17"/>
  <c r="F326" i="17"/>
  <c r="F560" i="17"/>
  <c r="F88" i="17"/>
  <c r="E329" i="17"/>
  <c r="F286" i="17"/>
  <c r="E415" i="17"/>
  <c r="F488" i="17"/>
  <c r="F331" i="17"/>
  <c r="E137" i="17"/>
  <c r="E63" i="17"/>
  <c r="F521" i="17"/>
  <c r="F40" i="17"/>
  <c r="E110" i="17"/>
  <c r="F32" i="17"/>
  <c r="F52" i="17"/>
  <c r="F44" i="17"/>
  <c r="F464" i="17"/>
  <c r="E244" i="17"/>
  <c r="F559" i="17"/>
  <c r="E504" i="17"/>
  <c r="F350" i="17"/>
  <c r="E271" i="17"/>
  <c r="E79" i="17"/>
  <c r="F484" i="17"/>
  <c r="E19" i="17"/>
  <c r="E226" i="17"/>
  <c r="E94" i="17"/>
  <c r="F190" i="17"/>
  <c r="F353" i="17"/>
  <c r="F46" i="17"/>
  <c r="F170" i="17"/>
  <c r="E193" i="17"/>
  <c r="E202" i="17"/>
  <c r="E307" i="17"/>
  <c r="E342" i="17"/>
  <c r="F531" i="17"/>
  <c r="E203" i="17"/>
  <c r="E107" i="17"/>
  <c r="E251" i="17"/>
  <c r="F128" i="17"/>
  <c r="E463" i="17"/>
  <c r="F371" i="17"/>
  <c r="F61" i="17"/>
  <c r="E418" i="17"/>
  <c r="E264" i="17"/>
  <c r="E207" i="17"/>
  <c r="E95" i="17"/>
  <c r="E502" i="17"/>
  <c r="F142" i="17"/>
  <c r="F328" i="17"/>
  <c r="F557" i="17"/>
  <c r="E267" i="17"/>
  <c r="F157" i="17"/>
  <c r="F102" i="17"/>
  <c r="F38" i="17"/>
  <c r="F186" i="17"/>
  <c r="E257" i="17"/>
  <c r="E234" i="17"/>
  <c r="F145" i="17"/>
  <c r="E384" i="17"/>
  <c r="F548" i="17"/>
  <c r="E398" i="17"/>
  <c r="E130" i="17"/>
  <c r="F174" i="17"/>
  <c r="F13" i="17"/>
  <c r="F159" i="17"/>
  <c r="F93" i="17"/>
  <c r="E376" i="17"/>
  <c r="E228" i="17"/>
  <c r="F184" i="17"/>
  <c r="E103" i="17"/>
  <c r="E458" i="17"/>
  <c r="F160" i="17"/>
  <c r="F390" i="17"/>
  <c r="E92" i="17"/>
  <c r="E127" i="17"/>
  <c r="F201" i="17"/>
  <c r="F98" i="17"/>
  <c r="F34" i="17"/>
  <c r="E195" i="17"/>
  <c r="F198" i="17"/>
  <c r="E250" i="17"/>
  <c r="F167" i="17"/>
  <c r="E406" i="17"/>
  <c r="F576" i="17"/>
  <c r="F96" i="17"/>
  <c r="E394" i="17"/>
  <c r="E482" i="17"/>
  <c r="F392" i="17"/>
  <c r="E71" i="17"/>
  <c r="F28" i="17"/>
  <c r="F420" i="17"/>
  <c r="E114" i="17"/>
  <c r="F90" i="17"/>
  <c r="F178" i="17"/>
  <c r="E170" i="17"/>
  <c r="E317" i="17"/>
  <c r="F63" i="17"/>
  <c r="F81" i="17"/>
  <c r="E569" i="17"/>
  <c r="E517" i="17"/>
  <c r="F491" i="17"/>
  <c r="F83" i="17"/>
  <c r="F566" i="17"/>
  <c r="F607" i="17"/>
  <c r="F565" i="17"/>
  <c r="E427" i="17"/>
  <c r="F401" i="17"/>
  <c r="E604" i="17"/>
  <c r="E565" i="17"/>
  <c r="F487" i="17"/>
  <c r="F562" i="17"/>
  <c r="F510" i="17"/>
  <c r="E484" i="17"/>
  <c r="E356" i="17"/>
  <c r="E331" i="17"/>
  <c r="F203" i="17"/>
  <c r="F397" i="17"/>
  <c r="F372" i="17"/>
  <c r="F29" i="17"/>
  <c r="E457" i="17"/>
  <c r="F556" i="17"/>
  <c r="F460" i="17"/>
  <c r="E392" i="17"/>
  <c r="E325" i="17"/>
  <c r="F153" i="17"/>
  <c r="F408" i="17"/>
  <c r="E240" i="17"/>
  <c r="E112" i="17"/>
  <c r="E269" i="17"/>
  <c r="F611" i="17"/>
  <c r="F447" i="17"/>
  <c r="F527" i="17"/>
  <c r="E506" i="17"/>
  <c r="E336" i="17"/>
  <c r="F269" i="17"/>
  <c r="E301" i="17"/>
  <c r="F352" i="17"/>
  <c r="E198" i="17"/>
  <c r="F274" i="17"/>
  <c r="E189" i="17"/>
  <c r="E65" i="17"/>
  <c r="F132" i="17"/>
  <c r="E133" i="17"/>
  <c r="E124" i="17"/>
  <c r="F321" i="17"/>
  <c r="E341" i="17"/>
  <c r="F476" i="17"/>
  <c r="E489" i="17"/>
  <c r="F112" i="17"/>
  <c r="F558" i="17"/>
  <c r="F399" i="17"/>
  <c r="E306" i="17"/>
  <c r="E87" i="17"/>
  <c r="F118" i="17"/>
  <c r="F506" i="17"/>
  <c r="E148" i="17"/>
  <c r="F86" i="17"/>
  <c r="E211" i="17"/>
  <c r="E186" i="17"/>
  <c r="E381" i="17"/>
  <c r="F415" i="17"/>
  <c r="F97" i="17"/>
  <c r="E561" i="17"/>
  <c r="E509" i="17"/>
  <c r="F483" i="17"/>
  <c r="F99" i="17"/>
  <c r="F21" i="17"/>
  <c r="F599" i="17"/>
  <c r="F549" i="17"/>
  <c r="E419" i="17"/>
  <c r="F23" i="17"/>
  <c r="E596" i="17"/>
  <c r="E549" i="17"/>
  <c r="F471" i="17"/>
  <c r="F554" i="17"/>
  <c r="F502" i="17"/>
  <c r="E476" i="17"/>
  <c r="E348" i="17"/>
  <c r="E323" i="17"/>
  <c r="F195" i="17"/>
  <c r="F389" i="17"/>
  <c r="F364" i="17"/>
  <c r="F73" i="17"/>
  <c r="E439" i="17"/>
  <c r="F544" i="17"/>
  <c r="F450" i="17"/>
  <c r="E382" i="17"/>
  <c r="F313" i="17"/>
  <c r="F143" i="17"/>
  <c r="F398" i="17"/>
  <c r="E232" i="17"/>
  <c r="F308" i="17"/>
  <c r="E253" i="17"/>
  <c r="E589" i="17"/>
  <c r="F429" i="17"/>
  <c r="F583" i="17"/>
  <c r="E496" i="17"/>
  <c r="E326" i="17"/>
  <c r="F257" i="17"/>
  <c r="E291" i="17"/>
  <c r="F342" i="17"/>
  <c r="E190" i="17"/>
  <c r="F266" i="17"/>
  <c r="E181" i="17"/>
  <c r="E61" i="17"/>
  <c r="F140" i="17"/>
  <c r="E141" i="17"/>
  <c r="E140" i="17"/>
  <c r="F343" i="17"/>
  <c r="E361" i="17"/>
  <c r="F498" i="17"/>
  <c r="F534" i="17"/>
  <c r="F117" i="17"/>
  <c r="E99" i="17"/>
  <c r="F605" i="17"/>
  <c r="E196" i="17"/>
  <c r="F626" i="17"/>
  <c r="F182" i="17"/>
  <c r="F543" i="17"/>
  <c r="E286" i="17"/>
  <c r="F74" i="17"/>
  <c r="E227" i="17"/>
  <c r="E218" i="17"/>
  <c r="E401" i="17"/>
  <c r="F461" i="17"/>
  <c r="E16" i="17"/>
  <c r="E553" i="17"/>
  <c r="E501" i="17"/>
  <c r="F475" i="17"/>
  <c r="E18" i="17"/>
  <c r="F37" i="17"/>
  <c r="E591" i="17"/>
  <c r="F538" i="17"/>
  <c r="F513" i="17"/>
  <c r="F39" i="17"/>
  <c r="F588" i="17"/>
  <c r="E576" i="17"/>
  <c r="F329" i="17"/>
  <c r="F466" i="17"/>
  <c r="F76" i="17"/>
  <c r="E556" i="17"/>
  <c r="E164" i="17"/>
  <c r="F105" i="17"/>
  <c r="E219" i="17"/>
  <c r="F479" i="17"/>
  <c r="F346" i="17"/>
  <c r="F70" i="17"/>
  <c r="E243" i="17"/>
  <c r="E272" i="17"/>
  <c r="E320" i="17"/>
  <c r="F501" i="17"/>
  <c r="E32" i="17"/>
  <c r="E545" i="17"/>
  <c r="E493" i="17"/>
  <c r="F467" i="17"/>
  <c r="E34" i="17"/>
  <c r="F53" i="17"/>
  <c r="E583" i="17"/>
  <c r="F530" i="17"/>
  <c r="F505" i="17"/>
  <c r="F55" i="17"/>
  <c r="F580" i="17"/>
  <c r="E544" i="17"/>
  <c r="F439" i="17"/>
  <c r="E586" i="17"/>
  <c r="F486" i="17"/>
  <c r="E460" i="17"/>
  <c r="E332" i="17"/>
  <c r="F307" i="17"/>
  <c r="F179" i="17"/>
  <c r="F373" i="17"/>
  <c r="F348" i="17"/>
  <c r="E60" i="17"/>
  <c r="F495" i="17"/>
  <c r="E558" i="17"/>
  <c r="F428" i="17"/>
  <c r="E360" i="17"/>
  <c r="F293" i="17"/>
  <c r="F121" i="17"/>
  <c r="F376" i="17"/>
  <c r="E216" i="17"/>
  <c r="F292" i="17"/>
  <c r="E221" i="17"/>
  <c r="E547" i="17"/>
  <c r="F43" i="17"/>
  <c r="E543" i="17"/>
  <c r="E474" i="17"/>
  <c r="E407" i="17"/>
  <c r="F288" i="17"/>
  <c r="F150" i="17"/>
  <c r="F95" i="17"/>
  <c r="F240" i="17"/>
  <c r="E423" i="17"/>
  <c r="E171" i="17"/>
  <c r="E91" i="17"/>
  <c r="E297" i="17"/>
  <c r="F54" i="17"/>
  <c r="E123" i="17"/>
  <c r="E314" i="17"/>
  <c r="E426" i="17"/>
  <c r="E487" i="17"/>
  <c r="E64" i="17"/>
  <c r="E568" i="17"/>
  <c r="E477" i="17"/>
  <c r="F451" i="17"/>
  <c r="E66" i="17"/>
  <c r="F85" i="17"/>
  <c r="E567" i="17"/>
  <c r="E515" i="17"/>
  <c r="F489" i="17"/>
  <c r="F87" i="17"/>
  <c r="F564" i="17"/>
  <c r="F577" i="17"/>
  <c r="F407" i="17"/>
  <c r="E554" i="17"/>
  <c r="F470" i="17"/>
  <c r="E444" i="17"/>
  <c r="E316" i="17"/>
  <c r="F291" i="17"/>
  <c r="F163" i="17"/>
  <c r="F357" i="17"/>
  <c r="F332" i="17"/>
  <c r="F600" i="17"/>
  <c r="F453" i="17"/>
  <c r="F529" i="17"/>
  <c r="E510" i="17"/>
  <c r="E338" i="17"/>
  <c r="F271" i="17"/>
  <c r="E305" i="17"/>
  <c r="F354" i="17"/>
  <c r="E200" i="17"/>
  <c r="F276" i="17"/>
  <c r="F64" i="17"/>
  <c r="E262" i="17"/>
  <c r="F192" i="17"/>
  <c r="E602" i="17"/>
  <c r="F208" i="17"/>
  <c r="F437" i="17"/>
  <c r="E241" i="17"/>
  <c r="F80" i="17"/>
  <c r="F263" i="17"/>
  <c r="F50" i="17"/>
  <c r="E147" i="17"/>
  <c r="F378" i="17"/>
  <c r="E448" i="17"/>
  <c r="F526" i="17"/>
  <c r="E80" i="17"/>
  <c r="E552" i="17"/>
  <c r="E469" i="17"/>
  <c r="F443" i="17"/>
  <c r="E82" i="17"/>
  <c r="F101" i="17"/>
  <c r="E559" i="17"/>
  <c r="E507" i="17"/>
  <c r="F481" i="17"/>
  <c r="F103" i="17"/>
  <c r="F25" i="17"/>
  <c r="F545" i="17"/>
  <c r="F27" i="17"/>
  <c r="F541" i="17"/>
  <c r="F462" i="17"/>
  <c r="E436" i="17"/>
  <c r="E411" i="17"/>
  <c r="F283" i="17"/>
  <c r="F155" i="17"/>
  <c r="F349" i="17"/>
  <c r="F324" i="17"/>
  <c r="E595" i="17"/>
  <c r="F431" i="17"/>
  <c r="F591" i="17"/>
  <c r="E498" i="17"/>
  <c r="E328" i="17"/>
  <c r="F261" i="17"/>
  <c r="E293" i="17"/>
  <c r="F344" i="17"/>
  <c r="E192" i="17"/>
  <c r="F268" i="17"/>
  <c r="E183" i="17"/>
  <c r="F573" i="17"/>
  <c r="E74" i="17"/>
  <c r="F512" i="17"/>
  <c r="E442" i="17"/>
  <c r="E375" i="17"/>
  <c r="F205" i="17"/>
  <c r="F355" i="17"/>
  <c r="E288" i="17"/>
  <c r="E150" i="17"/>
  <c r="F226" i="17"/>
  <c r="E105" i="17"/>
  <c r="E41" i="17"/>
  <c r="F180" i="17"/>
  <c r="E229" i="17"/>
  <c r="E220" i="17"/>
  <c r="F127" i="17"/>
  <c r="E366" i="17"/>
  <c r="E566" i="17"/>
  <c r="E40" i="17"/>
  <c r="E213" i="17"/>
  <c r="F108" i="17"/>
  <c r="E277" i="17"/>
  <c r="E529" i="17"/>
  <c r="E155" i="17"/>
  <c r="E582" i="17"/>
  <c r="F302" i="17"/>
  <c r="F48" i="17"/>
  <c r="E327" i="17"/>
  <c r="F42" i="17"/>
  <c r="E161" i="17"/>
  <c r="F400" i="17"/>
  <c r="E470" i="17"/>
  <c r="F593" i="17"/>
  <c r="E96" i="17"/>
  <c r="E540" i="17"/>
  <c r="E461" i="17"/>
  <c r="F435" i="17"/>
  <c r="E98" i="17"/>
  <c r="E20" i="17"/>
  <c r="E551" i="17"/>
  <c r="E499" i="17"/>
  <c r="F473" i="17"/>
  <c r="E22" i="17"/>
  <c r="F57" i="17"/>
  <c r="F528" i="17"/>
  <c r="F59" i="17"/>
  <c r="F533" i="17"/>
  <c r="F454" i="17"/>
  <c r="E428" i="17"/>
  <c r="E403" i="17"/>
  <c r="F275" i="17"/>
  <c r="F147" i="17"/>
  <c r="F341" i="17"/>
  <c r="F316" i="17"/>
  <c r="E573" i="17"/>
  <c r="F413" i="17"/>
  <c r="F567" i="17"/>
  <c r="E488" i="17"/>
  <c r="E318" i="17"/>
  <c r="F249" i="17"/>
  <c r="E283" i="17"/>
  <c r="F334" i="17"/>
  <c r="E184" i="17"/>
  <c r="F260" i="17"/>
  <c r="E175" i="17"/>
  <c r="F536" i="17"/>
  <c r="E613" i="17"/>
  <c r="F500" i="17"/>
  <c r="E432" i="17"/>
  <c r="E365" i="17"/>
  <c r="F193" i="17"/>
  <c r="F345" i="17"/>
  <c r="E278" i="17"/>
  <c r="E142" i="17"/>
  <c r="F218" i="17"/>
  <c r="E101" i="17"/>
  <c r="E37" i="17"/>
  <c r="F188" i="17"/>
  <c r="E261" i="17"/>
  <c r="E236" i="17"/>
  <c r="F149" i="17"/>
  <c r="E386" i="17"/>
  <c r="F550" i="17"/>
  <c r="F45" i="17"/>
  <c r="E471" i="17"/>
  <c r="F24" i="17"/>
  <c r="F368" i="17"/>
  <c r="E462" i="17"/>
  <c r="E239" i="17"/>
  <c r="F442" i="17"/>
  <c r="E180" i="17"/>
  <c r="F126" i="17"/>
  <c r="F424" i="17"/>
  <c r="F26" i="17"/>
  <c r="E225" i="17"/>
  <c r="F383" i="17"/>
  <c r="F452" i="17"/>
  <c r="E579" i="17"/>
  <c r="F606" i="17"/>
  <c r="E524" i="17"/>
  <c r="E445" i="17"/>
  <c r="F419" i="17"/>
  <c r="E603" i="17"/>
  <c r="E52" i="17"/>
  <c r="E580" i="17"/>
  <c r="E483" i="17"/>
  <c r="F457" i="17"/>
  <c r="E54" i="17"/>
  <c r="E24" i="17"/>
  <c r="E497" i="17"/>
  <c r="E26" i="17"/>
  <c r="F587" i="17"/>
  <c r="F438" i="17"/>
  <c r="E412" i="17"/>
  <c r="E387" i="17"/>
  <c r="F259" i="17"/>
  <c r="F131" i="17"/>
  <c r="F325" i="17"/>
  <c r="E300" i="17"/>
  <c r="E572" i="17"/>
  <c r="F75" i="17"/>
  <c r="E535" i="17"/>
  <c r="E466" i="17"/>
  <c r="E399" i="17"/>
  <c r="F229" i="17"/>
  <c r="F379" i="17"/>
  <c r="E312" i="17"/>
  <c r="E168" i="17"/>
  <c r="F244" i="17"/>
  <c r="E159" i="17"/>
  <c r="E495" i="17"/>
  <c r="F586" i="17"/>
  <c r="F480" i="17"/>
  <c r="E410" i="17"/>
  <c r="E343" i="17"/>
  <c r="F173" i="17"/>
  <c r="F323" i="17"/>
  <c r="E256" i="17"/>
  <c r="E126" i="17"/>
  <c r="F202" i="17"/>
  <c r="E93" i="17"/>
  <c r="E29" i="17"/>
  <c r="E215" i="17"/>
  <c r="F216" i="17"/>
  <c r="E274" i="17"/>
  <c r="F191" i="17"/>
  <c r="E430" i="17"/>
  <c r="E605" i="17"/>
  <c r="E349" i="17"/>
  <c r="E235" i="17"/>
  <c r="F285" i="17"/>
  <c r="E334" i="17"/>
  <c r="F168" i="17"/>
  <c r="E416" i="17"/>
  <c r="E282" i="17"/>
  <c r="F144" i="17"/>
  <c r="F508" i="17"/>
  <c r="F22" i="17"/>
  <c r="F214" i="17"/>
  <c r="E285" i="17"/>
  <c r="F516" i="17"/>
  <c r="F602" i="17"/>
  <c r="F598" i="17"/>
  <c r="F585" i="17"/>
  <c r="E437" i="17"/>
  <c r="F411" i="17"/>
  <c r="A623" i="17"/>
  <c r="E68" i="17"/>
  <c r="E564" i="17"/>
  <c r="E475" i="17"/>
  <c r="F449" i="17"/>
  <c r="E70" i="17"/>
  <c r="E56" i="17"/>
  <c r="E481" i="17"/>
  <c r="E58" i="17"/>
  <c r="F571" i="17"/>
  <c r="F430" i="17"/>
  <c r="E404" i="17"/>
  <c r="E379" i="17"/>
  <c r="F251" i="17"/>
  <c r="F123" i="17"/>
  <c r="F317" i="17"/>
  <c r="E292" i="17"/>
  <c r="E536" i="17"/>
  <c r="E14" i="17"/>
  <c r="E523" i="17"/>
  <c r="E456" i="17"/>
  <c r="E389" i="17"/>
  <c r="F217" i="17"/>
  <c r="F369" i="17"/>
  <c r="E302" i="17"/>
  <c r="E160" i="17"/>
  <c r="F236" i="17"/>
  <c r="E151" i="17"/>
  <c r="E473" i="17"/>
  <c r="F568" i="17"/>
  <c r="F468" i="17"/>
  <c r="E400" i="17"/>
  <c r="E333" i="17"/>
  <c r="F161" i="17"/>
  <c r="F416" i="17"/>
  <c r="E246" i="17"/>
  <c r="E118" i="17"/>
  <c r="F194" i="17"/>
  <c r="E89" i="17"/>
  <c r="E25" i="17"/>
  <c r="E231" i="17"/>
  <c r="F232" i="17"/>
  <c r="E296" i="17"/>
  <c r="F213" i="17"/>
  <c r="E450" i="17"/>
  <c r="E42" i="17"/>
  <c r="E129" i="17"/>
  <c r="E413" i="17"/>
  <c r="E393" i="17"/>
  <c r="F152" i="17"/>
  <c r="E374" i="17"/>
  <c r="F351" i="17"/>
  <c r="F166" i="17"/>
  <c r="F485" i="17"/>
  <c r="F114" i="17"/>
  <c r="F230" i="17"/>
  <c r="F125" i="17"/>
  <c r="E537" i="17"/>
  <c r="E44" i="17"/>
  <c r="F609" i="17"/>
  <c r="F569" i="17"/>
  <c r="E429" i="17"/>
  <c r="F403" i="17"/>
  <c r="E606" i="17"/>
  <c r="E84" i="17"/>
  <c r="E548" i="17"/>
  <c r="E467" i="17"/>
  <c r="F441" i="17"/>
  <c r="E86" i="17"/>
  <c r="E88" i="17"/>
  <c r="E465" i="17"/>
  <c r="E90" i="17"/>
  <c r="F555" i="17"/>
  <c r="F422" i="17"/>
  <c r="E396" i="17"/>
  <c r="E371" i="17"/>
  <c r="F243" i="17"/>
  <c r="F115" i="17"/>
  <c r="F412" i="17"/>
  <c r="E284" i="17"/>
  <c r="F589" i="17"/>
  <c r="E62" i="17"/>
  <c r="F514" i="17"/>
  <c r="E446" i="17"/>
  <c r="E377" i="17"/>
  <c r="F207" i="17"/>
  <c r="F359" i="17"/>
  <c r="E290" i="17"/>
  <c r="E152" i="17"/>
  <c r="F228" i="17"/>
  <c r="F41" i="17"/>
  <c r="E455" i="17"/>
  <c r="F552" i="17"/>
  <c r="F458" i="17"/>
  <c r="E390" i="17"/>
  <c r="E321" i="17"/>
  <c r="F151" i="17"/>
  <c r="F406" i="17"/>
  <c r="E238" i="17"/>
  <c r="F314" i="17"/>
  <c r="E265" i="17"/>
  <c r="E85" i="17"/>
  <c r="E21" i="17"/>
  <c r="E247" i="17"/>
  <c r="F248" i="17"/>
  <c r="F318" i="17"/>
  <c r="F233" i="17"/>
  <c r="E472" i="17"/>
  <c r="F47" i="17"/>
  <c r="E209" i="17"/>
  <c r="E480" i="17"/>
  <c r="E351" i="17"/>
  <c r="F136" i="17"/>
  <c r="E330" i="17"/>
  <c r="F395" i="17"/>
  <c r="E223" i="17"/>
  <c r="F561" i="17"/>
  <c r="F122" i="17"/>
  <c r="F246" i="17"/>
  <c r="F189" i="17"/>
  <c r="F575" i="17"/>
  <c r="F17" i="17"/>
  <c r="F601" i="17"/>
  <c r="F553" i="17"/>
  <c r="E421" i="17"/>
  <c r="F19" i="17"/>
  <c r="E598" i="17"/>
  <c r="E100" i="17"/>
  <c r="E538" i="17"/>
  <c r="E459" i="17"/>
  <c r="F433" i="17"/>
  <c r="E102" i="17"/>
  <c r="F610" i="17"/>
  <c r="E449" i="17"/>
  <c r="E607" i="17"/>
  <c r="E541" i="17"/>
  <c r="E516" i="17"/>
  <c r="E388" i="17"/>
  <c r="E363" i="17"/>
  <c r="F235" i="17"/>
  <c r="E311" i="17"/>
  <c r="F404" i="17"/>
  <c r="E276" i="17"/>
  <c r="F542" i="17"/>
  <c r="E106" i="17"/>
  <c r="F504" i="17"/>
  <c r="E434" i="17"/>
  <c r="E367" i="17"/>
  <c r="F197" i="17"/>
  <c r="F347" i="17"/>
  <c r="E280" i="17"/>
  <c r="E144" i="17"/>
  <c r="F220" i="17"/>
  <c r="F77" i="17"/>
  <c r="E431" i="17"/>
  <c r="E594" i="17"/>
  <c r="F448" i="17"/>
  <c r="E378" i="17"/>
  <c r="F311" i="17"/>
  <c r="F141" i="17"/>
  <c r="F394" i="17"/>
  <c r="E230" i="17"/>
  <c r="F306" i="17"/>
  <c r="E249" i="17"/>
  <c r="E81" i="17"/>
  <c r="E17" i="17"/>
  <c r="E263" i="17"/>
  <c r="F264" i="17"/>
  <c r="F338" i="17"/>
  <c r="F255" i="17"/>
  <c r="E494" i="17"/>
  <c r="F421" i="17"/>
  <c r="E43" i="17"/>
  <c r="E304" i="17"/>
  <c r="E169" i="17"/>
  <c r="F181" i="17"/>
  <c r="E31" i="17"/>
  <c r="E83" i="17"/>
  <c r="F305" i="17"/>
  <c r="E185" i="17"/>
  <c r="F106" i="17"/>
  <c r="F154" i="17"/>
  <c r="F310" i="17"/>
  <c r="F231" i="17"/>
  <c r="E599" i="17"/>
  <c r="F49" i="17"/>
  <c r="E585" i="17"/>
  <c r="F532" i="17"/>
  <c r="F507" i="17"/>
  <c r="F51" i="17"/>
  <c r="F582" i="17"/>
  <c r="F604" i="17"/>
  <c r="E522" i="17"/>
  <c r="E443" i="17"/>
  <c r="F417" i="17"/>
  <c r="E601" i="17"/>
  <c r="F597" i="17"/>
  <c r="E520" i="17"/>
  <c r="F594" i="17"/>
  <c r="E525" i="17"/>
  <c r="E500" i="17"/>
  <c r="E372" i="17"/>
  <c r="E347" i="17"/>
  <c r="F219" i="17"/>
  <c r="E295" i="17"/>
  <c r="F388" i="17"/>
  <c r="E260" i="17"/>
  <c r="E503" i="17"/>
  <c r="F592" i="17"/>
  <c r="F482" i="17"/>
  <c r="E414" i="17"/>
  <c r="E345" i="17"/>
  <c r="F175" i="17"/>
  <c r="F327" i="17"/>
  <c r="E258" i="17"/>
  <c r="E128" i="17"/>
  <c r="F204" i="17"/>
  <c r="E72" i="17"/>
  <c r="F493" i="17"/>
  <c r="E550" i="17"/>
  <c r="F426" i="17"/>
  <c r="E358" i="17"/>
  <c r="F289" i="17"/>
  <c r="F119" i="17"/>
  <c r="F374" i="17"/>
  <c r="E214" i="17"/>
  <c r="F290" i="17"/>
  <c r="E217" i="17"/>
  <c r="E73" i="17"/>
  <c r="F116" i="17"/>
  <c r="E117" i="17"/>
  <c r="F296" i="17"/>
  <c r="F382" i="17"/>
  <c r="F297" i="17"/>
  <c r="F434" i="17"/>
  <c r="F509" i="17"/>
  <c r="F241" i="17"/>
  <c r="F221" i="17"/>
  <c r="F177" i="17"/>
  <c r="F375" i="17"/>
  <c r="E55" i="17"/>
  <c r="E51" i="17"/>
  <c r="E369" i="17"/>
  <c r="E273" i="17"/>
  <c r="F94" i="17"/>
  <c r="F162" i="17"/>
  <c r="E154" i="17"/>
  <c r="F295" i="17"/>
  <c r="E46" i="17"/>
  <c r="F65" i="17"/>
  <c r="E577" i="17"/>
  <c r="F524" i="17"/>
  <c r="F499" i="17"/>
  <c r="F67" i="17"/>
  <c r="F574" i="17"/>
  <c r="F596" i="17"/>
  <c r="F581" i="17"/>
  <c r="E435" i="17"/>
  <c r="F409" i="17"/>
  <c r="E612" i="17"/>
  <c r="E581" i="17"/>
  <c r="F503" i="17"/>
  <c r="F578" i="17"/>
  <c r="F518" i="17"/>
  <c r="E492" i="17"/>
  <c r="E364" i="17"/>
  <c r="E339" i="17"/>
  <c r="F211" i="17"/>
  <c r="E287" i="17"/>
  <c r="F380" i="17"/>
  <c r="E252" i="17"/>
  <c r="E479" i="17"/>
  <c r="F570" i="17"/>
  <c r="F472" i="17"/>
  <c r="E402" i="17"/>
  <c r="E335" i="17"/>
  <c r="F165" i="17"/>
  <c r="F315" i="17"/>
  <c r="E248" i="17"/>
  <c r="E120" i="17"/>
  <c r="F196" i="17"/>
  <c r="E108" i="17"/>
  <c r="F469" i="17"/>
  <c r="F537" i="17"/>
  <c r="E518" i="17"/>
  <c r="E346" i="17"/>
  <c r="F279" i="17"/>
  <c r="E313" i="17"/>
  <c r="F362" i="17"/>
  <c r="E206" i="17"/>
  <c r="F282" i="17"/>
  <c r="E201" i="17"/>
  <c r="E69" i="17"/>
  <c r="F124" i="17"/>
  <c r="E125" i="17"/>
  <c r="F312" i="17"/>
  <c r="F402" i="17"/>
  <c r="E319" i="17"/>
  <c r="F456" i="17"/>
  <c r="E447" i="17"/>
  <c r="F158" i="17"/>
  <c r="E146" i="17"/>
  <c r="F209" i="17"/>
  <c r="F459" i="17"/>
  <c r="F465" i="17"/>
  <c r="E570" i="17"/>
  <c r="F299" i="17"/>
  <c r="E104" i="17"/>
  <c r="E350" i="17"/>
  <c r="E208" i="17"/>
  <c r="F511" i="17"/>
  <c r="E417" i="17"/>
  <c r="F384" i="17"/>
  <c r="F234" i="17"/>
  <c r="F156" i="17"/>
  <c r="F360" i="17"/>
  <c r="F535" i="17"/>
  <c r="E514" i="17"/>
  <c r="E485" i="17"/>
  <c r="E67" i="17"/>
  <c r="F135" i="17"/>
  <c r="E362" i="17"/>
  <c r="F427" i="17"/>
  <c r="F425" i="17"/>
  <c r="F525" i="17"/>
  <c r="F267" i="17"/>
  <c r="E555" i="17"/>
  <c r="E409" i="17"/>
  <c r="E176" i="17"/>
  <c r="F405" i="17"/>
  <c r="E397" i="17"/>
  <c r="F330" i="17"/>
  <c r="F210" i="17"/>
  <c r="F164" i="17"/>
  <c r="F363" i="17"/>
  <c r="F584" i="17"/>
  <c r="E324" i="17"/>
  <c r="E395" i="17"/>
  <c r="E519" i="17"/>
  <c r="E210" i="17"/>
  <c r="F100" i="17"/>
  <c r="F432" i="17"/>
  <c r="F35" i="17"/>
  <c r="F71" i="17"/>
  <c r="E533" i="17"/>
  <c r="F227" i="17"/>
  <c r="F520" i="17"/>
  <c r="E357" i="17"/>
  <c r="E136" i="17"/>
  <c r="F79" i="17"/>
  <c r="E385" i="17"/>
  <c r="F320" i="17"/>
  <c r="E233" i="17"/>
  <c r="F172" i="17"/>
  <c r="F385" i="17"/>
  <c r="F463" i="17"/>
  <c r="F603" i="17"/>
  <c r="F387" i="17"/>
  <c r="E308" i="17"/>
  <c r="E188" i="17"/>
  <c r="F56" i="17"/>
  <c r="F36" i="17"/>
  <c r="E562" i="17"/>
  <c r="E50" i="17"/>
  <c r="E38" i="17"/>
  <c r="F494" i="17"/>
  <c r="F187" i="17"/>
  <c r="F517" i="17"/>
  <c r="F303" i="17"/>
  <c r="F300" i="17"/>
  <c r="E30" i="17"/>
  <c r="E353" i="17"/>
  <c r="E310" i="17"/>
  <c r="E173" i="17"/>
  <c r="E199" i="17"/>
  <c r="E289" i="17"/>
  <c r="E526" i="17"/>
  <c r="E177" i="17"/>
  <c r="F322" i="17"/>
  <c r="E162" i="17"/>
  <c r="E145" i="17"/>
  <c r="E441" i="17"/>
  <c r="E611" i="17"/>
  <c r="E609" i="17"/>
  <c r="F478" i="17"/>
  <c r="F171" i="17"/>
  <c r="F477" i="17"/>
  <c r="F281" i="17"/>
  <c r="F284" i="17"/>
  <c r="E608" i="17"/>
  <c r="F301" i="17"/>
  <c r="E298" i="17"/>
  <c r="E165" i="17"/>
  <c r="E279" i="17"/>
  <c r="E309" i="17"/>
  <c r="E592" i="17"/>
  <c r="F366" i="17"/>
  <c r="F298" i="17"/>
  <c r="E491" i="17"/>
  <c r="E557" i="17"/>
  <c r="F410" i="17"/>
  <c r="E588" i="17"/>
  <c r="F590" i="17"/>
  <c r="F572" i="17"/>
  <c r="F446" i="17"/>
  <c r="F139" i="17"/>
  <c r="F31" i="17"/>
  <c r="F239" i="17"/>
  <c r="F252" i="17"/>
  <c r="E574" i="17"/>
  <c r="F247" i="17"/>
  <c r="E266" i="17"/>
  <c r="E157" i="17"/>
  <c r="E149" i="17"/>
  <c r="F169" i="17"/>
  <c r="E587" i="17"/>
  <c r="F91" i="17"/>
  <c r="E511" i="17"/>
  <c r="E373" i="17"/>
  <c r="F33" i="17"/>
  <c r="F69" i="17"/>
  <c r="F89" i="17"/>
  <c r="E508" i="17"/>
  <c r="E303" i="17"/>
  <c r="E597" i="17"/>
  <c r="F185" i="17"/>
  <c r="F212" i="17"/>
  <c r="F563" i="17"/>
  <c r="F237" i="17"/>
  <c r="E222" i="17"/>
  <c r="E109" i="17"/>
  <c r="E163" i="17"/>
  <c r="F277" i="17"/>
  <c r="F608" i="17"/>
  <c r="F444" i="17"/>
  <c r="E76" i="17"/>
  <c r="E48" i="17"/>
  <c r="E36" i="17"/>
  <c r="F613" i="17"/>
  <c r="E468" i="17"/>
  <c r="F381" i="17"/>
  <c r="E578" i="17"/>
  <c r="F133" i="17"/>
  <c r="E237" i="17"/>
  <c r="E531" i="17"/>
  <c r="F225" i="17"/>
  <c r="E182" i="17"/>
  <c r="E97" i="17"/>
  <c r="E179" i="17"/>
  <c r="E383" i="17"/>
  <c r="F522" i="17"/>
  <c r="E527" i="17"/>
  <c r="F377" i="17"/>
  <c r="F628" i="17"/>
  <c r="F223" i="17"/>
  <c r="F58" i="17"/>
  <c r="C633" i="17"/>
  <c r="F612" i="17"/>
  <c r="E528" i="17"/>
  <c r="E452" i="17"/>
  <c r="F365" i="17"/>
  <c r="F539" i="17"/>
  <c r="F111" i="17"/>
  <c r="E205" i="17"/>
  <c r="E521" i="17"/>
  <c r="F215" i="17"/>
  <c r="E174" i="17"/>
  <c r="E77" i="17"/>
  <c r="E197" i="17"/>
  <c r="E405" i="17"/>
  <c r="E33" i="17"/>
  <c r="E132" i="17"/>
  <c r="F30" i="17"/>
  <c r="E593" i="17"/>
  <c r="E575" i="17"/>
  <c r="E513" i="17"/>
  <c r="E420" i="17"/>
  <c r="F333" i="17"/>
  <c r="F547" i="17"/>
  <c r="F391" i="17"/>
  <c r="E191" i="17"/>
  <c r="F490" i="17"/>
  <c r="F183" i="17"/>
  <c r="E166" i="17"/>
  <c r="E57" i="17"/>
  <c r="F200" i="17"/>
  <c r="E322" i="17"/>
  <c r="E121" i="17"/>
  <c r="F146" i="17"/>
  <c r="E584" i="17"/>
  <c r="F595" i="17"/>
  <c r="E433" i="17"/>
  <c r="E380" i="17"/>
  <c r="F396" i="17"/>
  <c r="F492" i="17"/>
  <c r="F337" i="17"/>
  <c r="E167" i="17"/>
  <c r="F436" i="17"/>
  <c r="F129" i="17"/>
  <c r="E158" i="17"/>
  <c r="E53" i="17"/>
  <c r="F280" i="17"/>
  <c r="E344" i="17"/>
  <c r="F540" i="17"/>
  <c r="F340" i="17"/>
  <c r="E464" i="17"/>
  <c r="E172" i="17"/>
  <c r="E454" i="17"/>
  <c r="E23" i="17"/>
  <c r="E115" i="17"/>
  <c r="E532" i="17"/>
  <c r="E530" i="17"/>
  <c r="F455" i="17"/>
  <c r="E340" i="17"/>
  <c r="F356" i="17"/>
  <c r="F440" i="17"/>
  <c r="F386" i="17"/>
  <c r="E28" i="17"/>
  <c r="E486" i="17"/>
  <c r="E281" i="17"/>
  <c r="E134" i="17"/>
  <c r="E49" i="17"/>
  <c r="E156" i="17"/>
  <c r="E408" i="17"/>
  <c r="F423" i="17"/>
  <c r="E45" i="17"/>
  <c r="F294" i="17"/>
  <c r="F258" i="17"/>
  <c r="F176" i="17"/>
  <c r="F92" i="17"/>
  <c r="E294" i="17"/>
  <c r="E453" i="17"/>
  <c r="E451" i="17"/>
  <c r="E610" i="17"/>
  <c r="E355" i="17"/>
  <c r="E268" i="17"/>
  <c r="E424" i="17"/>
  <c r="E270" i="17"/>
  <c r="E534" i="17"/>
  <c r="E422" i="17"/>
  <c r="F367" i="17"/>
  <c r="F250" i="17"/>
  <c r="E13" i="17"/>
  <c r="E204" i="17"/>
  <c r="E539" i="17"/>
  <c r="E571" i="17"/>
  <c r="E478" i="17"/>
  <c r="E255" i="17"/>
  <c r="F361" i="17"/>
  <c r="F515" i="17"/>
  <c r="F497" i="17"/>
  <c r="F546" i="17"/>
  <c r="E315" i="17"/>
  <c r="F109" i="17"/>
  <c r="E370" i="17"/>
  <c r="E224" i="17"/>
  <c r="F519" i="17"/>
  <c r="E368" i="17"/>
  <c r="F335" i="17"/>
  <c r="F242" i="17"/>
  <c r="F148" i="17"/>
  <c r="E254" i="17"/>
  <c r="F579" i="17"/>
  <c r="F418" i="17"/>
  <c r="E560" i="17"/>
  <c r="AM67" i="21"/>
  <c r="K106" i="23"/>
  <c r="AL106" i="23"/>
  <c r="AM106" i="23"/>
  <c r="AU106" i="23"/>
  <c r="M106" i="23"/>
  <c r="AU76" i="23"/>
  <c r="AM77" i="21"/>
  <c r="K69" i="23"/>
  <c r="AM69" i="23"/>
  <c r="AL69" i="23"/>
  <c r="AU23" i="23"/>
  <c r="K62" i="23"/>
  <c r="AL62" i="23"/>
  <c r="AM62" i="23"/>
  <c r="M62" i="23"/>
  <c r="M75" i="23"/>
  <c r="AU38" i="21"/>
  <c r="L38" i="21"/>
  <c r="AU81" i="23"/>
  <c r="K64" i="23"/>
  <c r="AL64" i="23"/>
  <c r="AM64" i="23"/>
  <c r="J69" i="1"/>
  <c r="C65" i="16" s="1"/>
  <c r="D65" i="16" s="1"/>
  <c r="K23" i="23"/>
  <c r="AM23" i="23"/>
  <c r="AL58" i="23"/>
  <c r="K58" i="23"/>
  <c r="AM58" i="23"/>
  <c r="AU58" i="23"/>
  <c r="M86" i="23"/>
  <c r="AL49" i="23"/>
  <c r="AM49" i="23"/>
  <c r="K49" i="23"/>
  <c r="M49" i="23"/>
  <c r="AL63" i="23"/>
  <c r="K63" i="23"/>
  <c r="AU63" i="23"/>
  <c r="AM63" i="23"/>
  <c r="M63" i="23"/>
  <c r="AU42" i="23"/>
  <c r="AU86" i="23"/>
  <c r="AU18" i="21"/>
  <c r="AL18" i="21"/>
  <c r="M18" i="21"/>
  <c r="AM18" i="21"/>
  <c r="AL108" i="23"/>
  <c r="AM108" i="23"/>
  <c r="AU108" i="23"/>
  <c r="K108" i="23"/>
  <c r="AM28" i="23"/>
  <c r="AL28" i="23"/>
  <c r="K28" i="23"/>
  <c r="M28" i="23"/>
  <c r="M108" i="23"/>
  <c r="E628" i="17"/>
  <c r="AU79" i="21"/>
  <c r="M87" i="21"/>
  <c r="L87" i="21"/>
  <c r="S15" i="23"/>
  <c r="U15" i="23" s="1"/>
  <c r="BA15" i="23" s="1"/>
  <c r="L79" i="21"/>
  <c r="M79" i="21"/>
  <c r="AL98" i="21"/>
  <c r="AL100" i="21"/>
  <c r="L100" i="21"/>
  <c r="M98" i="21"/>
  <c r="L98" i="21"/>
  <c r="Y64" i="23"/>
  <c r="Z64" i="23" s="1"/>
  <c r="AA64" i="23" s="1"/>
  <c r="AB64" i="23"/>
  <c r="AC64" i="23" s="1"/>
  <c r="AP54" i="21"/>
  <c r="AS54" i="21" s="1"/>
  <c r="AP103" i="21"/>
  <c r="AS103" i="21" s="1"/>
  <c r="AP52" i="21"/>
  <c r="AS52" i="21" s="1"/>
  <c r="AP96" i="21"/>
  <c r="AS96" i="21" s="1"/>
  <c r="AP34" i="21"/>
  <c r="AS34" i="21" s="1"/>
  <c r="AP48" i="21"/>
  <c r="AS48" i="21" s="1"/>
  <c r="AP67" i="21"/>
  <c r="AS67" i="21" s="1"/>
  <c r="AP53" i="21"/>
  <c r="AS53" i="21" s="1"/>
  <c r="AP14" i="21"/>
  <c r="AS14" i="21" s="1"/>
  <c r="AP72" i="21"/>
  <c r="AS72" i="21" s="1"/>
  <c r="AP25" i="21"/>
  <c r="AS25" i="21" s="1"/>
  <c r="AP26" i="21"/>
  <c r="AS26" i="21" s="1"/>
  <c r="AP57" i="21"/>
  <c r="AS57" i="21" s="1"/>
  <c r="AP82" i="21"/>
  <c r="AS82" i="21" s="1"/>
  <c r="AP104" i="21"/>
  <c r="AS104" i="21" s="1"/>
  <c r="AP11" i="21"/>
  <c r="AS11" i="21" s="1"/>
  <c r="AP45" i="21"/>
  <c r="AS45" i="21" s="1"/>
  <c r="AP102" i="21"/>
  <c r="AS102" i="21" s="1"/>
  <c r="AP13" i="21"/>
  <c r="AS13" i="21" s="1"/>
  <c r="AP69" i="21"/>
  <c r="AS69" i="21" s="1"/>
  <c r="AP99" i="21"/>
  <c r="AS99" i="21" s="1"/>
  <c r="AP41" i="21"/>
  <c r="AS41" i="21" s="1"/>
  <c r="AP105" i="21"/>
  <c r="AS105" i="21" s="1"/>
  <c r="AP58" i="21"/>
  <c r="AS58" i="21" s="1"/>
  <c r="AP30" i="21"/>
  <c r="AS30" i="21" s="1"/>
  <c r="AP55" i="21"/>
  <c r="AS55" i="21" s="1"/>
  <c r="AP79" i="21"/>
  <c r="AS79" i="21" s="1"/>
  <c r="AP18" i="21"/>
  <c r="AS18" i="21" s="1"/>
  <c r="AP83" i="21"/>
  <c r="AS83" i="21" s="1"/>
  <c r="AP70" i="21"/>
  <c r="AS70" i="21" s="1"/>
  <c r="AP61" i="21"/>
  <c r="AS61" i="21" s="1"/>
  <c r="AP31" i="21"/>
  <c r="AS31" i="21" s="1"/>
  <c r="AP23" i="21"/>
  <c r="AS23" i="21" s="1"/>
  <c r="AP94" i="21"/>
  <c r="AS94" i="21" s="1"/>
  <c r="AP84" i="21"/>
  <c r="AS84" i="21" s="1"/>
  <c r="AP80" i="21"/>
  <c r="AS80" i="21" s="1"/>
  <c r="AP40" i="21"/>
  <c r="AS40" i="21" s="1"/>
  <c r="AP22" i="21"/>
  <c r="AS22" i="21" s="1"/>
  <c r="AP108" i="21"/>
  <c r="AS108" i="21" s="1"/>
  <c r="AP89" i="21"/>
  <c r="AS89" i="21" s="1"/>
  <c r="AP15" i="21"/>
  <c r="AS15" i="21" s="1"/>
  <c r="AP38" i="21"/>
  <c r="AS38" i="21" s="1"/>
  <c r="AP29" i="21"/>
  <c r="AS29" i="21" s="1"/>
  <c r="AP63" i="21"/>
  <c r="AS63" i="21" s="1"/>
  <c r="AP50" i="21"/>
  <c r="AS50" i="21" s="1"/>
  <c r="AP78" i="21"/>
  <c r="AS78" i="21" s="1"/>
  <c r="AP12" i="21"/>
  <c r="AS12" i="21" s="1"/>
  <c r="AP106" i="21"/>
  <c r="AS106" i="21" s="1"/>
  <c r="AP10" i="21"/>
  <c r="AS10" i="21" s="1"/>
  <c r="AP36" i="21"/>
  <c r="AS36" i="21" s="1"/>
  <c r="AP46" i="21"/>
  <c r="AS46" i="21" s="1"/>
  <c r="AP19" i="21"/>
  <c r="AS19" i="21" s="1"/>
  <c r="AP20" i="21"/>
  <c r="AS20" i="21" s="1"/>
  <c r="AP49" i="21"/>
  <c r="AS49" i="21" s="1"/>
  <c r="AP93" i="21"/>
  <c r="AS93" i="21" s="1"/>
  <c r="AP100" i="21"/>
  <c r="AS100" i="21" s="1"/>
  <c r="AP56" i="21"/>
  <c r="AS56" i="21" s="1"/>
  <c r="AP101" i="21"/>
  <c r="AS101" i="21" s="1"/>
  <c r="AP16" i="21"/>
  <c r="AS16" i="21" s="1"/>
  <c r="AP88" i="21"/>
  <c r="AS88" i="21" s="1"/>
  <c r="AP64" i="21"/>
  <c r="AS64" i="21" s="1"/>
  <c r="AP87" i="21"/>
  <c r="AS87" i="21" s="1"/>
  <c r="AP62" i="21"/>
  <c r="AS62" i="21" s="1"/>
  <c r="AP28" i="21"/>
  <c r="AS28" i="21" s="1"/>
  <c r="AP9" i="21"/>
  <c r="AS9" i="21" s="1"/>
  <c r="B76" i="21" s="1"/>
  <c r="B77" i="21" s="1"/>
  <c r="AP97" i="21"/>
  <c r="AS97" i="21" s="1"/>
  <c r="AP27" i="21"/>
  <c r="AS27" i="21" s="1"/>
  <c r="AP32" i="21"/>
  <c r="AS32" i="21" s="1"/>
  <c r="AP98" i="21"/>
  <c r="AS98" i="21" s="1"/>
  <c r="AP44" i="21"/>
  <c r="AS44" i="21" s="1"/>
  <c r="AP74" i="21"/>
  <c r="AS74" i="21" s="1"/>
  <c r="AP77" i="21"/>
  <c r="AS77" i="21" s="1"/>
  <c r="AP43" i="21"/>
  <c r="AS43" i="21" s="1"/>
  <c r="AP66" i="21"/>
  <c r="AS66" i="21" s="1"/>
  <c r="AP24" i="21"/>
  <c r="AS24" i="21" s="1"/>
  <c r="AP37" i="21"/>
  <c r="AS37" i="21" s="1"/>
  <c r="AP91" i="21"/>
  <c r="AS91" i="21" s="1"/>
  <c r="AP92" i="21"/>
  <c r="AS92" i="21" s="1"/>
  <c r="AP73" i="21"/>
  <c r="AS73" i="21" s="1"/>
  <c r="AP60" i="21"/>
  <c r="AS60" i="21" s="1"/>
  <c r="AP71" i="21"/>
  <c r="AS71" i="21" s="1"/>
  <c r="AP42" i="21"/>
  <c r="AS42" i="21" s="1"/>
  <c r="AP65" i="21"/>
  <c r="AS65" i="21" s="1"/>
  <c r="AP86" i="21"/>
  <c r="AS86" i="21" s="1"/>
  <c r="AP39" i="21"/>
  <c r="AS39" i="21" s="1"/>
  <c r="AP85" i="21"/>
  <c r="AS85" i="21" s="1"/>
  <c r="AP68" i="21"/>
  <c r="AS68" i="21" s="1"/>
  <c r="AP90" i="21"/>
  <c r="AS90" i="21" s="1"/>
  <c r="AP33" i="21"/>
  <c r="AS33" i="21" s="1"/>
  <c r="AP59" i="21"/>
  <c r="AS59" i="21" s="1"/>
  <c r="AP109" i="21"/>
  <c r="AS109" i="21" s="1"/>
  <c r="AP21" i="21"/>
  <c r="AS21" i="21" s="1"/>
  <c r="AP51" i="21"/>
  <c r="AS51" i="21" s="1"/>
  <c r="AP76" i="21"/>
  <c r="AS76" i="21" s="1"/>
  <c r="AP17" i="21"/>
  <c r="AS17" i="21" s="1"/>
  <c r="AP35" i="21"/>
  <c r="AS35" i="21" s="1"/>
  <c r="AP75" i="21"/>
  <c r="AS75" i="21" s="1"/>
  <c r="AP107" i="21"/>
  <c r="AS107" i="21" s="1"/>
  <c r="AP47" i="21"/>
  <c r="AS47" i="21" s="1"/>
  <c r="AP81" i="21"/>
  <c r="AS81" i="21" s="1"/>
  <c r="AP95" i="21"/>
  <c r="AS95" i="21" s="1"/>
  <c r="O64" i="23"/>
  <c r="R64" i="23"/>
  <c r="P64" i="23"/>
  <c r="Q64" i="23" s="1"/>
  <c r="AE64" i="23" s="1"/>
  <c r="V64" i="23"/>
  <c r="W64" i="23" s="1"/>
  <c r="X64" i="23" s="1"/>
  <c r="AF64" i="23"/>
  <c r="AJ64" i="23"/>
  <c r="AK64" i="23" s="1"/>
  <c r="P32" i="23"/>
  <c r="Q32" i="23" s="1"/>
  <c r="AE32" i="23" s="1"/>
  <c r="O32" i="23"/>
  <c r="V32" i="23"/>
  <c r="W32" i="23" s="1"/>
  <c r="X32" i="23" s="1"/>
  <c r="AF32" i="23"/>
  <c r="R32" i="23"/>
  <c r="AJ32" i="23"/>
  <c r="Y32" i="23"/>
  <c r="Z32" i="23" s="1"/>
  <c r="AA32" i="23" s="1"/>
  <c r="AH32" i="23"/>
  <c r="AI32" i="23" s="1"/>
  <c r="AB32" i="23"/>
  <c r="AC32" i="23" s="1"/>
  <c r="C636" i="25"/>
  <c r="A626" i="25"/>
  <c r="N5" i="25"/>
  <c r="E13" i="1"/>
  <c r="C61" i="16" s="1"/>
  <c r="D61" i="16" s="1"/>
  <c r="B403" i="2"/>
  <c r="B202" i="2"/>
  <c r="D202" i="2"/>
  <c r="D82" i="2"/>
  <c r="D91" i="2" s="1"/>
  <c r="D100" i="2"/>
  <c r="D114" i="2"/>
  <c r="D134" i="2"/>
  <c r="D63" i="2"/>
  <c r="D70" i="2"/>
  <c r="D133" i="2"/>
  <c r="D62" i="2"/>
  <c r="D64" i="2" s="1"/>
  <c r="D69" i="2"/>
  <c r="J30" i="1" s="1"/>
  <c r="B79" i="23"/>
  <c r="B80" i="23" s="1"/>
  <c r="B70" i="23"/>
  <c r="D81" i="2"/>
  <c r="D90" i="2" s="1"/>
  <c r="D93" i="2" s="1"/>
  <c r="J18" i="1" s="1"/>
  <c r="D113" i="2"/>
  <c r="D128" i="2"/>
  <c r="J39" i="1" s="1"/>
  <c r="D99" i="2"/>
  <c r="D124" i="2"/>
  <c r="D126" i="2" s="1"/>
  <c r="J37" i="1" s="1"/>
  <c r="D66" i="2"/>
  <c r="D121" i="2"/>
  <c r="D122" i="2" s="1"/>
  <c r="J35" i="1" s="1"/>
  <c r="Y29" i="23"/>
  <c r="Z29" i="23" s="1"/>
  <c r="AA29" i="23" s="1"/>
  <c r="O29" i="23"/>
  <c r="P29" i="23"/>
  <c r="Q29" i="23" s="1"/>
  <c r="AE29" i="23" s="1"/>
  <c r="V29" i="23"/>
  <c r="W29" i="23" s="1"/>
  <c r="X29" i="23" s="1"/>
  <c r="R29" i="23"/>
  <c r="AF29" i="23"/>
  <c r="AJ29" i="23"/>
  <c r="AH29" i="23"/>
  <c r="AI29" i="23" s="1"/>
  <c r="AU93" i="21"/>
  <c r="AL93" i="21"/>
  <c r="M93" i="21"/>
  <c r="N93" i="21" s="1"/>
  <c r="L93" i="21"/>
  <c r="AM93" i="21"/>
  <c r="AL48" i="21"/>
  <c r="AM48" i="21"/>
  <c r="AU48" i="21"/>
  <c r="L48" i="21"/>
  <c r="M48" i="21"/>
  <c r="AL60" i="21"/>
  <c r="AU60" i="21"/>
  <c r="M60" i="21"/>
  <c r="N60" i="21" s="1"/>
  <c r="V60" i="21" s="1"/>
  <c r="W60" i="21" s="1"/>
  <c r="X60" i="21" s="1"/>
  <c r="AM60" i="21"/>
  <c r="L60" i="21"/>
  <c r="AL53" i="21"/>
  <c r="M53" i="21"/>
  <c r="AM53" i="21"/>
  <c r="AU53" i="21"/>
  <c r="L53" i="21"/>
  <c r="AU68" i="21"/>
  <c r="AM68" i="21"/>
  <c r="M68" i="21"/>
  <c r="N68" i="21" s="1"/>
  <c r="V68" i="21" s="1"/>
  <c r="W68" i="21" s="1"/>
  <c r="X68" i="21" s="1"/>
  <c r="L68" i="21"/>
  <c r="AL68" i="21"/>
  <c r="AM54" i="21"/>
  <c r="AU54" i="21"/>
  <c r="M54" i="21"/>
  <c r="N54" i="21" s="1"/>
  <c r="V54" i="21" s="1"/>
  <c r="W54" i="21" s="1"/>
  <c r="X54" i="21" s="1"/>
  <c r="AL54" i="21"/>
  <c r="L54" i="21"/>
  <c r="AM22" i="21"/>
  <c r="AL22" i="21"/>
  <c r="L22" i="21"/>
  <c r="AU22" i="21"/>
  <c r="M22" i="21"/>
  <c r="AM85" i="21"/>
  <c r="AL85" i="21"/>
  <c r="M85" i="21"/>
  <c r="L85" i="21"/>
  <c r="AU85" i="21"/>
  <c r="M28" i="21"/>
  <c r="N28" i="21" s="1"/>
  <c r="V28" i="21" s="1"/>
  <c r="W28" i="21" s="1"/>
  <c r="X28" i="21" s="1"/>
  <c r="AU28" i="21"/>
  <c r="AM28" i="21"/>
  <c r="AL28" i="21"/>
  <c r="L28" i="21"/>
  <c r="AM92" i="21"/>
  <c r="AL92" i="21"/>
  <c r="AU92" i="21"/>
  <c r="L92" i="21"/>
  <c r="M92" i="21"/>
  <c r="AU71" i="21"/>
  <c r="AM71" i="21"/>
  <c r="AL71" i="21"/>
  <c r="L71" i="21"/>
  <c r="M71" i="21"/>
  <c r="N71" i="21" s="1"/>
  <c r="AL81" i="21"/>
  <c r="AM81" i="21"/>
  <c r="M81" i="21"/>
  <c r="AU81" i="21"/>
  <c r="L81" i="21"/>
  <c r="L84" i="21"/>
  <c r="AM84" i="21"/>
  <c r="M84" i="21"/>
  <c r="N84" i="21" s="1"/>
  <c r="AL84" i="21"/>
  <c r="AU84" i="21"/>
  <c r="L47" i="21"/>
  <c r="AM47" i="21"/>
  <c r="M47" i="21"/>
  <c r="N47" i="21" s="1"/>
  <c r="AL47" i="21"/>
  <c r="AU47" i="21"/>
  <c r="AL56" i="21"/>
  <c r="AM56" i="21"/>
  <c r="AU56" i="21"/>
  <c r="L56" i="21"/>
  <c r="M56" i="21"/>
  <c r="N56" i="21" s="1"/>
  <c r="AL59" i="21"/>
  <c r="AM59" i="21"/>
  <c r="M59" i="21"/>
  <c r="AU59" i="21"/>
  <c r="L59" i="21"/>
  <c r="AL39" i="21"/>
  <c r="AM39" i="21"/>
  <c r="M39" i="21"/>
  <c r="N39" i="21" s="1"/>
  <c r="L39" i="21"/>
  <c r="AU39" i="21"/>
  <c r="AL33" i="21"/>
  <c r="M33" i="21"/>
  <c r="N33" i="21" s="1"/>
  <c r="AM33" i="21"/>
  <c r="AU33" i="21"/>
  <c r="L33" i="21"/>
  <c r="AM17" i="21"/>
  <c r="M17" i="21"/>
  <c r="N17" i="21" s="1"/>
  <c r="AL17" i="21"/>
  <c r="AU17" i="21"/>
  <c r="L17" i="21"/>
  <c r="L15" i="21"/>
  <c r="M15" i="21"/>
  <c r="AL15" i="21"/>
  <c r="AM15" i="21"/>
  <c r="AU15" i="21"/>
  <c r="AM41" i="21"/>
  <c r="AU41" i="21"/>
  <c r="AL41" i="21"/>
  <c r="M41" i="21"/>
  <c r="N41" i="21" s="1"/>
  <c r="L41" i="21"/>
  <c r="AU25" i="21"/>
  <c r="L25" i="21"/>
  <c r="AM25" i="21"/>
  <c r="M25" i="21"/>
  <c r="AL25" i="21"/>
  <c r="AM31" i="21"/>
  <c r="AU31" i="21"/>
  <c r="AL31" i="21"/>
  <c r="M31" i="21"/>
  <c r="N31" i="21" s="1"/>
  <c r="V31" i="21" s="1"/>
  <c r="W31" i="21" s="1"/>
  <c r="X31" i="21" s="1"/>
  <c r="L31" i="21"/>
  <c r="AL32" i="21"/>
  <c r="AM32" i="21"/>
  <c r="AU32" i="21"/>
  <c r="L32" i="21"/>
  <c r="M32" i="21"/>
  <c r="N32" i="21" s="1"/>
  <c r="V32" i="21" s="1"/>
  <c r="W32" i="21" s="1"/>
  <c r="X32" i="21" s="1"/>
  <c r="AU90" i="21"/>
  <c r="AL90" i="21"/>
  <c r="L90" i="21"/>
  <c r="AM90" i="21"/>
  <c r="M90" i="21"/>
  <c r="AM96" i="21"/>
  <c r="M96" i="21"/>
  <c r="N96" i="21" s="1"/>
  <c r="L96" i="21"/>
  <c r="AL96" i="21"/>
  <c r="AU96" i="21"/>
  <c r="AB100" i="21"/>
  <c r="AC100" i="21" s="1"/>
  <c r="AH100" i="21"/>
  <c r="AI100" i="21" s="1"/>
  <c r="Y100" i="21"/>
  <c r="Z100" i="21" s="1"/>
  <c r="AA100" i="21" s="1"/>
  <c r="AL24" i="21"/>
  <c r="AM24" i="21"/>
  <c r="AU24" i="21"/>
  <c r="L24" i="21"/>
  <c r="M24" i="21"/>
  <c r="AU49" i="21"/>
  <c r="AL49" i="21"/>
  <c r="M49" i="21"/>
  <c r="AM49" i="21"/>
  <c r="L49" i="21"/>
  <c r="AL105" i="21"/>
  <c r="AM105" i="21"/>
  <c r="AU105" i="21"/>
  <c r="M105" i="21"/>
  <c r="N105" i="21" s="1"/>
  <c r="L105" i="21"/>
  <c r="AM45" i="21"/>
  <c r="AL45" i="21"/>
  <c r="AU45" i="21"/>
  <c r="L45" i="21"/>
  <c r="M45" i="21"/>
  <c r="N45" i="21" s="1"/>
  <c r="AL72" i="21"/>
  <c r="AU72" i="21"/>
  <c r="L72" i="21"/>
  <c r="M72" i="21"/>
  <c r="N72" i="21" s="1"/>
  <c r="V72" i="21" s="1"/>
  <c r="W72" i="21" s="1"/>
  <c r="X72" i="21" s="1"/>
  <c r="AM72" i="21"/>
  <c r="AM65" i="21"/>
  <c r="AL65" i="21"/>
  <c r="M65" i="21"/>
  <c r="N65" i="21" s="1"/>
  <c r="V65" i="21" s="1"/>
  <c r="W65" i="21" s="1"/>
  <c r="X65" i="21" s="1"/>
  <c r="AU65" i="21"/>
  <c r="L65" i="21"/>
  <c r="AL27" i="21"/>
  <c r="AU27" i="21"/>
  <c r="M27" i="21"/>
  <c r="N27" i="21" s="1"/>
  <c r="AM27" i="21"/>
  <c r="L27" i="21"/>
  <c r="AM64" i="21"/>
  <c r="M64" i="21"/>
  <c r="N64" i="21" s="1"/>
  <c r="AU64" i="21"/>
  <c r="L64" i="21"/>
  <c r="AL64" i="21"/>
  <c r="AL78" i="21"/>
  <c r="M78" i="21"/>
  <c r="N78" i="21" s="1"/>
  <c r="AM78" i="21"/>
  <c r="AU78" i="21"/>
  <c r="L78" i="21"/>
  <c r="L88" i="21"/>
  <c r="M88" i="21"/>
  <c r="N88" i="21" s="1"/>
  <c r="AM88" i="21"/>
  <c r="AU88" i="21"/>
  <c r="AL88" i="21"/>
  <c r="M95" i="21"/>
  <c r="N95" i="21" s="1"/>
  <c r="V95" i="21" s="1"/>
  <c r="W95" i="21" s="1"/>
  <c r="X95" i="21" s="1"/>
  <c r="AU95" i="21"/>
  <c r="AL95" i="21"/>
  <c r="L95" i="21"/>
  <c r="AM95" i="21"/>
  <c r="AL57" i="21"/>
  <c r="L57" i="21"/>
  <c r="M57" i="21"/>
  <c r="N57" i="21" s="1"/>
  <c r="AM57" i="21"/>
  <c r="AU57" i="21"/>
  <c r="M44" i="21"/>
  <c r="AU44" i="21"/>
  <c r="AL44" i="21"/>
  <c r="AM44" i="21"/>
  <c r="L44" i="21"/>
  <c r="B25" i="2"/>
  <c r="B23" i="2"/>
  <c r="B24" i="2"/>
  <c r="M89" i="21"/>
  <c r="AU89" i="21"/>
  <c r="L89" i="21"/>
  <c r="AM89" i="21"/>
  <c r="AL89" i="21"/>
  <c r="AM62" i="21"/>
  <c r="AU62" i="21"/>
  <c r="AL62" i="21"/>
  <c r="M62" i="21"/>
  <c r="L62" i="21"/>
  <c r="AM21" i="21"/>
  <c r="AU21" i="21"/>
  <c r="AL21" i="21"/>
  <c r="M21" i="21"/>
  <c r="N21" i="21" s="1"/>
  <c r="L21" i="21"/>
  <c r="B58" i="2"/>
  <c r="B133" i="2" s="1"/>
  <c r="AL30" i="21"/>
  <c r="AU30" i="21"/>
  <c r="M30" i="21"/>
  <c r="N30" i="21" s="1"/>
  <c r="V30" i="21" s="1"/>
  <c r="W30" i="21" s="1"/>
  <c r="X30" i="21" s="1"/>
  <c r="AM30" i="21"/>
  <c r="L30" i="21"/>
  <c r="M29" i="21"/>
  <c r="N29" i="21" s="1"/>
  <c r="V29" i="21" s="1"/>
  <c r="W29" i="21" s="1"/>
  <c r="X29" i="21" s="1"/>
  <c r="AM29" i="21"/>
  <c r="AU29" i="21"/>
  <c r="AL29" i="21"/>
  <c r="L29" i="21"/>
  <c r="AM20" i="21"/>
  <c r="AL20" i="21"/>
  <c r="M20" i="21"/>
  <c r="N20" i="21" s="1"/>
  <c r="V20" i="21" s="1"/>
  <c r="W20" i="21" s="1"/>
  <c r="X20" i="21" s="1"/>
  <c r="AU20" i="21"/>
  <c r="L20" i="21"/>
  <c r="M69" i="21"/>
  <c r="AU69" i="21"/>
  <c r="AL69" i="21"/>
  <c r="AM69" i="21"/>
  <c r="L69" i="21"/>
  <c r="M34" i="21"/>
  <c r="N34" i="21" s="1"/>
  <c r="AL34" i="21"/>
  <c r="AU34" i="21"/>
  <c r="AM34" i="21"/>
  <c r="L34" i="21"/>
  <c r="AM104" i="21"/>
  <c r="AU104" i="21"/>
  <c r="M104" i="21"/>
  <c r="N104" i="21" s="1"/>
  <c r="V104" i="21" s="1"/>
  <c r="W104" i="21" s="1"/>
  <c r="X104" i="21" s="1"/>
  <c r="AL104" i="21"/>
  <c r="L104" i="21"/>
  <c r="AL43" i="21"/>
  <c r="M43" i="21"/>
  <c r="AM43" i="21"/>
  <c r="AU43" i="21"/>
  <c r="L43" i="21"/>
  <c r="AU80" i="21"/>
  <c r="L80" i="21"/>
  <c r="M80" i="21"/>
  <c r="N80" i="21" s="1"/>
  <c r="AM80" i="21"/>
  <c r="AL80" i="21"/>
  <c r="M101" i="21"/>
  <c r="N101" i="21" s="1"/>
  <c r="V101" i="21" s="1"/>
  <c r="W101" i="21" s="1"/>
  <c r="X101" i="21" s="1"/>
  <c r="AL101" i="21"/>
  <c r="AU101" i="21"/>
  <c r="L101" i="21"/>
  <c r="AM101" i="21"/>
  <c r="M103" i="21"/>
  <c r="AL103" i="21"/>
  <c r="AM103" i="21"/>
  <c r="AU103" i="21"/>
  <c r="L103" i="21"/>
  <c r="L74" i="21"/>
  <c r="AL74" i="21"/>
  <c r="M74" i="21"/>
  <c r="AM74" i="21"/>
  <c r="AU74" i="21"/>
  <c r="AL9" i="21"/>
  <c r="AU9" i="21"/>
  <c r="M9" i="21"/>
  <c r="AM9" i="21"/>
  <c r="L9" i="21"/>
  <c r="AU46" i="21"/>
  <c r="L46" i="21"/>
  <c r="AL46" i="21"/>
  <c r="M46" i="21"/>
  <c r="N46" i="21" s="1"/>
  <c r="AM46" i="21"/>
  <c r="AL11" i="21"/>
  <c r="AM11" i="21"/>
  <c r="L11" i="21"/>
  <c r="M11" i="21"/>
  <c r="N11" i="21" s="1"/>
  <c r="V11" i="21" s="1"/>
  <c r="W11" i="21" s="1"/>
  <c r="X11" i="21" s="1"/>
  <c r="AU11" i="21"/>
  <c r="AU35" i="21"/>
  <c r="AM35" i="21"/>
  <c r="AL35" i="21"/>
  <c r="M35" i="21"/>
  <c r="N35" i="21" s="1"/>
  <c r="L35" i="21"/>
  <c r="AU37" i="21"/>
  <c r="AM37" i="21"/>
  <c r="AL37" i="21"/>
  <c r="M37" i="21"/>
  <c r="L37" i="21"/>
  <c r="AM55" i="21"/>
  <c r="AL55" i="21"/>
  <c r="AU55" i="21"/>
  <c r="L55" i="21"/>
  <c r="M55" i="21"/>
  <c r="AL102" i="21"/>
  <c r="AM102" i="21"/>
  <c r="AU102" i="21"/>
  <c r="M102" i="21"/>
  <c r="N102" i="21" s="1"/>
  <c r="L102" i="21"/>
  <c r="AU94" i="21"/>
  <c r="L94" i="21"/>
  <c r="M94" i="21"/>
  <c r="N94" i="21" s="1"/>
  <c r="AM94" i="21"/>
  <c r="AL94" i="21"/>
  <c r="L14" i="21"/>
  <c r="AL14" i="21"/>
  <c r="AM14" i="21"/>
  <c r="M14" i="21"/>
  <c r="N14" i="21" s="1"/>
  <c r="V14" i="21" s="1"/>
  <c r="W14" i="21" s="1"/>
  <c r="X14" i="21" s="1"/>
  <c r="AU14" i="21"/>
  <c r="AL107" i="21"/>
  <c r="AU107" i="21"/>
  <c r="L107" i="21"/>
  <c r="AM107" i="21"/>
  <c r="M107" i="21"/>
  <c r="AL36" i="21"/>
  <c r="AU36" i="21"/>
  <c r="L36" i="21"/>
  <c r="AM36" i="21"/>
  <c r="M36" i="21"/>
  <c r="N36" i="21" s="1"/>
  <c r="V36" i="21" s="1"/>
  <c r="W36" i="21" s="1"/>
  <c r="X36" i="21" s="1"/>
  <c r="AL12" i="21"/>
  <c r="AU12" i="21"/>
  <c r="L12" i="21"/>
  <c r="M12" i="21"/>
  <c r="N12" i="21" s="1"/>
  <c r="AM12" i="21"/>
  <c r="AL13" i="21"/>
  <c r="AM13" i="21"/>
  <c r="M13" i="21"/>
  <c r="AU13" i="21"/>
  <c r="L13" i="21"/>
  <c r="AU58" i="21"/>
  <c r="M58" i="21"/>
  <c r="N58" i="21" s="1"/>
  <c r="V58" i="21" s="1"/>
  <c r="W58" i="21" s="1"/>
  <c r="X58" i="21" s="1"/>
  <c r="AM58" i="21"/>
  <c r="AL58" i="21"/>
  <c r="L58" i="21"/>
  <c r="AL61" i="21"/>
  <c r="AU61" i="21"/>
  <c r="L61" i="21"/>
  <c r="M61" i="21"/>
  <c r="N61" i="21" s="1"/>
  <c r="AM61" i="21"/>
  <c r="AM91" i="21"/>
  <c r="AU91" i="21"/>
  <c r="AL91" i="21"/>
  <c r="M91" i="21"/>
  <c r="N91" i="21" s="1"/>
  <c r="V91" i="21" s="1"/>
  <c r="W91" i="21" s="1"/>
  <c r="X91" i="21" s="1"/>
  <c r="L91" i="21"/>
  <c r="AL73" i="21"/>
  <c r="AU73" i="21"/>
  <c r="AM73" i="21"/>
  <c r="M73" i="21"/>
  <c r="L73" i="21"/>
  <c r="M82" i="21"/>
  <c r="N82" i="21" s="1"/>
  <c r="AU82" i="21"/>
  <c r="AM82" i="21"/>
  <c r="AL82" i="21"/>
  <c r="L82" i="21"/>
  <c r="M23" i="21"/>
  <c r="N23" i="21" s="1"/>
  <c r="AU23" i="21"/>
  <c r="AL23" i="21"/>
  <c r="L23" i="21"/>
  <c r="AM23" i="21"/>
  <c r="M109" i="21"/>
  <c r="AU109" i="21"/>
  <c r="L109" i="21"/>
  <c r="AM109" i="21"/>
  <c r="AL109" i="21"/>
  <c r="B74" i="21"/>
  <c r="B339" i="2"/>
  <c r="B73" i="21"/>
  <c r="B340" i="2"/>
  <c r="B46" i="21"/>
  <c r="AL26" i="21"/>
  <c r="AU26" i="21"/>
  <c r="AM26" i="21"/>
  <c r="L26" i="21"/>
  <c r="M26" i="21"/>
  <c r="N26" i="21" s="1"/>
  <c r="V26" i="21" s="1"/>
  <c r="W26" i="21" s="1"/>
  <c r="X26" i="21" s="1"/>
  <c r="AL108" i="21"/>
  <c r="AU108" i="21"/>
  <c r="AM108" i="21"/>
  <c r="M108" i="21"/>
  <c r="N108" i="21" s="1"/>
  <c r="L108" i="21"/>
  <c r="AU99" i="21"/>
  <c r="AL99" i="21"/>
  <c r="AM99" i="21"/>
  <c r="M99" i="21"/>
  <c r="N99" i="21" s="1"/>
  <c r="V99" i="21" s="1"/>
  <c r="W99" i="21" s="1"/>
  <c r="X99" i="21" s="1"/>
  <c r="L99" i="21"/>
  <c r="AU19" i="21"/>
  <c r="L19" i="21"/>
  <c r="AL19" i="21"/>
  <c r="M19" i="21"/>
  <c r="N19" i="21" s="1"/>
  <c r="AM19" i="21"/>
  <c r="M86" i="21"/>
  <c r="N86" i="21" s="1"/>
  <c r="V86" i="21" s="1"/>
  <c r="W86" i="21" s="1"/>
  <c r="X86" i="21" s="1"/>
  <c r="AU86" i="21"/>
  <c r="L86" i="21"/>
  <c r="AM86" i="21"/>
  <c r="AL86" i="21"/>
  <c r="L52" i="21"/>
  <c r="M52" i="21"/>
  <c r="AM52" i="21"/>
  <c r="AU52" i="21"/>
  <c r="AL52" i="21"/>
  <c r="M97" i="21"/>
  <c r="N97" i="21" s="1"/>
  <c r="L97" i="21"/>
  <c r="AL97" i="21"/>
  <c r="AM97" i="21"/>
  <c r="AU97" i="21"/>
  <c r="AJ100" i="21"/>
  <c r="R100" i="21"/>
  <c r="AF100" i="21"/>
  <c r="V100" i="21"/>
  <c r="W100" i="21" s="1"/>
  <c r="X100" i="21" s="1"/>
  <c r="O100" i="21"/>
  <c r="AM83" i="21"/>
  <c r="AL83" i="21"/>
  <c r="AU83" i="21"/>
  <c r="L83" i="21"/>
  <c r="M83" i="21"/>
  <c r="AL63" i="21"/>
  <c r="AM63" i="21"/>
  <c r="AU63" i="21"/>
  <c r="L63" i="21"/>
  <c r="M63" i="21"/>
  <c r="L10" i="21"/>
  <c r="AM10" i="21"/>
  <c r="M10" i="21"/>
  <c r="N10" i="21" s="1"/>
  <c r="V10" i="21" s="1"/>
  <c r="W10" i="21" s="1"/>
  <c r="X10" i="21" s="1"/>
  <c r="AL10" i="21"/>
  <c r="AU10" i="21"/>
  <c r="L106" i="21"/>
  <c r="M106" i="21"/>
  <c r="AU106" i="21"/>
  <c r="AM106" i="21"/>
  <c r="AL106" i="21"/>
  <c r="AL70" i="21"/>
  <c r="AM70" i="21"/>
  <c r="M70" i="21"/>
  <c r="N70" i="21" s="1"/>
  <c r="AU70" i="21"/>
  <c r="L70" i="21"/>
  <c r="AU40" i="21"/>
  <c r="AL40" i="21"/>
  <c r="AM40" i="21"/>
  <c r="L40" i="21"/>
  <c r="M40" i="21"/>
  <c r="D245" i="2" l="1"/>
  <c r="B77" i="1"/>
  <c r="D244" i="2"/>
  <c r="N7" i="8"/>
  <c r="O7" i="8" s="1"/>
  <c r="AJ105" i="23"/>
  <c r="AK105" i="23" s="1"/>
  <c r="BD105" i="23" s="1"/>
  <c r="AX105" i="23" s="1"/>
  <c r="O105" i="23"/>
  <c r="N109" i="23"/>
  <c r="N50" i="21"/>
  <c r="Y90" i="23"/>
  <c r="Z90" i="23" s="1"/>
  <c r="AA90" i="23" s="1"/>
  <c r="AB12" i="23"/>
  <c r="AC12" i="23" s="1"/>
  <c r="AB60" i="23"/>
  <c r="AC60" i="23" s="1"/>
  <c r="R12" i="23"/>
  <c r="S12" i="23" s="1"/>
  <c r="U12" i="23" s="1"/>
  <c r="BA12" i="23" s="1"/>
  <c r="V20" i="23"/>
  <c r="W20" i="23" s="1"/>
  <c r="X20" i="23" s="1"/>
  <c r="AB20" i="23"/>
  <c r="AC20" i="23" s="1"/>
  <c r="AJ20" i="23"/>
  <c r="R20" i="23"/>
  <c r="AH90" i="23"/>
  <c r="AI90" i="23" s="1"/>
  <c r="P90" i="23"/>
  <c r="Q90" i="23" s="1"/>
  <c r="AE90" i="23" s="1"/>
  <c r="R90" i="23"/>
  <c r="S90" i="23" s="1"/>
  <c r="U90" i="23" s="1"/>
  <c r="BA90" i="23" s="1"/>
  <c r="AB90" i="23"/>
  <c r="AC90" i="23" s="1"/>
  <c r="O90" i="23"/>
  <c r="AF11" i="23"/>
  <c r="R60" i="23"/>
  <c r="S60" i="23" s="1"/>
  <c r="U60" i="23" s="1"/>
  <c r="BA60" i="23" s="1"/>
  <c r="V90" i="23"/>
  <c r="W90" i="23" s="1"/>
  <c r="X90" i="23" s="1"/>
  <c r="AJ12" i="23"/>
  <c r="V12" i="23"/>
  <c r="W12" i="23" s="1"/>
  <c r="X12" i="23" s="1"/>
  <c r="P12" i="23"/>
  <c r="Q12" i="23" s="1"/>
  <c r="AE12" i="23" s="1"/>
  <c r="AJ90" i="23"/>
  <c r="AH12" i="23"/>
  <c r="AI12" i="23" s="1"/>
  <c r="O12" i="23"/>
  <c r="K135" i="2"/>
  <c r="AP60" i="23"/>
  <c r="AS60" i="23" s="1"/>
  <c r="AP23" i="23"/>
  <c r="AS23" i="23" s="1"/>
  <c r="Y60" i="23"/>
  <c r="Z60" i="23" s="1"/>
  <c r="AA60" i="23" s="1"/>
  <c r="V60" i="23"/>
  <c r="W60" i="23" s="1"/>
  <c r="X60" i="23" s="1"/>
  <c r="AP31" i="23"/>
  <c r="AS31" i="23" s="1"/>
  <c r="AP32" i="23"/>
  <c r="AS32" i="23" s="1"/>
  <c r="AP96" i="23"/>
  <c r="AS96" i="23" s="1"/>
  <c r="AP59" i="23"/>
  <c r="AS59" i="23" s="1"/>
  <c r="AP25" i="23"/>
  <c r="AS25" i="23" s="1"/>
  <c r="AP26" i="23"/>
  <c r="AS26" i="23" s="1"/>
  <c r="AP11" i="23"/>
  <c r="AS11" i="23" s="1"/>
  <c r="AP100" i="23"/>
  <c r="AS100" i="23" s="1"/>
  <c r="AP17" i="23"/>
  <c r="AS17" i="23" s="1"/>
  <c r="AP9" i="23"/>
  <c r="AS9" i="23" s="1"/>
  <c r="B75" i="23" s="1"/>
  <c r="B76" i="23" s="1"/>
  <c r="AP49" i="23"/>
  <c r="AS49" i="23" s="1"/>
  <c r="AP44" i="23"/>
  <c r="AS44" i="23" s="1"/>
  <c r="AP43" i="23"/>
  <c r="AS43" i="23" s="1"/>
  <c r="AP105" i="23"/>
  <c r="AS105" i="23" s="1"/>
  <c r="AP68" i="23"/>
  <c r="AS68" i="23" s="1"/>
  <c r="AH60" i="23"/>
  <c r="AI60" i="23" s="1"/>
  <c r="AP61" i="23"/>
  <c r="AS61" i="23" s="1"/>
  <c r="AP76" i="23"/>
  <c r="AS76" i="23" s="1"/>
  <c r="AP74" i="23"/>
  <c r="AS74" i="23" s="1"/>
  <c r="AP63" i="23"/>
  <c r="AS63" i="23" s="1"/>
  <c r="O11" i="23"/>
  <c r="AP99" i="23"/>
  <c r="AS99" i="23" s="1"/>
  <c r="P60" i="23"/>
  <c r="Q60" i="23" s="1"/>
  <c r="AE60" i="23" s="1"/>
  <c r="AP52" i="23"/>
  <c r="AS52" i="23" s="1"/>
  <c r="AP28" i="23"/>
  <c r="AS28" i="23" s="1"/>
  <c r="AP101" i="23"/>
  <c r="AS101" i="23" s="1"/>
  <c r="AP35" i="23"/>
  <c r="AS35" i="23" s="1"/>
  <c r="AP86" i="23"/>
  <c r="AS86" i="23" s="1"/>
  <c r="AP72" i="23"/>
  <c r="AS72" i="23" s="1"/>
  <c r="AP104" i="23"/>
  <c r="AS104" i="23" s="1"/>
  <c r="S50" i="23"/>
  <c r="U50" i="23" s="1"/>
  <c r="BA50" i="23" s="1"/>
  <c r="AP12" i="23"/>
  <c r="AS12" i="23" s="1"/>
  <c r="AP38" i="23"/>
  <c r="AS38" i="23" s="1"/>
  <c r="AP65" i="23"/>
  <c r="AS65" i="23" s="1"/>
  <c r="AP75" i="23"/>
  <c r="AS75" i="23" s="1"/>
  <c r="E105" i="1"/>
  <c r="AP58" i="23"/>
  <c r="AS58" i="23" s="1"/>
  <c r="AP95" i="23"/>
  <c r="AS95" i="23" s="1"/>
  <c r="AP79" i="23"/>
  <c r="AS79" i="23" s="1"/>
  <c r="AP90" i="23"/>
  <c r="AS90" i="23" s="1"/>
  <c r="AF12" i="23"/>
  <c r="AP70" i="23"/>
  <c r="AS70" i="23" s="1"/>
  <c r="AP85" i="23"/>
  <c r="AS85" i="23" s="1"/>
  <c r="AP83" i="23"/>
  <c r="AS83" i="23" s="1"/>
  <c r="AP108" i="23"/>
  <c r="AS108" i="23" s="1"/>
  <c r="AP92" i="23"/>
  <c r="AS92" i="23" s="1"/>
  <c r="AP109" i="23"/>
  <c r="AS109" i="23" s="1"/>
  <c r="AP98" i="23"/>
  <c r="AS98" i="23" s="1"/>
  <c r="AF60" i="23"/>
  <c r="AP40" i="23"/>
  <c r="AS40" i="23" s="1"/>
  <c r="AP107" i="23"/>
  <c r="AS107" i="23" s="1"/>
  <c r="AP16" i="23"/>
  <c r="AS16" i="23" s="1"/>
  <c r="AP97" i="23"/>
  <c r="AS97" i="23" s="1"/>
  <c r="AP39" i="23"/>
  <c r="AS39" i="23" s="1"/>
  <c r="AP29" i="23"/>
  <c r="AS29" i="23" s="1"/>
  <c r="AP42" i="23"/>
  <c r="AS42" i="23" s="1"/>
  <c r="AP81" i="23"/>
  <c r="AS81" i="23" s="1"/>
  <c r="AP84" i="23"/>
  <c r="AS84" i="23" s="1"/>
  <c r="AP69" i="23"/>
  <c r="AS69" i="23" s="1"/>
  <c r="AJ60" i="23"/>
  <c r="AH11" i="23"/>
  <c r="AI11" i="23" s="1"/>
  <c r="AJ11" i="23"/>
  <c r="AB11" i="23"/>
  <c r="AC11" i="23" s="1"/>
  <c r="Y11" i="23"/>
  <c r="Z11" i="23" s="1"/>
  <c r="AA11" i="23" s="1"/>
  <c r="R11" i="23"/>
  <c r="S11" i="23" s="1"/>
  <c r="U11" i="23" s="1"/>
  <c r="BA11" i="23" s="1"/>
  <c r="P11" i="23"/>
  <c r="Q11" i="23" s="1"/>
  <c r="AE11" i="23" s="1"/>
  <c r="AH55" i="23"/>
  <c r="AI55" i="23" s="1"/>
  <c r="AP15" i="23"/>
  <c r="AS15" i="23" s="1"/>
  <c r="AP80" i="23"/>
  <c r="AS80" i="23" s="1"/>
  <c r="AP46" i="23"/>
  <c r="AS46" i="23" s="1"/>
  <c r="AP47" i="23"/>
  <c r="AS47" i="23" s="1"/>
  <c r="AP45" i="23"/>
  <c r="AS45" i="23" s="1"/>
  <c r="AP67" i="23"/>
  <c r="AS67" i="23" s="1"/>
  <c r="AP24" i="23"/>
  <c r="AS24" i="23" s="1"/>
  <c r="AP41" i="23"/>
  <c r="AS41" i="23" s="1"/>
  <c r="AP37" i="23"/>
  <c r="AS37" i="23" s="1"/>
  <c r="AP102" i="23"/>
  <c r="AS102" i="23" s="1"/>
  <c r="AP33" i="23"/>
  <c r="AS33" i="23" s="1"/>
  <c r="AP64" i="23"/>
  <c r="AS64" i="23" s="1"/>
  <c r="AP77" i="23"/>
  <c r="AS77" i="23" s="1"/>
  <c r="AP19" i="23"/>
  <c r="AS19" i="23" s="1"/>
  <c r="AP53" i="23"/>
  <c r="AS53" i="23" s="1"/>
  <c r="AP71" i="23"/>
  <c r="AS71" i="23" s="1"/>
  <c r="AP27" i="23"/>
  <c r="AS27" i="23" s="1"/>
  <c r="AP94" i="23"/>
  <c r="AS94" i="23" s="1"/>
  <c r="AP103" i="23"/>
  <c r="AS103" i="23" s="1"/>
  <c r="AP82" i="23"/>
  <c r="AS82" i="23" s="1"/>
  <c r="AP22" i="23"/>
  <c r="AS22" i="23" s="1"/>
  <c r="AP51" i="23"/>
  <c r="AS51" i="23" s="1"/>
  <c r="AP48" i="23"/>
  <c r="AS48" i="23" s="1"/>
  <c r="AP54" i="23"/>
  <c r="AS54" i="23" s="1"/>
  <c r="AP91" i="23"/>
  <c r="AS91" i="23" s="1"/>
  <c r="AP50" i="23"/>
  <c r="AS50" i="23" s="1"/>
  <c r="AP57" i="23"/>
  <c r="AS57" i="23" s="1"/>
  <c r="AP62" i="23"/>
  <c r="AS62" i="23" s="1"/>
  <c r="AP66" i="23"/>
  <c r="AS66" i="23" s="1"/>
  <c r="AP55" i="23"/>
  <c r="AS55" i="23" s="1"/>
  <c r="AP87" i="23"/>
  <c r="AS87" i="23" s="1"/>
  <c r="AP13" i="23"/>
  <c r="AS13" i="23" s="1"/>
  <c r="AP36" i="23"/>
  <c r="AS36" i="23" s="1"/>
  <c r="AP10" i="23"/>
  <c r="AS10" i="23" s="1"/>
  <c r="AP78" i="23"/>
  <c r="AS78" i="23" s="1"/>
  <c r="AP18" i="23"/>
  <c r="AS18" i="23" s="1"/>
  <c r="AP21" i="23"/>
  <c r="AS21" i="23" s="1"/>
  <c r="AP30" i="23"/>
  <c r="AS30" i="23" s="1"/>
  <c r="AP93" i="23"/>
  <c r="AS93" i="23" s="1"/>
  <c r="AP14" i="23"/>
  <c r="AS14" i="23" s="1"/>
  <c r="AP20" i="23"/>
  <c r="AS20" i="23" s="1"/>
  <c r="AP106" i="23"/>
  <c r="AS106" i="23" s="1"/>
  <c r="AP34" i="23"/>
  <c r="AS34" i="23" s="1"/>
  <c r="AP73" i="23"/>
  <c r="AS73" i="23" s="1"/>
  <c r="AN69" i="23"/>
  <c r="BE69" i="23" s="1"/>
  <c r="J22" i="1"/>
  <c r="R59" i="23"/>
  <c r="S59" i="23" s="1"/>
  <c r="U59" i="23" s="1"/>
  <c r="BA59" i="23" s="1"/>
  <c r="AF20" i="23"/>
  <c r="AF65" i="23"/>
  <c r="Y65" i="23"/>
  <c r="Z65" i="23" s="1"/>
  <c r="AA65" i="23" s="1"/>
  <c r="O65" i="23"/>
  <c r="AB65" i="23"/>
  <c r="AC65" i="23" s="1"/>
  <c r="R65" i="23"/>
  <c r="S65" i="23" s="1"/>
  <c r="U65" i="23" s="1"/>
  <c r="BA65" i="23" s="1"/>
  <c r="AJ65" i="23"/>
  <c r="P65" i="23"/>
  <c r="Q65" i="23" s="1"/>
  <c r="AE65" i="23" s="1"/>
  <c r="Y59" i="23"/>
  <c r="Z59" i="23" s="1"/>
  <c r="AA59" i="23" s="1"/>
  <c r="O59" i="23"/>
  <c r="AH59" i="23"/>
  <c r="AI59" i="23" s="1"/>
  <c r="AH65" i="23"/>
  <c r="AI65" i="23" s="1"/>
  <c r="AB59" i="23"/>
  <c r="AC59" i="23" s="1"/>
  <c r="V59" i="23"/>
  <c r="W59" i="23" s="1"/>
  <c r="X59" i="23" s="1"/>
  <c r="P59" i="23"/>
  <c r="Q59" i="23" s="1"/>
  <c r="AE59" i="23" s="1"/>
  <c r="AP88" i="23"/>
  <c r="AS88" i="23" s="1"/>
  <c r="AP56" i="23"/>
  <c r="AS56" i="23" s="1"/>
  <c r="AJ59" i="23"/>
  <c r="AH100" i="23"/>
  <c r="AI100" i="23" s="1"/>
  <c r="AJ17" i="23"/>
  <c r="AB17" i="23"/>
  <c r="AC17" i="23" s="1"/>
  <c r="AN93" i="23"/>
  <c r="BE93" i="23" s="1"/>
  <c r="Y31" i="23"/>
  <c r="Z31" i="23" s="1"/>
  <c r="AA31" i="23" s="1"/>
  <c r="V31" i="23"/>
  <c r="W31" i="23" s="1"/>
  <c r="X31" i="23" s="1"/>
  <c r="AF31" i="23"/>
  <c r="O20" i="23"/>
  <c r="Y20" i="23"/>
  <c r="Z20" i="23" s="1"/>
  <c r="AA20" i="23" s="1"/>
  <c r="AH20" i="23"/>
  <c r="AI20" i="23" s="1"/>
  <c r="AB14" i="23"/>
  <c r="AC14" i="23" s="1"/>
  <c r="AJ14" i="23"/>
  <c r="P101" i="23"/>
  <c r="Q101" i="23" s="1"/>
  <c r="AE101" i="23" s="1"/>
  <c r="R101" i="23"/>
  <c r="S101" i="23" s="1"/>
  <c r="U101" i="23" s="1"/>
  <c r="BA101" i="23" s="1"/>
  <c r="AB101" i="23"/>
  <c r="AC101" i="23" s="1"/>
  <c r="V101" i="23"/>
  <c r="W101" i="23" s="1"/>
  <c r="X101" i="23" s="1"/>
  <c r="O100" i="23"/>
  <c r="AJ101" i="23"/>
  <c r="Y101" i="23"/>
  <c r="Z101" i="23" s="1"/>
  <c r="AA101" i="23" s="1"/>
  <c r="AH101" i="23"/>
  <c r="AI101" i="23" s="1"/>
  <c r="AF101" i="23"/>
  <c r="BD77" i="23"/>
  <c r="AX77" i="23" s="1"/>
  <c r="AF54" i="23"/>
  <c r="V45" i="23"/>
  <c r="W45" i="23" s="1"/>
  <c r="X45" i="23" s="1"/>
  <c r="AB72" i="23"/>
  <c r="AC72" i="23" s="1"/>
  <c r="Y100" i="23"/>
  <c r="Z100" i="23" s="1"/>
  <c r="AA100" i="23" s="1"/>
  <c r="B188" i="2"/>
  <c r="B189" i="2" s="1"/>
  <c r="AF91" i="23"/>
  <c r="AJ45" i="23"/>
  <c r="Y54" i="23"/>
  <c r="Z54" i="23" s="1"/>
  <c r="AA54" i="23" s="1"/>
  <c r="V91" i="23"/>
  <c r="W91" i="23" s="1"/>
  <c r="X91" i="23" s="1"/>
  <c r="AB45" i="23"/>
  <c r="AC45" i="23" s="1"/>
  <c r="AF45" i="23"/>
  <c r="R45" i="23"/>
  <c r="AH45" i="23"/>
  <c r="AI45" i="23" s="1"/>
  <c r="AB100" i="23"/>
  <c r="AC100" i="23" s="1"/>
  <c r="AF46" i="23"/>
  <c r="P46" i="23"/>
  <c r="Q46" i="23" s="1"/>
  <c r="AE46" i="23" s="1"/>
  <c r="O25" i="23"/>
  <c r="R46" i="23"/>
  <c r="S46" i="23" s="1"/>
  <c r="U46" i="23" s="1"/>
  <c r="BA46" i="23" s="1"/>
  <c r="Y17" i="23"/>
  <c r="Z17" i="23" s="1"/>
  <c r="AA17" i="23" s="1"/>
  <c r="Y91" i="23"/>
  <c r="Z91" i="23" s="1"/>
  <c r="AA91" i="23" s="1"/>
  <c r="V25" i="23"/>
  <c r="W25" i="23" s="1"/>
  <c r="X25" i="23" s="1"/>
  <c r="R17" i="23"/>
  <c r="O54" i="23"/>
  <c r="Y46" i="23"/>
  <c r="Z46" i="23" s="1"/>
  <c r="AA46" i="23" s="1"/>
  <c r="AF17" i="23"/>
  <c r="P91" i="23"/>
  <c r="Q91" i="23" s="1"/>
  <c r="AE91" i="23" s="1"/>
  <c r="AB54" i="23"/>
  <c r="AC54" i="23" s="1"/>
  <c r="R54" i="23"/>
  <c r="S54" i="23" s="1"/>
  <c r="U54" i="23" s="1"/>
  <c r="BA54" i="23" s="1"/>
  <c r="AH17" i="23"/>
  <c r="AI17" i="23" s="1"/>
  <c r="AB91" i="23"/>
  <c r="AC91" i="23" s="1"/>
  <c r="R91" i="23"/>
  <c r="P54" i="23"/>
  <c r="Q54" i="23" s="1"/>
  <c r="AE54" i="23" s="1"/>
  <c r="AB46" i="23"/>
  <c r="AC46" i="23" s="1"/>
  <c r="AJ46" i="23"/>
  <c r="AH46" i="23"/>
  <c r="AI46" i="23" s="1"/>
  <c r="AJ91" i="23"/>
  <c r="V54" i="23"/>
  <c r="W54" i="23" s="1"/>
  <c r="X54" i="23" s="1"/>
  <c r="O46" i="23"/>
  <c r="AH54" i="23"/>
  <c r="AI54" i="23" s="1"/>
  <c r="AK54" i="23" s="1"/>
  <c r="BD54" i="23" s="1"/>
  <c r="AX54" i="23" s="1"/>
  <c r="R25" i="23"/>
  <c r="AN25" i="23" s="1"/>
  <c r="BE25" i="23" s="1"/>
  <c r="AB25" i="23"/>
  <c r="AC25" i="23" s="1"/>
  <c r="P25" i="23"/>
  <c r="Q25" i="23" s="1"/>
  <c r="AE25" i="23" s="1"/>
  <c r="AB66" i="23"/>
  <c r="AC66" i="23" s="1"/>
  <c r="AH25" i="23"/>
  <c r="AI25" i="23" s="1"/>
  <c r="AF66" i="23"/>
  <c r="AJ25" i="23"/>
  <c r="Y66" i="23"/>
  <c r="Z66" i="23" s="1"/>
  <c r="AA66" i="23" s="1"/>
  <c r="AH91" i="23"/>
  <c r="AI91" i="23" s="1"/>
  <c r="V66" i="23"/>
  <c r="W66" i="23" s="1"/>
  <c r="X66" i="23" s="1"/>
  <c r="Y25" i="23"/>
  <c r="Z25" i="23" s="1"/>
  <c r="AA25" i="23" s="1"/>
  <c r="AF14" i="23"/>
  <c r="P14" i="23"/>
  <c r="Q14" i="23" s="1"/>
  <c r="AE14" i="23" s="1"/>
  <c r="P17" i="23"/>
  <c r="Q17" i="23" s="1"/>
  <c r="AE17" i="23" s="1"/>
  <c r="O17" i="23"/>
  <c r="R14" i="23"/>
  <c r="S14" i="23" s="1"/>
  <c r="U14" i="23" s="1"/>
  <c r="AH14" i="23"/>
  <c r="AI14" i="23" s="1"/>
  <c r="V14" i="23"/>
  <c r="W14" i="23" s="1"/>
  <c r="X14" i="23" s="1"/>
  <c r="Y45" i="23"/>
  <c r="Z45" i="23" s="1"/>
  <c r="AA45" i="23" s="1"/>
  <c r="Y14" i="23"/>
  <c r="Z14" i="23" s="1"/>
  <c r="AA14" i="23" s="1"/>
  <c r="O45" i="23"/>
  <c r="O14" i="23"/>
  <c r="AF55" i="23"/>
  <c r="R100" i="23"/>
  <c r="AN100" i="23" s="1"/>
  <c r="BE100" i="23" s="1"/>
  <c r="V100" i="23"/>
  <c r="W100" i="23" s="1"/>
  <c r="X100" i="23" s="1"/>
  <c r="O55" i="23"/>
  <c r="AJ100" i="23"/>
  <c r="AN55" i="23"/>
  <c r="BE55" i="23" s="1"/>
  <c r="Y55" i="23"/>
  <c r="Z55" i="23" s="1"/>
  <c r="AA55" i="23" s="1"/>
  <c r="P100" i="23"/>
  <c r="Q100" i="23" s="1"/>
  <c r="AE100" i="23" s="1"/>
  <c r="AN77" i="23"/>
  <c r="BE77" i="23" s="1"/>
  <c r="AB55" i="23"/>
  <c r="AC55" i="23" s="1"/>
  <c r="AJ55" i="23"/>
  <c r="P55" i="23"/>
  <c r="Q55" i="23" s="1"/>
  <c r="AE55" i="23" s="1"/>
  <c r="N71" i="23"/>
  <c r="AH71" i="23" s="1"/>
  <c r="AI71" i="23" s="1"/>
  <c r="AD23" i="23"/>
  <c r="P72" i="23"/>
  <c r="Q72" i="23" s="1"/>
  <c r="AE72" i="23" s="1"/>
  <c r="AK15" i="23"/>
  <c r="BD15" i="23" s="1"/>
  <c r="AX15" i="23" s="1"/>
  <c r="AJ66" i="23"/>
  <c r="R66" i="23"/>
  <c r="S66" i="23" s="1"/>
  <c r="U66" i="23" s="1"/>
  <c r="BA66" i="23" s="1"/>
  <c r="P66" i="23"/>
  <c r="Q66" i="23" s="1"/>
  <c r="AE66" i="23" s="1"/>
  <c r="AN97" i="23"/>
  <c r="BE97" i="23" s="1"/>
  <c r="AN18" i="23"/>
  <c r="BE18" i="23" s="1"/>
  <c r="AB22" i="23"/>
  <c r="AC22" i="23" s="1"/>
  <c r="AH66" i="23"/>
  <c r="AI66" i="23" s="1"/>
  <c r="BD96" i="23"/>
  <c r="AX96" i="23" s="1"/>
  <c r="B244" i="2"/>
  <c r="B75" i="1" s="1"/>
  <c r="N6" i="8"/>
  <c r="O6" i="8" s="1"/>
  <c r="N26" i="8" s="1"/>
  <c r="AB33" i="23"/>
  <c r="AC33" i="23" s="1"/>
  <c r="O61" i="23"/>
  <c r="V55" i="23"/>
  <c r="W55" i="23" s="1"/>
  <c r="X55" i="23" s="1"/>
  <c r="AK69" i="23"/>
  <c r="BD69" i="23" s="1"/>
  <c r="AX69" i="23" s="1"/>
  <c r="S72" i="23"/>
  <c r="U72" i="23" s="1"/>
  <c r="BA72" i="23" s="1"/>
  <c r="AJ61" i="23"/>
  <c r="AH72" i="23"/>
  <c r="AI72" i="23" s="1"/>
  <c r="Y67" i="23"/>
  <c r="Z67" i="23" s="1"/>
  <c r="AA67" i="23" s="1"/>
  <c r="AB61" i="23"/>
  <c r="AC61" i="23" s="1"/>
  <c r="AF61" i="23"/>
  <c r="Y33" i="23"/>
  <c r="Z33" i="23" s="1"/>
  <c r="AA33" i="23" s="1"/>
  <c r="V33" i="23"/>
  <c r="W33" i="23" s="1"/>
  <c r="X33" i="23" s="1"/>
  <c r="AH33" i="23"/>
  <c r="AI33" i="23" s="1"/>
  <c r="Y61" i="23"/>
  <c r="Z61" i="23" s="1"/>
  <c r="AA61" i="23" s="1"/>
  <c r="R33" i="23"/>
  <c r="V61" i="23"/>
  <c r="W61" i="23" s="1"/>
  <c r="X61" i="23" s="1"/>
  <c r="O72" i="23"/>
  <c r="AH61" i="23"/>
  <c r="AI61" i="23" s="1"/>
  <c r="AK97" i="23"/>
  <c r="BD97" i="23" s="1"/>
  <c r="AX97" i="23" s="1"/>
  <c r="AH67" i="23"/>
  <c r="AI67" i="23" s="1"/>
  <c r="P33" i="23"/>
  <c r="Q33" i="23" s="1"/>
  <c r="AE33" i="23" s="1"/>
  <c r="AB36" i="23"/>
  <c r="AC36" i="23" s="1"/>
  <c r="AF67" i="23"/>
  <c r="AJ33" i="23"/>
  <c r="R61" i="23"/>
  <c r="AN61" i="23" s="1"/>
  <c r="BE61" i="23" s="1"/>
  <c r="AH36" i="23"/>
  <c r="AI36" i="23" s="1"/>
  <c r="V36" i="23"/>
  <c r="W36" i="23" s="1"/>
  <c r="X36" i="23" s="1"/>
  <c r="AF36" i="23"/>
  <c r="AH57" i="23"/>
  <c r="AI57" i="23" s="1"/>
  <c r="AK57" i="23" s="1"/>
  <c r="BD57" i="23" s="1"/>
  <c r="AX57" i="23" s="1"/>
  <c r="Y36" i="23"/>
  <c r="Z36" i="23" s="1"/>
  <c r="AA36" i="23" s="1"/>
  <c r="O22" i="23"/>
  <c r="R36" i="23"/>
  <c r="AN36" i="23" s="1"/>
  <c r="BE36" i="23" s="1"/>
  <c r="AB67" i="23"/>
  <c r="AC67" i="23" s="1"/>
  <c r="AF33" i="23"/>
  <c r="AJ36" i="23"/>
  <c r="R22" i="23"/>
  <c r="AN96" i="23"/>
  <c r="BE96" i="23" s="1"/>
  <c r="AF22" i="23"/>
  <c r="Y95" i="23"/>
  <c r="Z95" i="23" s="1"/>
  <c r="AA95" i="23" s="1"/>
  <c r="AH22" i="23"/>
  <c r="AI22" i="23" s="1"/>
  <c r="O36" i="23"/>
  <c r="B151" i="2"/>
  <c r="AB27" i="23"/>
  <c r="AC27" i="23" s="1"/>
  <c r="O27" i="23"/>
  <c r="AB57" i="23"/>
  <c r="AC57" i="23" s="1"/>
  <c r="R57" i="23"/>
  <c r="S57" i="23" s="1"/>
  <c r="U57" i="23" s="1"/>
  <c r="BA57" i="23" s="1"/>
  <c r="V94" i="23"/>
  <c r="W94" i="23" s="1"/>
  <c r="X94" i="23" s="1"/>
  <c r="Y22" i="23"/>
  <c r="Z22" i="23" s="1"/>
  <c r="AA22" i="23" s="1"/>
  <c r="P21" i="23"/>
  <c r="Q21" i="23" s="1"/>
  <c r="AE21" i="23" s="1"/>
  <c r="C63" i="16"/>
  <c r="D63" i="16" s="1"/>
  <c r="AJ21" i="23"/>
  <c r="R27" i="23"/>
  <c r="S27" i="23" s="1"/>
  <c r="U27" i="23" s="1"/>
  <c r="BA27" i="23" s="1"/>
  <c r="AN80" i="23"/>
  <c r="BE80" i="23" s="1"/>
  <c r="E22" i="1"/>
  <c r="AJ22" i="23"/>
  <c r="AJ31" i="23"/>
  <c r="Y85" i="23"/>
  <c r="Z85" i="23" s="1"/>
  <c r="AA85" i="23" s="1"/>
  <c r="P31" i="23"/>
  <c r="Q31" i="23" s="1"/>
  <c r="AE31" i="23" s="1"/>
  <c r="O31" i="23"/>
  <c r="AJ72" i="23"/>
  <c r="AJ67" i="23"/>
  <c r="R31" i="23"/>
  <c r="S31" i="23" s="1"/>
  <c r="U31" i="23" s="1"/>
  <c r="Y72" i="23"/>
  <c r="Z72" i="23" s="1"/>
  <c r="AA72" i="23" s="1"/>
  <c r="V57" i="23"/>
  <c r="W57" i="23" s="1"/>
  <c r="X57" i="23" s="1"/>
  <c r="AH31" i="23"/>
  <c r="AI31" i="23" s="1"/>
  <c r="AK70" i="23"/>
  <c r="BD70" i="23" s="1"/>
  <c r="AX70" i="23" s="1"/>
  <c r="N98" i="23"/>
  <c r="AH98" i="23" s="1"/>
  <c r="AI98" i="23" s="1"/>
  <c r="Y21" i="23"/>
  <c r="Z21" i="23" s="1"/>
  <c r="AA21" i="23" s="1"/>
  <c r="AF94" i="23"/>
  <c r="AH21" i="23"/>
  <c r="AI21" i="23" s="1"/>
  <c r="E611" i="25"/>
  <c r="F602" i="25"/>
  <c r="F586" i="25"/>
  <c r="E585" i="25"/>
  <c r="E565" i="25"/>
  <c r="E595" i="25"/>
  <c r="F558" i="25"/>
  <c r="E526" i="25"/>
  <c r="E566" i="25"/>
  <c r="F538" i="25"/>
  <c r="E524" i="25"/>
  <c r="F526" i="25"/>
  <c r="E488" i="25"/>
  <c r="E516" i="25"/>
  <c r="F485" i="25"/>
  <c r="F498" i="25"/>
  <c r="E467" i="25"/>
  <c r="F437" i="25"/>
  <c r="F405" i="25"/>
  <c r="E461" i="25"/>
  <c r="E429" i="25"/>
  <c r="E460" i="25"/>
  <c r="E522" i="25"/>
  <c r="E413" i="25"/>
  <c r="E419" i="25"/>
  <c r="E418" i="25"/>
  <c r="F382" i="25"/>
  <c r="E378" i="25"/>
  <c r="F344" i="25"/>
  <c r="F312" i="25"/>
  <c r="F280" i="25"/>
  <c r="E374" i="25"/>
  <c r="F381" i="25"/>
  <c r="E347" i="25"/>
  <c r="F347" i="25"/>
  <c r="E304" i="25"/>
  <c r="F265" i="25"/>
  <c r="F319" i="25"/>
  <c r="E277" i="25"/>
  <c r="E333" i="25"/>
  <c r="F291" i="25"/>
  <c r="E256" i="25"/>
  <c r="F375" i="25"/>
  <c r="E257" i="25"/>
  <c r="E216" i="25"/>
  <c r="E184" i="25"/>
  <c r="E152" i="25"/>
  <c r="E120" i="25"/>
  <c r="F253" i="25"/>
  <c r="F325" i="25"/>
  <c r="E235" i="25"/>
  <c r="F202" i="25"/>
  <c r="F170" i="25"/>
  <c r="F138" i="25"/>
  <c r="F106" i="25"/>
  <c r="F74" i="25"/>
  <c r="F42" i="25"/>
  <c r="E209" i="25"/>
  <c r="E145" i="25"/>
  <c r="F95" i="25"/>
  <c r="F31" i="25"/>
  <c r="F191" i="25"/>
  <c r="F127" i="25"/>
  <c r="E84" i="25"/>
  <c r="E327" i="25"/>
  <c r="F177" i="25"/>
  <c r="F113" i="25"/>
  <c r="E72" i="25"/>
  <c r="F28" i="25"/>
  <c r="E30" i="25"/>
  <c r="F67" i="25"/>
  <c r="F17" i="25"/>
  <c r="E58" i="25"/>
  <c r="E179" i="25"/>
  <c r="F23" i="25"/>
  <c r="E628" i="25"/>
  <c r="E609" i="25"/>
  <c r="F600" i="25"/>
  <c r="F612" i="25"/>
  <c r="E583" i="25"/>
  <c r="E563" i="25"/>
  <c r="F589" i="25"/>
  <c r="E556" i="25"/>
  <c r="E570" i="25"/>
  <c r="E562" i="25"/>
  <c r="F537" i="25"/>
  <c r="E555" i="25"/>
  <c r="F525" i="25"/>
  <c r="E486" i="25"/>
  <c r="F515" i="25"/>
  <c r="F483" i="25"/>
  <c r="F496" i="25"/>
  <c r="F466" i="25"/>
  <c r="F435" i="25"/>
  <c r="F403" i="25"/>
  <c r="E459" i="25"/>
  <c r="E514" i="25"/>
  <c r="E458" i="25"/>
  <c r="F520" i="25"/>
  <c r="E408" i="25"/>
  <c r="E414" i="25"/>
  <c r="F416" i="25"/>
  <c r="F380" i="25"/>
  <c r="F374" i="25"/>
  <c r="F342" i="25"/>
  <c r="F310" i="25"/>
  <c r="F521" i="25"/>
  <c r="E372" i="25"/>
  <c r="E380" i="25"/>
  <c r="E345" i="25"/>
  <c r="E344" i="25"/>
  <c r="E299" i="25"/>
  <c r="F402" i="25"/>
  <c r="E318" i="25"/>
  <c r="E275" i="25"/>
  <c r="F331" i="25"/>
  <c r="E290" i="25"/>
  <c r="E254" i="25"/>
  <c r="E362" i="25"/>
  <c r="F256" i="25"/>
  <c r="E214" i="25"/>
  <c r="E182" i="25"/>
  <c r="E150" i="25"/>
  <c r="E350" i="25"/>
  <c r="E247" i="25"/>
  <c r="E324" i="25"/>
  <c r="F234" i="25"/>
  <c r="F200" i="25"/>
  <c r="F168" i="25"/>
  <c r="F136" i="25"/>
  <c r="F104" i="25"/>
  <c r="F72" i="25"/>
  <c r="F40" i="25"/>
  <c r="E205" i="25"/>
  <c r="E141" i="25"/>
  <c r="E94" i="25"/>
  <c r="F301" i="25"/>
  <c r="F187" i="25"/>
  <c r="F123" i="25"/>
  <c r="E79" i="25"/>
  <c r="E300" i="25"/>
  <c r="F173" i="25"/>
  <c r="E112" i="25"/>
  <c r="E67" i="25"/>
  <c r="F26" i="25"/>
  <c r="E28" i="25"/>
  <c r="E66" i="25"/>
  <c r="E16" i="25"/>
  <c r="E53" i="25"/>
  <c r="E163" i="25"/>
  <c r="E22" i="25"/>
  <c r="F628" i="25"/>
  <c r="F588" i="25"/>
  <c r="E527" i="25"/>
  <c r="F420" i="25"/>
  <c r="E348" i="25"/>
  <c r="A623" i="25"/>
  <c r="F598" i="25"/>
  <c r="E606" i="25"/>
  <c r="E581" i="25"/>
  <c r="E561" i="25"/>
  <c r="F584" i="25"/>
  <c r="E554" i="25"/>
  <c r="F564" i="25"/>
  <c r="F561" i="25"/>
  <c r="E531" i="25"/>
  <c r="E547" i="25"/>
  <c r="E518" i="25"/>
  <c r="E484" i="25"/>
  <c r="F514" i="25"/>
  <c r="E545" i="25"/>
  <c r="F494" i="25"/>
  <c r="F465" i="25"/>
  <c r="F433" i="25"/>
  <c r="F401" i="25"/>
  <c r="E457" i="25"/>
  <c r="F513" i="25"/>
  <c r="E456" i="25"/>
  <c r="E497" i="25"/>
  <c r="F406" i="25"/>
  <c r="F412" i="25"/>
  <c r="E415" i="25"/>
  <c r="F378" i="25"/>
  <c r="F372" i="25"/>
  <c r="F340" i="25"/>
  <c r="F308" i="25"/>
  <c r="F442" i="25"/>
  <c r="E370" i="25"/>
  <c r="E375" i="25"/>
  <c r="F450" i="25"/>
  <c r="E339" i="25"/>
  <c r="F297" i="25"/>
  <c r="F383" i="25"/>
  <c r="E313" i="25"/>
  <c r="E273" i="25"/>
  <c r="E330" i="25"/>
  <c r="E285" i="25"/>
  <c r="E252" i="25"/>
  <c r="F361" i="25"/>
  <c r="F255" i="25"/>
  <c r="E212" i="25"/>
  <c r="E180" i="25"/>
  <c r="E148" i="25"/>
  <c r="F349" i="25"/>
  <c r="F246" i="25"/>
  <c r="E319" i="25"/>
  <c r="F233" i="25"/>
  <c r="F198" i="25"/>
  <c r="F166" i="25"/>
  <c r="F134" i="25"/>
  <c r="F102" i="25"/>
  <c r="F70" i="25"/>
  <c r="F38" i="25"/>
  <c r="E201" i="25"/>
  <c r="E137" i="25"/>
  <c r="E89" i="25"/>
  <c r="E261" i="25"/>
  <c r="F183" i="25"/>
  <c r="E119" i="25"/>
  <c r="F77" i="25"/>
  <c r="F278" i="25"/>
  <c r="F169" i="25"/>
  <c r="E107" i="25"/>
  <c r="F65" i="25"/>
  <c r="F24" i="25"/>
  <c r="E26" i="25"/>
  <c r="E61" i="25"/>
  <c r="E354" i="25"/>
  <c r="E29" i="25"/>
  <c r="E147" i="25"/>
  <c r="E17" i="25"/>
  <c r="E528" i="25"/>
  <c r="E462" i="25"/>
  <c r="F305" i="25"/>
  <c r="E612" i="25"/>
  <c r="F605" i="25"/>
  <c r="E598" i="25"/>
  <c r="E579" i="25"/>
  <c r="E559" i="25"/>
  <c r="F583" i="25"/>
  <c r="E552" i="25"/>
  <c r="E558" i="25"/>
  <c r="F560" i="25"/>
  <c r="F530" i="25"/>
  <c r="E539" i="25"/>
  <c r="F517" i="25"/>
  <c r="E482" i="25"/>
  <c r="F511" i="25"/>
  <c r="E535" i="25"/>
  <c r="F492" i="25"/>
  <c r="F463" i="25"/>
  <c r="F431" i="25"/>
  <c r="E511" i="25"/>
  <c r="E455" i="25"/>
  <c r="F512" i="25"/>
  <c r="E454" i="25"/>
  <c r="E479" i="25"/>
  <c r="E405" i="25"/>
  <c r="E411" i="25"/>
  <c r="E410" i="25"/>
  <c r="F376" i="25"/>
  <c r="F370" i="25"/>
  <c r="F338" i="25"/>
  <c r="F306" i="25"/>
  <c r="F410" i="25"/>
  <c r="E368" i="25"/>
  <c r="E373" i="25"/>
  <c r="F391" i="25"/>
  <c r="F337" i="25"/>
  <c r="E296" i="25"/>
  <c r="E382" i="25"/>
  <c r="F311" i="25"/>
  <c r="E271" i="25"/>
  <c r="E325" i="25"/>
  <c r="F283" i="25"/>
  <c r="E250" i="25"/>
  <c r="E346" i="25"/>
  <c r="E249" i="25"/>
  <c r="E210" i="25"/>
  <c r="E178" i="25"/>
  <c r="E146" i="25"/>
  <c r="F341" i="25"/>
  <c r="F245" i="25"/>
  <c r="F293" i="25"/>
  <c r="E227" i="25"/>
  <c r="F196" i="25"/>
  <c r="F164" i="25"/>
  <c r="F132" i="25"/>
  <c r="F100" i="25"/>
  <c r="F68" i="25"/>
  <c r="F36" i="25"/>
  <c r="E197" i="25"/>
  <c r="E133" i="25"/>
  <c r="F87" i="25"/>
  <c r="F260" i="25"/>
  <c r="F179" i="25"/>
  <c r="F117" i="25"/>
  <c r="E76" i="25"/>
  <c r="E245" i="25"/>
  <c r="F165" i="25"/>
  <c r="F105" i="25"/>
  <c r="E64" i="25"/>
  <c r="F22" i="25"/>
  <c r="F270" i="25"/>
  <c r="E39" i="25"/>
  <c r="E332" i="25"/>
  <c r="E27" i="25"/>
  <c r="E131" i="25"/>
  <c r="F15" i="25"/>
  <c r="F559" i="25"/>
  <c r="F487" i="25"/>
  <c r="F384" i="25"/>
  <c r="F267" i="25"/>
  <c r="E610" i="25"/>
  <c r="F603" i="25"/>
  <c r="E592" i="25"/>
  <c r="F609" i="25"/>
  <c r="E557" i="25"/>
  <c r="F582" i="25"/>
  <c r="E550" i="25"/>
  <c r="F557" i="25"/>
  <c r="F556" i="25"/>
  <c r="F529" i="25"/>
  <c r="E533" i="25"/>
  <c r="F516" i="25"/>
  <c r="E480" i="25"/>
  <c r="F509" i="25"/>
  <c r="F534" i="25"/>
  <c r="F490" i="25"/>
  <c r="F461" i="25"/>
  <c r="F429" i="25"/>
  <c r="E503" i="25"/>
  <c r="E453" i="25"/>
  <c r="E507" i="25"/>
  <c r="E452" i="25"/>
  <c r="F478" i="25"/>
  <c r="E505" i="25"/>
  <c r="E406" i="25"/>
  <c r="F408" i="25"/>
  <c r="F434" i="25"/>
  <c r="F368" i="25"/>
  <c r="F336" i="25"/>
  <c r="F304" i="25"/>
  <c r="E409" i="25"/>
  <c r="E366" i="25"/>
  <c r="E371" i="25"/>
  <c r="E390" i="25"/>
  <c r="E336" i="25"/>
  <c r="E291" i="25"/>
  <c r="E377" i="25"/>
  <c r="E310" i="25"/>
  <c r="E269" i="25"/>
  <c r="F323" i="25"/>
  <c r="E282" i="25"/>
  <c r="E248" i="25"/>
  <c r="F345" i="25"/>
  <c r="F248" i="25"/>
  <c r="E208" i="25"/>
  <c r="E176" i="25"/>
  <c r="E144" i="25"/>
  <c r="E340" i="25"/>
  <c r="E239" i="25"/>
  <c r="E292" i="25"/>
  <c r="F226" i="25"/>
  <c r="F194" i="25"/>
  <c r="F162" i="25"/>
  <c r="F130" i="25"/>
  <c r="F98" i="25"/>
  <c r="F66" i="25"/>
  <c r="F34" i="25"/>
  <c r="E193" i="25"/>
  <c r="E129" i="25"/>
  <c r="E86" i="25"/>
  <c r="F259" i="25"/>
  <c r="F175" i="25"/>
  <c r="E116" i="25"/>
  <c r="E71" i="25"/>
  <c r="F244" i="25"/>
  <c r="F161" i="25"/>
  <c r="E104" i="25"/>
  <c r="E59" i="25"/>
  <c r="F20" i="25"/>
  <c r="E253" i="25"/>
  <c r="F35" i="25"/>
  <c r="E219" i="25"/>
  <c r="E21" i="25"/>
  <c r="F107" i="25"/>
  <c r="E14" i="25"/>
  <c r="F604" i="25"/>
  <c r="E541" i="25"/>
  <c r="F522" i="25"/>
  <c r="E431" i="25"/>
  <c r="F314" i="25"/>
  <c r="F279" i="25"/>
  <c r="E608" i="25"/>
  <c r="F601" i="25"/>
  <c r="E590" i="25"/>
  <c r="E600" i="25"/>
  <c r="F585" i="25"/>
  <c r="F577" i="25"/>
  <c r="E548" i="25"/>
  <c r="F555" i="25"/>
  <c r="F554" i="25"/>
  <c r="E564" i="25"/>
  <c r="F532" i="25"/>
  <c r="E510" i="25"/>
  <c r="E478" i="25"/>
  <c r="F507" i="25"/>
  <c r="F533" i="25"/>
  <c r="F488" i="25"/>
  <c r="F459" i="25"/>
  <c r="F427" i="25"/>
  <c r="E495" i="25"/>
  <c r="E451" i="25"/>
  <c r="E499" i="25"/>
  <c r="E450" i="25"/>
  <c r="F477" i="25"/>
  <c r="E471" i="25"/>
  <c r="F404" i="25"/>
  <c r="E407" i="25"/>
  <c r="F418" i="25"/>
  <c r="F366" i="25"/>
  <c r="F334" i="25"/>
  <c r="F302" i="25"/>
  <c r="E404" i="25"/>
  <c r="F458" i="25"/>
  <c r="E369" i="25"/>
  <c r="E385" i="25"/>
  <c r="E331" i="25"/>
  <c r="F289" i="25"/>
  <c r="F373" i="25"/>
  <c r="E305" i="25"/>
  <c r="E267" i="25"/>
  <c r="E322" i="25"/>
  <c r="E278" i="25"/>
  <c r="E246" i="25"/>
  <c r="E343" i="25"/>
  <c r="F247" i="25"/>
  <c r="E206" i="25"/>
  <c r="E174" i="25"/>
  <c r="E142" i="25"/>
  <c r="E335" i="25"/>
  <c r="F238" i="25"/>
  <c r="E287" i="25"/>
  <c r="F224" i="25"/>
  <c r="F192" i="25"/>
  <c r="F160" i="25"/>
  <c r="F128" i="25"/>
  <c r="F96" i="25"/>
  <c r="F64" i="25"/>
  <c r="F32" i="25"/>
  <c r="E189" i="25"/>
  <c r="E125" i="25"/>
  <c r="E81" i="25"/>
  <c r="E229" i="25"/>
  <c r="F171" i="25"/>
  <c r="E111" i="25"/>
  <c r="F69" i="25"/>
  <c r="F243" i="25"/>
  <c r="F157" i="25"/>
  <c r="E99" i="25"/>
  <c r="F57" i="25"/>
  <c r="F18" i="25"/>
  <c r="F251" i="25"/>
  <c r="F29" i="25"/>
  <c r="E203" i="25"/>
  <c r="F19" i="25"/>
  <c r="E106" i="25"/>
  <c r="E20" i="25"/>
  <c r="E605" i="25"/>
  <c r="F599" i="25"/>
  <c r="E588" i="25"/>
  <c r="F591" i="25"/>
  <c r="E580" i="25"/>
  <c r="F575" i="25"/>
  <c r="E546" i="25"/>
  <c r="F553" i="25"/>
  <c r="F552" i="25"/>
  <c r="F563" i="25"/>
  <c r="F531" i="25"/>
  <c r="E508" i="25"/>
  <c r="E476" i="25"/>
  <c r="F505" i="25"/>
  <c r="E520" i="25"/>
  <c r="F486" i="25"/>
  <c r="F457" i="25"/>
  <c r="F425" i="25"/>
  <c r="E487" i="25"/>
  <c r="E449" i="25"/>
  <c r="E491" i="25"/>
  <c r="E448" i="25"/>
  <c r="F462" i="25"/>
  <c r="F470" i="25"/>
  <c r="E403" i="25"/>
  <c r="E402" i="25"/>
  <c r="E417" i="25"/>
  <c r="F364" i="25"/>
  <c r="F332" i="25"/>
  <c r="F300" i="25"/>
  <c r="E400" i="25"/>
  <c r="F426" i="25"/>
  <c r="E367" i="25"/>
  <c r="F371" i="25"/>
  <c r="F329" i="25"/>
  <c r="E288" i="25"/>
  <c r="F365" i="25"/>
  <c r="F303" i="25"/>
  <c r="E265" i="25"/>
  <c r="E317" i="25"/>
  <c r="E276" i="25"/>
  <c r="E244" i="25"/>
  <c r="F317" i="25"/>
  <c r="E241" i="25"/>
  <c r="E204" i="25"/>
  <c r="E172" i="25"/>
  <c r="E140" i="25"/>
  <c r="F309" i="25"/>
  <c r="F237" i="25"/>
  <c r="F272" i="25"/>
  <c r="F222" i="25"/>
  <c r="F190" i="25"/>
  <c r="F158" i="25"/>
  <c r="F126" i="25"/>
  <c r="F94" i="25"/>
  <c r="F62" i="25"/>
  <c r="F30" i="25"/>
  <c r="E185" i="25"/>
  <c r="E121" i="25"/>
  <c r="F79" i="25"/>
  <c r="F228" i="25"/>
  <c r="F167" i="25"/>
  <c r="F109" i="25"/>
  <c r="E68" i="25"/>
  <c r="F217" i="25"/>
  <c r="F153" i="25"/>
  <c r="F97" i="25"/>
  <c r="E56" i="25"/>
  <c r="F16" i="25"/>
  <c r="E225" i="25"/>
  <c r="F27" i="25"/>
  <c r="E187" i="25"/>
  <c r="E18" i="25"/>
  <c r="E101" i="25"/>
  <c r="F252" i="25"/>
  <c r="F596" i="25"/>
  <c r="F500" i="25"/>
  <c r="F346" i="25"/>
  <c r="E338" i="25"/>
  <c r="E603" i="25"/>
  <c r="F597" i="25"/>
  <c r="E586" i="25"/>
  <c r="E582" i="25"/>
  <c r="F579" i="25"/>
  <c r="F573" i="25"/>
  <c r="E544" i="25"/>
  <c r="F551" i="25"/>
  <c r="F550" i="25"/>
  <c r="F562" i="25"/>
  <c r="E525" i="25"/>
  <c r="E506" i="25"/>
  <c r="E474" i="25"/>
  <c r="F503" i="25"/>
  <c r="F519" i="25"/>
  <c r="E509" i="25"/>
  <c r="F455" i="25"/>
  <c r="F423" i="25"/>
  <c r="F484" i="25"/>
  <c r="E447" i="25"/>
  <c r="E483" i="25"/>
  <c r="E446" i="25"/>
  <c r="F454" i="25"/>
  <c r="F469" i="25"/>
  <c r="E489" i="25"/>
  <c r="F400" i="25"/>
  <c r="E412" i="25"/>
  <c r="F362" i="25"/>
  <c r="F330" i="25"/>
  <c r="F298" i="25"/>
  <c r="E395" i="25"/>
  <c r="E425" i="25"/>
  <c r="E365" i="25"/>
  <c r="E364" i="25"/>
  <c r="E328" i="25"/>
  <c r="E283" i="25"/>
  <c r="F343" i="25"/>
  <c r="E302" i="25"/>
  <c r="F428" i="25"/>
  <c r="F315" i="25"/>
  <c r="E274" i="25"/>
  <c r="E242" i="25"/>
  <c r="E316" i="25"/>
  <c r="F240" i="25"/>
  <c r="E202" i="25"/>
  <c r="E170" i="25"/>
  <c r="E138" i="25"/>
  <c r="E308" i="25"/>
  <c r="E231" i="25"/>
  <c r="E259" i="25"/>
  <c r="F220" i="25"/>
  <c r="F188" i="25"/>
  <c r="F156" i="25"/>
  <c r="F124" i="25"/>
  <c r="F92" i="25"/>
  <c r="F60" i="25"/>
  <c r="F353" i="25"/>
  <c r="E181" i="25"/>
  <c r="F119" i="25"/>
  <c r="E78" i="25"/>
  <c r="F227" i="25"/>
  <c r="F163" i="25"/>
  <c r="E108" i="25"/>
  <c r="E63" i="25"/>
  <c r="F213" i="25"/>
  <c r="F149" i="25"/>
  <c r="E96" i="25"/>
  <c r="E51" i="25"/>
  <c r="F14" i="25"/>
  <c r="E215" i="25"/>
  <c r="E23" i="25"/>
  <c r="E171" i="25"/>
  <c r="E207" i="25"/>
  <c r="F75" i="25"/>
  <c r="E191" i="25"/>
  <c r="F473" i="25"/>
  <c r="E321" i="25"/>
  <c r="E601" i="25"/>
  <c r="F595" i="25"/>
  <c r="E584" i="25"/>
  <c r="F581" i="25"/>
  <c r="F578" i="25"/>
  <c r="F571" i="25"/>
  <c r="E542" i="25"/>
  <c r="F549" i="25"/>
  <c r="F548" i="25"/>
  <c r="E551" i="25"/>
  <c r="E523" i="25"/>
  <c r="E504" i="25"/>
  <c r="E472" i="25"/>
  <c r="F501" i="25"/>
  <c r="F518" i="25"/>
  <c r="E501" i="25"/>
  <c r="F453" i="25"/>
  <c r="F421" i="25"/>
  <c r="E481" i="25"/>
  <c r="E445" i="25"/>
  <c r="E477" i="25"/>
  <c r="E444" i="25"/>
  <c r="F446" i="25"/>
  <c r="F464" i="25"/>
  <c r="F460" i="25"/>
  <c r="F398" i="25"/>
  <c r="E397" i="25"/>
  <c r="F360" i="25"/>
  <c r="F328" i="25"/>
  <c r="F296" i="25"/>
  <c r="F393" i="25"/>
  <c r="E420" i="25"/>
  <c r="E363" i="25"/>
  <c r="F363" i="25"/>
  <c r="E323" i="25"/>
  <c r="F281" i="25"/>
  <c r="E342" i="25"/>
  <c r="E297" i="25"/>
  <c r="E401" i="25"/>
  <c r="E314" i="25"/>
  <c r="E272" i="25"/>
  <c r="E240" i="25"/>
  <c r="E311" i="25"/>
  <c r="F239" i="25"/>
  <c r="E200" i="25"/>
  <c r="E168" i="25"/>
  <c r="E136" i="25"/>
  <c r="E303" i="25"/>
  <c r="F230" i="25"/>
  <c r="F258" i="25"/>
  <c r="F218" i="25"/>
  <c r="F186" i="25"/>
  <c r="F154" i="25"/>
  <c r="F122" i="25"/>
  <c r="F90" i="25"/>
  <c r="F58" i="25"/>
  <c r="F333" i="25"/>
  <c r="E177" i="25"/>
  <c r="E118" i="25"/>
  <c r="E73" i="25"/>
  <c r="E223" i="25"/>
  <c r="F159" i="25"/>
  <c r="E103" i="25"/>
  <c r="F61" i="25"/>
  <c r="F209" i="25"/>
  <c r="F145" i="25"/>
  <c r="E91" i="25"/>
  <c r="F49" i="25"/>
  <c r="F55" i="25"/>
  <c r="E199" i="25"/>
  <c r="F21" i="25"/>
  <c r="E155" i="25"/>
  <c r="E114" i="25"/>
  <c r="E74" i="25"/>
  <c r="E175" i="25"/>
  <c r="E587" i="25"/>
  <c r="F527" i="25"/>
  <c r="F414" i="25"/>
  <c r="E383" i="25"/>
  <c r="E258" i="25"/>
  <c r="E599" i="25"/>
  <c r="F593" i="25"/>
  <c r="E602" i="25"/>
  <c r="F580" i="25"/>
  <c r="F576" i="25"/>
  <c r="F569" i="25"/>
  <c r="E540" i="25"/>
  <c r="F547" i="25"/>
  <c r="F546" i="25"/>
  <c r="E543" i="25"/>
  <c r="E521" i="25"/>
  <c r="E502" i="25"/>
  <c r="E470" i="25"/>
  <c r="F499" i="25"/>
  <c r="E512" i="25"/>
  <c r="E493" i="25"/>
  <c r="F451" i="25"/>
  <c r="F419" i="25"/>
  <c r="F480" i="25"/>
  <c r="E443" i="25"/>
  <c r="F476" i="25"/>
  <c r="E442" i="25"/>
  <c r="F438" i="25"/>
  <c r="F456" i="25"/>
  <c r="F452" i="25"/>
  <c r="F396" i="25"/>
  <c r="F395" i="25"/>
  <c r="F358" i="25"/>
  <c r="F326" i="25"/>
  <c r="F294" i="25"/>
  <c r="E392" i="25"/>
  <c r="E399" i="25"/>
  <c r="E361" i="25"/>
  <c r="E360" i="25"/>
  <c r="F321" i="25"/>
  <c r="E280" i="25"/>
  <c r="E337" i="25"/>
  <c r="F295" i="25"/>
  <c r="F399" i="25"/>
  <c r="E309" i="25"/>
  <c r="E270" i="25"/>
  <c r="E238" i="25"/>
  <c r="F285" i="25"/>
  <c r="E233" i="25"/>
  <c r="E198" i="25"/>
  <c r="E166" i="25"/>
  <c r="E134" i="25"/>
  <c r="F276" i="25"/>
  <c r="F229" i="25"/>
  <c r="F257" i="25"/>
  <c r="F216" i="25"/>
  <c r="F184" i="25"/>
  <c r="F152" i="25"/>
  <c r="F120" i="25"/>
  <c r="F88" i="25"/>
  <c r="F56" i="25"/>
  <c r="E295" i="25"/>
  <c r="E173" i="25"/>
  <c r="E113" i="25"/>
  <c r="F71" i="25"/>
  <c r="F219" i="25"/>
  <c r="F155" i="25"/>
  <c r="F101" i="25"/>
  <c r="E60" i="25"/>
  <c r="F205" i="25"/>
  <c r="F141" i="25"/>
  <c r="F89" i="25"/>
  <c r="E48" i="25"/>
  <c r="E54" i="25"/>
  <c r="E183" i="25"/>
  <c r="E15" i="25"/>
  <c r="E139" i="25"/>
  <c r="E109" i="25"/>
  <c r="E69" i="25"/>
  <c r="E159" i="25"/>
  <c r="E597" i="25"/>
  <c r="E607" i="25"/>
  <c r="E596" i="25"/>
  <c r="E577" i="25"/>
  <c r="F574" i="25"/>
  <c r="F567" i="25"/>
  <c r="E538" i="25"/>
  <c r="F545" i="25"/>
  <c r="F544" i="25"/>
  <c r="E537" i="25"/>
  <c r="E519" i="25"/>
  <c r="E500" i="25"/>
  <c r="E468" i="25"/>
  <c r="F497" i="25"/>
  <c r="F510" i="25"/>
  <c r="E485" i="25"/>
  <c r="F449" i="25"/>
  <c r="F417" i="25"/>
  <c r="F479" i="25"/>
  <c r="E441" i="25"/>
  <c r="F475" i="25"/>
  <c r="E440" i="25"/>
  <c r="F430" i="25"/>
  <c r="F448" i="25"/>
  <c r="F444" i="25"/>
  <c r="F394" i="25"/>
  <c r="E394" i="25"/>
  <c r="F356" i="25"/>
  <c r="F324" i="25"/>
  <c r="F292" i="25"/>
  <c r="E387" i="25"/>
  <c r="F397" i="25"/>
  <c r="E359" i="25"/>
  <c r="F359" i="25"/>
  <c r="E320" i="25"/>
  <c r="F277" i="25"/>
  <c r="F335" i="25"/>
  <c r="E294" i="25"/>
  <c r="E398" i="25"/>
  <c r="F307" i="25"/>
  <c r="E268" i="25"/>
  <c r="E236" i="25"/>
  <c r="E284" i="25"/>
  <c r="F232" i="25"/>
  <c r="E196" i="25"/>
  <c r="E164" i="25"/>
  <c r="E132" i="25"/>
  <c r="F268" i="25"/>
  <c r="F225" i="25"/>
  <c r="E251" i="25"/>
  <c r="F214" i="25"/>
  <c r="F182" i="25"/>
  <c r="F150" i="25"/>
  <c r="F118" i="25"/>
  <c r="F86" i="25"/>
  <c r="F54" i="25"/>
  <c r="E237" i="25"/>
  <c r="E169" i="25"/>
  <c r="F111" i="25"/>
  <c r="E70" i="25"/>
  <c r="F215" i="25"/>
  <c r="F151" i="25"/>
  <c r="E100" i="25"/>
  <c r="E55" i="25"/>
  <c r="F201" i="25"/>
  <c r="F137" i="25"/>
  <c r="E88" i="25"/>
  <c r="E43" i="25"/>
  <c r="E49" i="25"/>
  <c r="E167" i="25"/>
  <c r="F13" i="25"/>
  <c r="E123" i="25"/>
  <c r="E82" i="25"/>
  <c r="F43" i="25"/>
  <c r="E143" i="25"/>
  <c r="E567" i="25"/>
  <c r="E463" i="25"/>
  <c r="E376" i="25"/>
  <c r="F610" i="25"/>
  <c r="E604" i="25"/>
  <c r="F594" i="25"/>
  <c r="E575" i="25"/>
  <c r="F572" i="25"/>
  <c r="E576" i="25"/>
  <c r="E536" i="25"/>
  <c r="F543" i="25"/>
  <c r="F542" i="25"/>
  <c r="F536" i="25"/>
  <c r="E517" i="25"/>
  <c r="E498" i="25"/>
  <c r="E466" i="25"/>
  <c r="F495" i="25"/>
  <c r="F508" i="25"/>
  <c r="F482" i="25"/>
  <c r="F447" i="25"/>
  <c r="F415" i="25"/>
  <c r="E473" i="25"/>
  <c r="E439" i="25"/>
  <c r="E469" i="25"/>
  <c r="E438" i="25"/>
  <c r="E424" i="25"/>
  <c r="F440" i="25"/>
  <c r="F436" i="25"/>
  <c r="F392" i="25"/>
  <c r="E389" i="25"/>
  <c r="F354" i="25"/>
  <c r="F322" i="25"/>
  <c r="F290" i="25"/>
  <c r="F385" i="25"/>
  <c r="E396" i="25"/>
  <c r="E357" i="25"/>
  <c r="E356" i="25"/>
  <c r="E315" i="25"/>
  <c r="F275" i="25"/>
  <c r="E334" i="25"/>
  <c r="E289" i="25"/>
  <c r="E393" i="25"/>
  <c r="E306" i="25"/>
  <c r="E266" i="25"/>
  <c r="E234" i="25"/>
  <c r="E279" i="25"/>
  <c r="F231" i="25"/>
  <c r="E194" i="25"/>
  <c r="E162" i="25"/>
  <c r="E130" i="25"/>
  <c r="E263" i="25"/>
  <c r="F223" i="25"/>
  <c r="F250" i="25"/>
  <c r="F212" i="25"/>
  <c r="F180" i="25"/>
  <c r="F148" i="25"/>
  <c r="F116" i="25"/>
  <c r="F84" i="25"/>
  <c r="F52" i="25"/>
  <c r="F236" i="25"/>
  <c r="E165" i="25"/>
  <c r="E110" i="25"/>
  <c r="E65" i="25"/>
  <c r="F211" i="25"/>
  <c r="F147" i="25"/>
  <c r="E95" i="25"/>
  <c r="F53" i="25"/>
  <c r="F197" i="25"/>
  <c r="F133" i="25"/>
  <c r="E83" i="25"/>
  <c r="F41" i="25"/>
  <c r="F47" i="25"/>
  <c r="E151" i="25"/>
  <c r="E13" i="25"/>
  <c r="E117" i="25"/>
  <c r="E77" i="25"/>
  <c r="E42" i="25"/>
  <c r="E127" i="25"/>
  <c r="F613" i="25"/>
  <c r="F608" i="25"/>
  <c r="E594" i="25"/>
  <c r="E593" i="25"/>
  <c r="E573" i="25"/>
  <c r="F570" i="25"/>
  <c r="E568" i="25"/>
  <c r="E534" i="25"/>
  <c r="F541" i="25"/>
  <c r="F540" i="25"/>
  <c r="F535" i="25"/>
  <c r="E515" i="25"/>
  <c r="E496" i="25"/>
  <c r="F587" i="25"/>
  <c r="F493" i="25"/>
  <c r="F506" i="25"/>
  <c r="F481" i="25"/>
  <c r="F445" i="25"/>
  <c r="F413" i="25"/>
  <c r="F472" i="25"/>
  <c r="E437" i="25"/>
  <c r="F468" i="25"/>
  <c r="E436" i="25"/>
  <c r="F422" i="25"/>
  <c r="F432" i="25"/>
  <c r="E428" i="25"/>
  <c r="F390" i="25"/>
  <c r="F387" i="25"/>
  <c r="F352" i="25"/>
  <c r="F320" i="25"/>
  <c r="F288" i="25"/>
  <c r="E384" i="25"/>
  <c r="E391" i="25"/>
  <c r="E355" i="25"/>
  <c r="F355" i="25"/>
  <c r="F313" i="25"/>
  <c r="F273" i="25"/>
  <c r="E329" i="25"/>
  <c r="F287" i="25"/>
  <c r="F369" i="25"/>
  <c r="E301" i="25"/>
  <c r="E264" i="25"/>
  <c r="E232" i="25"/>
  <c r="F274" i="25"/>
  <c r="E224" i="25"/>
  <c r="E192" i="25"/>
  <c r="E160" i="25"/>
  <c r="E128" i="25"/>
  <c r="F262" i="25"/>
  <c r="F221" i="25"/>
  <c r="F249" i="25"/>
  <c r="F210" i="25"/>
  <c r="F178" i="25"/>
  <c r="F146" i="25"/>
  <c r="F114" i="25"/>
  <c r="F82" i="25"/>
  <c r="F50" i="25"/>
  <c r="F235" i="25"/>
  <c r="E161" i="25"/>
  <c r="E105" i="25"/>
  <c r="F63" i="25"/>
  <c r="F207" i="25"/>
  <c r="F143" i="25"/>
  <c r="F93" i="25"/>
  <c r="E52" i="25"/>
  <c r="F193" i="25"/>
  <c r="F129" i="25"/>
  <c r="F81" i="25"/>
  <c r="E40" i="25"/>
  <c r="E46" i="25"/>
  <c r="E135" i="25"/>
  <c r="F83" i="25"/>
  <c r="F91" i="25"/>
  <c r="E45" i="25"/>
  <c r="E37" i="25"/>
  <c r="F115" i="25"/>
  <c r="E613" i="25"/>
  <c r="E574" i="25"/>
  <c r="E490" i="25"/>
  <c r="F439" i="25"/>
  <c r="F379" i="25"/>
  <c r="E349" i="25"/>
  <c r="E293" i="25"/>
  <c r="F611" i="25"/>
  <c r="F607" i="25"/>
  <c r="F592" i="25"/>
  <c r="E591" i="25"/>
  <c r="E571" i="25"/>
  <c r="F568" i="25"/>
  <c r="F565" i="25"/>
  <c r="E532" i="25"/>
  <c r="F539" i="25"/>
  <c r="E572" i="25"/>
  <c r="E529" i="25"/>
  <c r="E513" i="25"/>
  <c r="E494" i="25"/>
  <c r="F524" i="25"/>
  <c r="F491" i="25"/>
  <c r="F504" i="25"/>
  <c r="E475" i="25"/>
  <c r="F443" i="25"/>
  <c r="F411" i="25"/>
  <c r="F471" i="25"/>
  <c r="E435" i="25"/>
  <c r="F467" i="25"/>
  <c r="E434" i="25"/>
  <c r="E421" i="25"/>
  <c r="E427" i="25"/>
  <c r="E426" i="25"/>
  <c r="F388" i="25"/>
  <c r="E386" i="25"/>
  <c r="F350" i="25"/>
  <c r="F318" i="25"/>
  <c r="F286" i="25"/>
  <c r="E379" i="25"/>
  <c r="F389" i="25"/>
  <c r="E353" i="25"/>
  <c r="E352" i="25"/>
  <c r="E312" i="25"/>
  <c r="F271" i="25"/>
  <c r="F327" i="25"/>
  <c r="E286" i="25"/>
  <c r="E341" i="25"/>
  <c r="F299" i="25"/>
  <c r="E262" i="25"/>
  <c r="E230" i="25"/>
  <c r="F266" i="25"/>
  <c r="E222" i="25"/>
  <c r="E190" i="25"/>
  <c r="E158" i="25"/>
  <c r="E126" i="25"/>
  <c r="F261" i="25"/>
  <c r="F367" i="25"/>
  <c r="E243" i="25"/>
  <c r="F208" i="25"/>
  <c r="F176" i="25"/>
  <c r="F144" i="25"/>
  <c r="F112" i="25"/>
  <c r="F80" i="25"/>
  <c r="F48" i="25"/>
  <c r="E221" i="25"/>
  <c r="E157" i="25"/>
  <c r="F103" i="25"/>
  <c r="E62" i="25"/>
  <c r="F203" i="25"/>
  <c r="F139" i="25"/>
  <c r="E92" i="25"/>
  <c r="E47" i="25"/>
  <c r="F189" i="25"/>
  <c r="F125" i="25"/>
  <c r="E80" i="25"/>
  <c r="E35" i="25"/>
  <c r="E41" i="25"/>
  <c r="F99" i="25"/>
  <c r="E50" i="25"/>
  <c r="E90" i="25"/>
  <c r="E24" i="25"/>
  <c r="E36" i="25"/>
  <c r="F51" i="25"/>
  <c r="E423" i="25"/>
  <c r="C633" i="25"/>
  <c r="F606" i="25"/>
  <c r="F590" i="25"/>
  <c r="E589" i="25"/>
  <c r="E569" i="25"/>
  <c r="F566" i="25"/>
  <c r="E560" i="25"/>
  <c r="E530" i="25"/>
  <c r="E578" i="25"/>
  <c r="E549" i="25"/>
  <c r="F528" i="25"/>
  <c r="E553" i="25"/>
  <c r="E492" i="25"/>
  <c r="F523" i="25"/>
  <c r="F489" i="25"/>
  <c r="F502" i="25"/>
  <c r="F474" i="25"/>
  <c r="F441" i="25"/>
  <c r="F409" i="25"/>
  <c r="E465" i="25"/>
  <c r="E433" i="25"/>
  <c r="E464" i="25"/>
  <c r="E432" i="25"/>
  <c r="E416" i="25"/>
  <c r="E422" i="25"/>
  <c r="F424" i="25"/>
  <c r="F386" i="25"/>
  <c r="E381" i="25"/>
  <c r="F348" i="25"/>
  <c r="F316" i="25"/>
  <c r="F284" i="25"/>
  <c r="F377" i="25"/>
  <c r="E388" i="25"/>
  <c r="E351" i="25"/>
  <c r="F351" i="25"/>
  <c r="E307" i="25"/>
  <c r="F269" i="25"/>
  <c r="E326" i="25"/>
  <c r="E281" i="25"/>
  <c r="F339" i="25"/>
  <c r="E298" i="25"/>
  <c r="E260" i="25"/>
  <c r="E228" i="25"/>
  <c r="F264" i="25"/>
  <c r="E220" i="25"/>
  <c r="E188" i="25"/>
  <c r="E156" i="25"/>
  <c r="E124" i="25"/>
  <c r="E255" i="25"/>
  <c r="E358" i="25"/>
  <c r="F242" i="25"/>
  <c r="F206" i="25"/>
  <c r="F174" i="25"/>
  <c r="F142" i="25"/>
  <c r="F110" i="25"/>
  <c r="F78" i="25"/>
  <c r="F46" i="25"/>
  <c r="E217" i="25"/>
  <c r="E153" i="25"/>
  <c r="E102" i="25"/>
  <c r="E57" i="25"/>
  <c r="F199" i="25"/>
  <c r="F135" i="25"/>
  <c r="E87" i="25"/>
  <c r="F45" i="25"/>
  <c r="F185" i="25"/>
  <c r="F121" i="25"/>
  <c r="E75" i="25"/>
  <c r="F33" i="25"/>
  <c r="F39" i="25"/>
  <c r="E98" i="25"/>
  <c r="F37" i="25"/>
  <c r="E85" i="25"/>
  <c r="E211" i="25"/>
  <c r="E34" i="25"/>
  <c r="E31" i="25"/>
  <c r="F204" i="25"/>
  <c r="F73" i="25"/>
  <c r="F44" i="25"/>
  <c r="F172" i="25"/>
  <c r="E32" i="25"/>
  <c r="F140" i="25"/>
  <c r="E33" i="25"/>
  <c r="F108" i="25"/>
  <c r="E93" i="25"/>
  <c r="F407" i="25"/>
  <c r="F76" i="25"/>
  <c r="F25" i="25"/>
  <c r="E430" i="25"/>
  <c r="F59" i="25"/>
  <c r="F282" i="25"/>
  <c r="E213" i="25"/>
  <c r="E195" i="25"/>
  <c r="E226" i="25"/>
  <c r="E149" i="25"/>
  <c r="E25" i="25"/>
  <c r="F263" i="25"/>
  <c r="E97" i="25"/>
  <c r="E19" i="25"/>
  <c r="F181" i="25"/>
  <c r="E218" i="25"/>
  <c r="E38" i="25"/>
  <c r="E186" i="25"/>
  <c r="F195" i="25"/>
  <c r="E154" i="25"/>
  <c r="F131" i="25"/>
  <c r="E115" i="25"/>
  <c r="E122" i="25"/>
  <c r="F85" i="25"/>
  <c r="F254" i="25"/>
  <c r="E44" i="25"/>
  <c r="F357" i="25"/>
  <c r="F241" i="25"/>
  <c r="P51" i="21"/>
  <c r="Q51" i="21" s="1"/>
  <c r="AE51" i="21" s="1"/>
  <c r="R51" i="21"/>
  <c r="S51" i="21" s="1"/>
  <c r="U51" i="21" s="1"/>
  <c r="R94" i="23"/>
  <c r="AN94" i="23" s="1"/>
  <c r="BE94" i="23" s="1"/>
  <c r="AF21" i="23"/>
  <c r="N34" i="23"/>
  <c r="Y34" i="23" s="1"/>
  <c r="Z34" i="23" s="1"/>
  <c r="AA34" i="23" s="1"/>
  <c r="AF51" i="21"/>
  <c r="AB21" i="23"/>
  <c r="AC21" i="23" s="1"/>
  <c r="AH85" i="23"/>
  <c r="AI85" i="23" s="1"/>
  <c r="Y94" i="23"/>
  <c r="Z94" i="23" s="1"/>
  <c r="AA94" i="23" s="1"/>
  <c r="V21" i="23"/>
  <c r="W21" i="23" s="1"/>
  <c r="X21" i="23" s="1"/>
  <c r="AF85" i="23"/>
  <c r="O67" i="23"/>
  <c r="AJ94" i="23"/>
  <c r="AH94" i="23"/>
  <c r="AI94" i="23" s="1"/>
  <c r="V85" i="23"/>
  <c r="W85" i="23" s="1"/>
  <c r="X85" i="23" s="1"/>
  <c r="O57" i="23"/>
  <c r="AF95" i="23"/>
  <c r="AB94" i="23"/>
  <c r="AC94" i="23" s="1"/>
  <c r="O94" i="23"/>
  <c r="P57" i="23"/>
  <c r="Q57" i="23" s="1"/>
  <c r="AE57" i="23" s="1"/>
  <c r="P67" i="23"/>
  <c r="Q67" i="23" s="1"/>
  <c r="AE67" i="23" s="1"/>
  <c r="N87" i="23"/>
  <c r="AB87" i="23" s="1"/>
  <c r="AC87" i="23" s="1"/>
  <c r="AH27" i="23"/>
  <c r="AI27" i="23" s="1"/>
  <c r="Y57" i="23"/>
  <c r="Z57" i="23" s="1"/>
  <c r="AA57" i="23" s="1"/>
  <c r="V72" i="23"/>
  <c r="W72" i="23" s="1"/>
  <c r="X72" i="23" s="1"/>
  <c r="N79" i="23"/>
  <c r="AN21" i="23"/>
  <c r="BE21" i="23" s="1"/>
  <c r="S21" i="23"/>
  <c r="U21" i="23" s="1"/>
  <c r="BA21" i="23" s="1"/>
  <c r="V22" i="23"/>
  <c r="W22" i="23" s="1"/>
  <c r="X22" i="23" s="1"/>
  <c r="O21" i="23"/>
  <c r="AF72" i="23"/>
  <c r="AK50" i="23"/>
  <c r="BD50" i="23" s="1"/>
  <c r="AX50" i="23" s="1"/>
  <c r="AF27" i="23"/>
  <c r="AF57" i="23"/>
  <c r="R67" i="23"/>
  <c r="O73" i="23"/>
  <c r="R82" i="23"/>
  <c r="S82" i="23" s="1"/>
  <c r="U82" i="23" s="1"/>
  <c r="BA82" i="23" s="1"/>
  <c r="P82" i="23"/>
  <c r="Q82" i="23" s="1"/>
  <c r="AE82" i="23" s="1"/>
  <c r="N102" i="23"/>
  <c r="Y102" i="23" s="1"/>
  <c r="Z102" i="23" s="1"/>
  <c r="AA102" i="23" s="1"/>
  <c r="Y27" i="23"/>
  <c r="Z27" i="23" s="1"/>
  <c r="AA27" i="23" s="1"/>
  <c r="P27" i="23"/>
  <c r="Q27" i="23" s="1"/>
  <c r="AE27" i="23" s="1"/>
  <c r="AJ27" i="23"/>
  <c r="O85" i="23"/>
  <c r="N44" i="23"/>
  <c r="AB44" i="23" s="1"/>
  <c r="AC44" i="23" s="1"/>
  <c r="AB85" i="23"/>
  <c r="AC85" i="23" s="1"/>
  <c r="B150" i="2"/>
  <c r="R85" i="23"/>
  <c r="B63" i="2"/>
  <c r="AJ85" i="23"/>
  <c r="AB95" i="23"/>
  <c r="AC95" i="23" s="1"/>
  <c r="AH95" i="23"/>
  <c r="AI95" i="23" s="1"/>
  <c r="P95" i="23"/>
  <c r="Q95" i="23" s="1"/>
  <c r="AE95" i="23" s="1"/>
  <c r="AN105" i="23"/>
  <c r="BE105" i="23" s="1"/>
  <c r="AJ84" i="23"/>
  <c r="P10" i="23"/>
  <c r="Q10" i="23" s="1"/>
  <c r="AE10" i="23" s="1"/>
  <c r="P84" i="23"/>
  <c r="Q84" i="23" s="1"/>
  <c r="AE84" i="23" s="1"/>
  <c r="AN70" i="23"/>
  <c r="BE70" i="23" s="1"/>
  <c r="AJ10" i="23"/>
  <c r="AK80" i="23"/>
  <c r="BD80" i="23" s="1"/>
  <c r="AX80" i="23" s="1"/>
  <c r="R10" i="23"/>
  <c r="S10" i="23" s="1"/>
  <c r="U10" i="23" s="1"/>
  <c r="V10" i="23"/>
  <c r="W10" i="23" s="1"/>
  <c r="X10" i="23" s="1"/>
  <c r="AF10" i="23"/>
  <c r="O10" i="23"/>
  <c r="AH10" i="23"/>
  <c r="AI10" i="23" s="1"/>
  <c r="AK104" i="23"/>
  <c r="BD104" i="23" s="1"/>
  <c r="AX104" i="23" s="1"/>
  <c r="AJ73" i="23"/>
  <c r="AB10" i="23"/>
  <c r="AC10" i="23" s="1"/>
  <c r="AH103" i="23"/>
  <c r="AI103" i="23" s="1"/>
  <c r="B70" i="2"/>
  <c r="P103" i="23"/>
  <c r="Q103" i="23" s="1"/>
  <c r="AE103" i="23" s="1"/>
  <c r="B134" i="2"/>
  <c r="B135" i="2" s="1"/>
  <c r="B139" i="2" s="1"/>
  <c r="E49" i="1" s="1"/>
  <c r="AH82" i="23"/>
  <c r="AI82" i="23" s="1"/>
  <c r="V103" i="23"/>
  <c r="W103" i="23" s="1"/>
  <c r="X103" i="23" s="1"/>
  <c r="O103" i="23"/>
  <c r="Y30" i="23"/>
  <c r="Z30" i="23" s="1"/>
  <c r="AA30" i="23" s="1"/>
  <c r="AB30" i="23"/>
  <c r="AC30" i="23" s="1"/>
  <c r="V73" i="23"/>
  <c r="W73" i="23" s="1"/>
  <c r="X73" i="23" s="1"/>
  <c r="Y82" i="23"/>
  <c r="Z82" i="23" s="1"/>
  <c r="AA82" i="23" s="1"/>
  <c r="AJ82" i="23"/>
  <c r="R95" i="23"/>
  <c r="AB103" i="23"/>
  <c r="AC103" i="23" s="1"/>
  <c r="AB73" i="23"/>
  <c r="AC73" i="23" s="1"/>
  <c r="B245" i="2"/>
  <c r="B76" i="1" s="1"/>
  <c r="B74" i="1"/>
  <c r="AK18" i="23"/>
  <c r="BD18" i="23" s="1"/>
  <c r="AX18" i="23" s="1"/>
  <c r="O95" i="23"/>
  <c r="AN9" i="23"/>
  <c r="BE9" i="23" s="1"/>
  <c r="AK9" i="23"/>
  <c r="BD9" i="23" s="1"/>
  <c r="AX9" i="23" s="1"/>
  <c r="AK93" i="23"/>
  <c r="BD93" i="23" s="1"/>
  <c r="AX93" i="23" s="1"/>
  <c r="AB84" i="23"/>
  <c r="AC84" i="23" s="1"/>
  <c r="AJ95" i="23"/>
  <c r="B100" i="2"/>
  <c r="B158" i="2"/>
  <c r="B114" i="2"/>
  <c r="B157" i="2"/>
  <c r="AH73" i="23"/>
  <c r="AI73" i="23" s="1"/>
  <c r="R84" i="23"/>
  <c r="N43" i="23"/>
  <c r="Y43" i="23" s="1"/>
  <c r="Z43" i="23" s="1"/>
  <c r="AA43" i="23" s="1"/>
  <c r="N26" i="23"/>
  <c r="AB26" i="23" s="1"/>
  <c r="AC26" i="23" s="1"/>
  <c r="N16" i="23"/>
  <c r="AB16" i="23" s="1"/>
  <c r="AC16" i="23" s="1"/>
  <c r="R30" i="23"/>
  <c r="N68" i="23"/>
  <c r="Y68" i="23" s="1"/>
  <c r="Z68" i="23" s="1"/>
  <c r="AA68" i="23" s="1"/>
  <c r="AF30" i="23"/>
  <c r="N89" i="23"/>
  <c r="AB89" i="23" s="1"/>
  <c r="AC89" i="23" s="1"/>
  <c r="AF73" i="23"/>
  <c r="Y73" i="23"/>
  <c r="Z73" i="23" s="1"/>
  <c r="AA73" i="23" s="1"/>
  <c r="N74" i="23"/>
  <c r="Y74" i="23" s="1"/>
  <c r="Z74" i="23" s="1"/>
  <c r="AA74" i="23" s="1"/>
  <c r="N47" i="23"/>
  <c r="AB47" i="23" s="1"/>
  <c r="AC47" i="23" s="1"/>
  <c r="R73" i="23"/>
  <c r="AH84" i="23"/>
  <c r="AI84" i="23" s="1"/>
  <c r="AF84" i="23"/>
  <c r="N88" i="23"/>
  <c r="AB88" i="23" s="1"/>
  <c r="AC88" i="23" s="1"/>
  <c r="N83" i="23"/>
  <c r="AB83" i="23" s="1"/>
  <c r="AC83" i="23" s="1"/>
  <c r="N51" i="23"/>
  <c r="Y51" i="23" s="1"/>
  <c r="Z51" i="23" s="1"/>
  <c r="AA51" i="23" s="1"/>
  <c r="V82" i="23"/>
  <c r="W82" i="23" s="1"/>
  <c r="X82" i="23" s="1"/>
  <c r="AB82" i="23"/>
  <c r="AC82" i="23" s="1"/>
  <c r="AH30" i="23"/>
  <c r="AI30" i="23" s="1"/>
  <c r="N92" i="23"/>
  <c r="Y92" i="23" s="1"/>
  <c r="Z92" i="23" s="1"/>
  <c r="AA92" i="23" s="1"/>
  <c r="N38" i="23"/>
  <c r="Y38" i="23" s="1"/>
  <c r="Z38" i="23" s="1"/>
  <c r="AA38" i="23" s="1"/>
  <c r="O82" i="23"/>
  <c r="N78" i="23"/>
  <c r="Y84" i="23"/>
  <c r="Z84" i="23" s="1"/>
  <c r="AA84" i="23" s="1"/>
  <c r="V84" i="23"/>
  <c r="W84" i="23" s="1"/>
  <c r="X84" i="23" s="1"/>
  <c r="N48" i="23"/>
  <c r="AH48" i="23" s="1"/>
  <c r="AI48" i="23" s="1"/>
  <c r="AF103" i="23"/>
  <c r="AJ103" i="23"/>
  <c r="R103" i="23"/>
  <c r="AJ30" i="23"/>
  <c r="O30" i="23"/>
  <c r="P30" i="23"/>
  <c r="Q30" i="23" s="1"/>
  <c r="AE30" i="23" s="1"/>
  <c r="AH51" i="21"/>
  <c r="AI51" i="21" s="1"/>
  <c r="Y23" i="23"/>
  <c r="Z23" i="23" s="1"/>
  <c r="AA23" i="23" s="1"/>
  <c r="AB23" i="23"/>
  <c r="AC23" i="23" s="1"/>
  <c r="AB51" i="21"/>
  <c r="AC51" i="21" s="1"/>
  <c r="BD64" i="23"/>
  <c r="AX64" i="23" s="1"/>
  <c r="O51" i="21"/>
  <c r="AJ51" i="21" s="1"/>
  <c r="AN104" i="23"/>
  <c r="BE104" i="23" s="1"/>
  <c r="V51" i="21"/>
  <c r="W51" i="21" s="1"/>
  <c r="X51" i="21" s="1"/>
  <c r="R77" i="21"/>
  <c r="S77" i="21" s="1"/>
  <c r="U77" i="21" s="1"/>
  <c r="BA77" i="21" s="1"/>
  <c r="P77" i="21"/>
  <c r="Q77" i="21" s="1"/>
  <c r="AE77" i="21" s="1"/>
  <c r="AD81" i="23"/>
  <c r="AD69" i="23"/>
  <c r="AG69" i="23" s="1"/>
  <c r="BC69" i="23" s="1"/>
  <c r="AW69" i="23" s="1"/>
  <c r="AD76" i="23"/>
  <c r="AD49" i="23"/>
  <c r="AD86" i="23"/>
  <c r="Y13" i="23"/>
  <c r="Z13" i="23" s="1"/>
  <c r="AA13" i="23" s="1"/>
  <c r="AH19" i="23"/>
  <c r="AI19" i="23" s="1"/>
  <c r="Y19" i="23"/>
  <c r="Z19" i="23" s="1"/>
  <c r="AA19" i="23" s="1"/>
  <c r="AD28" i="23"/>
  <c r="AB35" i="23"/>
  <c r="AC35" i="23" s="1"/>
  <c r="AD62" i="23"/>
  <c r="AD78" i="21"/>
  <c r="AD64" i="23"/>
  <c r="AG64" i="23" s="1"/>
  <c r="BB64" i="23" s="1"/>
  <c r="AD58" i="23"/>
  <c r="Y52" i="23"/>
  <c r="Z52" i="23" s="1"/>
  <c r="AA52" i="23" s="1"/>
  <c r="AD42" i="23"/>
  <c r="AD106" i="23"/>
  <c r="AD40" i="23"/>
  <c r="AD107" i="23"/>
  <c r="V39" i="23"/>
  <c r="W39" i="23" s="1"/>
  <c r="X39" i="23" s="1"/>
  <c r="AB39" i="23"/>
  <c r="AC39" i="23" s="1"/>
  <c r="R39" i="23"/>
  <c r="AF39" i="23"/>
  <c r="AJ39" i="23"/>
  <c r="AH39" i="23"/>
  <c r="AI39" i="23" s="1"/>
  <c r="O39" i="23"/>
  <c r="P39" i="23"/>
  <c r="Q39" i="23" s="1"/>
  <c r="AE39" i="23" s="1"/>
  <c r="AD108" i="23"/>
  <c r="AD63" i="23"/>
  <c r="AD75" i="23"/>
  <c r="AD41" i="23"/>
  <c r="AH58" i="23"/>
  <c r="AI58" i="23" s="1"/>
  <c r="O21" i="8"/>
  <c r="B172" i="2"/>
  <c r="N40" i="23"/>
  <c r="AH40" i="23" s="1"/>
  <c r="AI40" i="23" s="1"/>
  <c r="N63" i="23"/>
  <c r="AB63" i="23" s="1"/>
  <c r="AC63" i="23" s="1"/>
  <c r="P56" i="23"/>
  <c r="Q56" i="23" s="1"/>
  <c r="AE56" i="23" s="1"/>
  <c r="R56" i="23"/>
  <c r="V56" i="23"/>
  <c r="W56" i="23" s="1"/>
  <c r="X56" i="23" s="1"/>
  <c r="Y56" i="23"/>
  <c r="Z56" i="23" s="1"/>
  <c r="AA56" i="23" s="1"/>
  <c r="AJ56" i="23"/>
  <c r="AK56" i="23" s="1"/>
  <c r="BD56" i="23" s="1"/>
  <c r="AX56" i="23" s="1"/>
  <c r="AF56" i="23"/>
  <c r="O56" i="23"/>
  <c r="AB56" i="23"/>
  <c r="AC56" i="23" s="1"/>
  <c r="N108" i="23"/>
  <c r="AB108" i="23" s="1"/>
  <c r="AC108" i="23" s="1"/>
  <c r="N75" i="23"/>
  <c r="AB75" i="23" s="1"/>
  <c r="AC75" i="23" s="1"/>
  <c r="AJ24" i="23"/>
  <c r="AH24" i="23"/>
  <c r="AI24" i="23" s="1"/>
  <c r="P24" i="23"/>
  <c r="Q24" i="23" s="1"/>
  <c r="AE24" i="23" s="1"/>
  <c r="O24" i="23"/>
  <c r="R24" i="23"/>
  <c r="V24" i="23"/>
  <c r="W24" i="23" s="1"/>
  <c r="X24" i="23" s="1"/>
  <c r="AF24" i="23"/>
  <c r="Y24" i="23"/>
  <c r="Z24" i="23" s="1"/>
  <c r="AA24" i="23" s="1"/>
  <c r="AB24" i="23"/>
  <c r="AC24" i="23" s="1"/>
  <c r="AJ99" i="23"/>
  <c r="V99" i="23"/>
  <c r="W99" i="23" s="1"/>
  <c r="X99" i="23" s="1"/>
  <c r="R99" i="23"/>
  <c r="O99" i="23"/>
  <c r="AF99" i="23"/>
  <c r="P99" i="23"/>
  <c r="Q99" i="23" s="1"/>
  <c r="AE99" i="23" s="1"/>
  <c r="AB99" i="23"/>
  <c r="AC99" i="23" s="1"/>
  <c r="AH99" i="23"/>
  <c r="AI99" i="23" s="1"/>
  <c r="Y99" i="23"/>
  <c r="Z99" i="23" s="1"/>
  <c r="AA99" i="23" s="1"/>
  <c r="N76" i="23"/>
  <c r="Y76" i="23" s="1"/>
  <c r="Z76" i="23" s="1"/>
  <c r="AA76" i="23" s="1"/>
  <c r="V19" i="23"/>
  <c r="W19" i="23" s="1"/>
  <c r="X19" i="23" s="1"/>
  <c r="R19" i="23"/>
  <c r="P19" i="23"/>
  <c r="Q19" i="23" s="1"/>
  <c r="AE19" i="23" s="1"/>
  <c r="O19" i="23"/>
  <c r="AF19" i="23"/>
  <c r="AJ19" i="23"/>
  <c r="N41" i="23"/>
  <c r="AH41" i="23" s="1"/>
  <c r="AI41" i="23" s="1"/>
  <c r="V13" i="23"/>
  <c r="W13" i="23" s="1"/>
  <c r="X13" i="23" s="1"/>
  <c r="R13" i="23"/>
  <c r="O13" i="23"/>
  <c r="AH13" i="23"/>
  <c r="AI13" i="23" s="1"/>
  <c r="AF13" i="23"/>
  <c r="AJ13" i="23"/>
  <c r="P13" i="23"/>
  <c r="Q13" i="23" s="1"/>
  <c r="AE13" i="23" s="1"/>
  <c r="N18" i="21"/>
  <c r="Y18" i="21" s="1"/>
  <c r="Z18" i="21" s="1"/>
  <c r="AA18" i="21" s="1"/>
  <c r="V52" i="23"/>
  <c r="W52" i="23" s="1"/>
  <c r="X52" i="23" s="1"/>
  <c r="R52" i="23"/>
  <c r="AH52" i="23"/>
  <c r="AI52" i="23" s="1"/>
  <c r="P52" i="23"/>
  <c r="Q52" i="23" s="1"/>
  <c r="AE52" i="23" s="1"/>
  <c r="AF52" i="23"/>
  <c r="AJ52" i="23"/>
  <c r="O52" i="23"/>
  <c r="N107" i="23"/>
  <c r="AB107" i="23" s="1"/>
  <c r="AC107" i="23" s="1"/>
  <c r="N49" i="23"/>
  <c r="AB49" i="23" s="1"/>
  <c r="AC49" i="23" s="1"/>
  <c r="N62" i="23"/>
  <c r="Y62" i="23" s="1"/>
  <c r="Z62" i="23" s="1"/>
  <c r="AA62" i="23" s="1"/>
  <c r="N42" i="23"/>
  <c r="Y42" i="23" s="1"/>
  <c r="Z42" i="23" s="1"/>
  <c r="AA42" i="23" s="1"/>
  <c r="N28" i="23"/>
  <c r="AH28" i="23" s="1"/>
  <c r="AI28" i="23" s="1"/>
  <c r="N42" i="21"/>
  <c r="AB42" i="21" s="1"/>
  <c r="AC42" i="21" s="1"/>
  <c r="AD9" i="23"/>
  <c r="AG9" i="23" s="1"/>
  <c r="AD91" i="23"/>
  <c r="AD34" i="23"/>
  <c r="AD89" i="23"/>
  <c r="AD100" i="23"/>
  <c r="AD54" i="23"/>
  <c r="AD19" i="23"/>
  <c r="AD43" i="23"/>
  <c r="AD102" i="23"/>
  <c r="AD15" i="23"/>
  <c r="AG15" i="23" s="1"/>
  <c r="BC15" i="23" s="1"/>
  <c r="AW15" i="23" s="1"/>
  <c r="AD29" i="23"/>
  <c r="AG29" i="23" s="1"/>
  <c r="AD53" i="23"/>
  <c r="AD78" i="23"/>
  <c r="AD88" i="23"/>
  <c r="AD99" i="23"/>
  <c r="AD13" i="23"/>
  <c r="AD83" i="23"/>
  <c r="AD11" i="23"/>
  <c r="AD70" i="23"/>
  <c r="AG70" i="23" s="1"/>
  <c r="AD35" i="23"/>
  <c r="AD101" i="23"/>
  <c r="AD30" i="23"/>
  <c r="AD47" i="23"/>
  <c r="AD97" i="23"/>
  <c r="AG97" i="23" s="1"/>
  <c r="BC97" i="23" s="1"/>
  <c r="AW97" i="23" s="1"/>
  <c r="AD57" i="23"/>
  <c r="AD80" i="23"/>
  <c r="AG80" i="23" s="1"/>
  <c r="BC80" i="23" s="1"/>
  <c r="AW80" i="23" s="1"/>
  <c r="AD79" i="23"/>
  <c r="AD90" i="23"/>
  <c r="AD26" i="23"/>
  <c r="AD21" i="23"/>
  <c r="AD17" i="23"/>
  <c r="AD94" i="23"/>
  <c r="AD55" i="23"/>
  <c r="AD36" i="23"/>
  <c r="AD65" i="23"/>
  <c r="AD25" i="23"/>
  <c r="AD56" i="23"/>
  <c r="AD68" i="23"/>
  <c r="AD95" i="23"/>
  <c r="AD22" i="23"/>
  <c r="AD45" i="23"/>
  <c r="AD44" i="23"/>
  <c r="AD39" i="23"/>
  <c r="AD67" i="23"/>
  <c r="AD71" i="23"/>
  <c r="AD92" i="23"/>
  <c r="AD52" i="23"/>
  <c r="AD84" i="23"/>
  <c r="AD48" i="23"/>
  <c r="AD61" i="23"/>
  <c r="AD12" i="23"/>
  <c r="AD50" i="23"/>
  <c r="AG50" i="23" s="1"/>
  <c r="BC50" i="23" s="1"/>
  <c r="AW50" i="23" s="1"/>
  <c r="AD51" i="23"/>
  <c r="AD27" i="23"/>
  <c r="AD87" i="23"/>
  <c r="AD16" i="23"/>
  <c r="AD33" i="23"/>
  <c r="AD60" i="23"/>
  <c r="AD59" i="23"/>
  <c r="AD109" i="23"/>
  <c r="AD73" i="23"/>
  <c r="AD96" i="23"/>
  <c r="AG96" i="23" s="1"/>
  <c r="BB96" i="23" s="1"/>
  <c r="AD104" i="23"/>
  <c r="AG104" i="23" s="1"/>
  <c r="BC104" i="23" s="1"/>
  <c r="AW104" i="23" s="1"/>
  <c r="AD24" i="23"/>
  <c r="AD18" i="23"/>
  <c r="AG18" i="23" s="1"/>
  <c r="BC18" i="23" s="1"/>
  <c r="AW18" i="23" s="1"/>
  <c r="AD74" i="23"/>
  <c r="AD98" i="23"/>
  <c r="AD85" i="23"/>
  <c r="AD72" i="23"/>
  <c r="AD37" i="23"/>
  <c r="AD46" i="23"/>
  <c r="AD93" i="23"/>
  <c r="AG93" i="23" s="1"/>
  <c r="BC93" i="23" s="1"/>
  <c r="AW93" i="23" s="1"/>
  <c r="AD105" i="23"/>
  <c r="AG105" i="23" s="1"/>
  <c r="BC105" i="23" s="1"/>
  <c r="AW105" i="23" s="1"/>
  <c r="AD82" i="23"/>
  <c r="AD20" i="23"/>
  <c r="AD14" i="23"/>
  <c r="AD66" i="23"/>
  <c r="AD38" i="23"/>
  <c r="AD77" i="23"/>
  <c r="AG77" i="23" s="1"/>
  <c r="AD31" i="23"/>
  <c r="AD32" i="23"/>
  <c r="AG32" i="23" s="1"/>
  <c r="AD103" i="23"/>
  <c r="V35" i="23"/>
  <c r="W35" i="23" s="1"/>
  <c r="X35" i="23" s="1"/>
  <c r="AF35" i="23"/>
  <c r="R35" i="23"/>
  <c r="O35" i="23"/>
  <c r="Y35" i="23"/>
  <c r="Z35" i="23" s="1"/>
  <c r="AA35" i="23" s="1"/>
  <c r="P35" i="23"/>
  <c r="Q35" i="23" s="1"/>
  <c r="AE35" i="23" s="1"/>
  <c r="AJ35" i="23"/>
  <c r="AK35" i="23" s="1"/>
  <c r="BD35" i="23" s="1"/>
  <c r="AX35" i="23" s="1"/>
  <c r="AB58" i="23"/>
  <c r="AC58" i="23" s="1"/>
  <c r="AF58" i="23"/>
  <c r="R58" i="23"/>
  <c r="V58" i="23"/>
  <c r="W58" i="23" s="1"/>
  <c r="X58" i="23" s="1"/>
  <c r="P58" i="23"/>
  <c r="Q58" i="23" s="1"/>
  <c r="AE58" i="23" s="1"/>
  <c r="O58" i="23"/>
  <c r="AJ58" i="23"/>
  <c r="Y37" i="23"/>
  <c r="Z37" i="23" s="1"/>
  <c r="AA37" i="23" s="1"/>
  <c r="AB53" i="23"/>
  <c r="AC53" i="23" s="1"/>
  <c r="AD10" i="23"/>
  <c r="AF77" i="21"/>
  <c r="V77" i="21"/>
  <c r="W77" i="21" s="1"/>
  <c r="X77" i="21" s="1"/>
  <c r="V37" i="23"/>
  <c r="W37" i="23" s="1"/>
  <c r="X37" i="23" s="1"/>
  <c r="R37" i="23"/>
  <c r="AJ37" i="23"/>
  <c r="AK37" i="23" s="1"/>
  <c r="BD37" i="23" s="1"/>
  <c r="AX37" i="23" s="1"/>
  <c r="AF37" i="23"/>
  <c r="AB37" i="23"/>
  <c r="AC37" i="23" s="1"/>
  <c r="O37" i="23"/>
  <c r="P37" i="23"/>
  <c r="Q37" i="23" s="1"/>
  <c r="AE37" i="23" s="1"/>
  <c r="N86" i="23"/>
  <c r="Y86" i="23" s="1"/>
  <c r="Z86" i="23" s="1"/>
  <c r="AA86" i="23" s="1"/>
  <c r="R53" i="23"/>
  <c r="AF53" i="23"/>
  <c r="V53" i="23"/>
  <c r="W53" i="23" s="1"/>
  <c r="X53" i="23" s="1"/>
  <c r="O53" i="23"/>
  <c r="Y53" i="23"/>
  <c r="Z53" i="23" s="1"/>
  <c r="AA53" i="23" s="1"/>
  <c r="P53" i="23"/>
  <c r="Q53" i="23" s="1"/>
  <c r="AE53" i="23" s="1"/>
  <c r="AJ53" i="23"/>
  <c r="AK53" i="23" s="1"/>
  <c r="BD53" i="23" s="1"/>
  <c r="AX53" i="23" s="1"/>
  <c r="E623" i="17"/>
  <c r="F623" i="17"/>
  <c r="O77" i="21"/>
  <c r="AJ77" i="21" s="1"/>
  <c r="N81" i="23"/>
  <c r="AB81" i="23" s="1"/>
  <c r="AC81" i="23" s="1"/>
  <c r="AF23" i="23"/>
  <c r="P23" i="23"/>
  <c r="Q23" i="23" s="1"/>
  <c r="AE23" i="23" s="1"/>
  <c r="AJ23" i="23"/>
  <c r="AK23" i="23" s="1"/>
  <c r="BD23" i="23" s="1"/>
  <c r="AX23" i="23" s="1"/>
  <c r="O23" i="23"/>
  <c r="V23" i="23"/>
  <c r="W23" i="23" s="1"/>
  <c r="X23" i="23" s="1"/>
  <c r="R23" i="23"/>
  <c r="N106" i="23"/>
  <c r="Y77" i="21"/>
  <c r="Z77" i="21" s="1"/>
  <c r="AA77" i="21" s="1"/>
  <c r="AB77" i="21"/>
  <c r="AC77" i="21" s="1"/>
  <c r="AH77" i="21"/>
  <c r="AI77" i="21" s="1"/>
  <c r="N67" i="21"/>
  <c r="AH67" i="21" s="1"/>
  <c r="AI67" i="21" s="1"/>
  <c r="N87" i="21"/>
  <c r="AB87" i="21" s="1"/>
  <c r="AC87" i="21" s="1"/>
  <c r="N98" i="21"/>
  <c r="AH98" i="21" s="1"/>
  <c r="AI98" i="21" s="1"/>
  <c r="N79" i="21"/>
  <c r="Y79" i="21" s="1"/>
  <c r="Z79" i="21" s="1"/>
  <c r="AA79" i="21" s="1"/>
  <c r="AD83" i="21"/>
  <c r="AK32" i="23"/>
  <c r="BD32" i="23" s="1"/>
  <c r="AX32" i="23" s="1"/>
  <c r="AD74" i="21"/>
  <c r="AD99" i="21"/>
  <c r="AD45" i="21"/>
  <c r="S64" i="23"/>
  <c r="U64" i="23" s="1"/>
  <c r="AN64" i="23"/>
  <c r="BE64" i="23" s="1"/>
  <c r="BA105" i="23"/>
  <c r="AD108" i="21"/>
  <c r="AD58" i="21"/>
  <c r="AD19" i="21"/>
  <c r="S32" i="23"/>
  <c r="U32" i="23" s="1"/>
  <c r="AN32" i="23"/>
  <c r="BE32" i="23" s="1"/>
  <c r="J23" i="1"/>
  <c r="D103" i="2"/>
  <c r="D107" i="2" s="1"/>
  <c r="D104" i="2"/>
  <c r="D108" i="2" s="1"/>
  <c r="J24" i="1"/>
  <c r="D115" i="2"/>
  <c r="J40" i="1" s="1"/>
  <c r="D213" i="2"/>
  <c r="F6" i="25" s="1"/>
  <c r="D210" i="2"/>
  <c r="B213" i="2"/>
  <c r="F6" i="17" s="1"/>
  <c r="B210" i="2"/>
  <c r="E626" i="25"/>
  <c r="F626" i="25"/>
  <c r="P101" i="21"/>
  <c r="Q101" i="21" s="1"/>
  <c r="AE101" i="21" s="1"/>
  <c r="V45" i="21"/>
  <c r="W45" i="21" s="1"/>
  <c r="X45" i="21" s="1"/>
  <c r="V82" i="21"/>
  <c r="W82" i="21" s="1"/>
  <c r="X82" i="21" s="1"/>
  <c r="AF82" i="21"/>
  <c r="AK29" i="23"/>
  <c r="BD29" i="23" s="1"/>
  <c r="AX29" i="23" s="1"/>
  <c r="R99" i="21"/>
  <c r="S99" i="21" s="1"/>
  <c r="U99" i="21" s="1"/>
  <c r="P82" i="21"/>
  <c r="Q82" i="21" s="1"/>
  <c r="AE82" i="21" s="1"/>
  <c r="AK100" i="21"/>
  <c r="BD100" i="21" s="1"/>
  <c r="AX100" i="21" s="1"/>
  <c r="R54" i="21"/>
  <c r="S54" i="21" s="1"/>
  <c r="U54" i="21" s="1"/>
  <c r="AF54" i="21"/>
  <c r="Y75" i="21"/>
  <c r="Z75" i="21" s="1"/>
  <c r="AA75" i="21" s="1"/>
  <c r="Y76" i="21"/>
  <c r="Z76" i="21" s="1"/>
  <c r="AA76" i="21" s="1"/>
  <c r="AB76" i="21"/>
  <c r="AC76" i="21" s="1"/>
  <c r="O104" i="21"/>
  <c r="Y38" i="21"/>
  <c r="Z38" i="21" s="1"/>
  <c r="AA38" i="21" s="1"/>
  <c r="AH38" i="21"/>
  <c r="AI38" i="21" s="1"/>
  <c r="V56" i="21"/>
  <c r="W56" i="21" s="1"/>
  <c r="X56" i="21" s="1"/>
  <c r="AF56" i="21"/>
  <c r="P56" i="21"/>
  <c r="Q56" i="21" s="1"/>
  <c r="AE56" i="21" s="1"/>
  <c r="V88" i="21"/>
  <c r="W88" i="21" s="1"/>
  <c r="X88" i="21" s="1"/>
  <c r="P88" i="21"/>
  <c r="Q88" i="21" s="1"/>
  <c r="AE88" i="21" s="1"/>
  <c r="V21" i="21"/>
  <c r="W21" i="21" s="1"/>
  <c r="X21" i="21" s="1"/>
  <c r="R21" i="21"/>
  <c r="S21" i="21" s="1"/>
  <c r="U21" i="21" s="1"/>
  <c r="V96" i="21"/>
  <c r="W96" i="21" s="1"/>
  <c r="X96" i="21" s="1"/>
  <c r="R96" i="21"/>
  <c r="AN96" i="21" s="1"/>
  <c r="BE96" i="21" s="1"/>
  <c r="O96" i="21"/>
  <c r="AF96" i="21"/>
  <c r="AJ96" i="21"/>
  <c r="V23" i="21"/>
  <c r="W23" i="21" s="1"/>
  <c r="X23" i="21" s="1"/>
  <c r="R23" i="21"/>
  <c r="AN23" i="21" s="1"/>
  <c r="BE23" i="21" s="1"/>
  <c r="AF23" i="21"/>
  <c r="V47" i="21"/>
  <c r="W47" i="21" s="1"/>
  <c r="X47" i="21" s="1"/>
  <c r="O47" i="21"/>
  <c r="AJ47" i="21" s="1"/>
  <c r="P47" i="21"/>
  <c r="Q47" i="21" s="1"/>
  <c r="AE47" i="21" s="1"/>
  <c r="R47" i="21"/>
  <c r="S47" i="21" s="1"/>
  <c r="U47" i="21" s="1"/>
  <c r="AF47" i="21"/>
  <c r="V64" i="21"/>
  <c r="W64" i="21" s="1"/>
  <c r="X64" i="21" s="1"/>
  <c r="O64" i="21"/>
  <c r="V35" i="21"/>
  <c r="W35" i="21" s="1"/>
  <c r="X35" i="21" s="1"/>
  <c r="AF35" i="21"/>
  <c r="O35" i="21"/>
  <c r="AJ35" i="21" s="1"/>
  <c r="V39" i="21"/>
  <c r="W39" i="21" s="1"/>
  <c r="X39" i="21" s="1"/>
  <c r="O39" i="21"/>
  <c r="V19" i="21"/>
  <c r="W19" i="21" s="1"/>
  <c r="X19" i="21" s="1"/>
  <c r="AF19" i="21"/>
  <c r="V84" i="21"/>
  <c r="W84" i="21" s="1"/>
  <c r="X84" i="21" s="1"/>
  <c r="AJ84" i="21"/>
  <c r="R84" i="21"/>
  <c r="S84" i="21" s="1"/>
  <c r="U84" i="21" s="1"/>
  <c r="AF84" i="21"/>
  <c r="V102" i="21"/>
  <c r="W102" i="21" s="1"/>
  <c r="X102" i="21" s="1"/>
  <c r="R102" i="21"/>
  <c r="S102" i="21" s="1"/>
  <c r="U102" i="21" s="1"/>
  <c r="O102" i="21"/>
  <c r="AJ102" i="21"/>
  <c r="V12" i="21"/>
  <c r="W12" i="21" s="1"/>
  <c r="X12" i="21" s="1"/>
  <c r="AF12" i="21"/>
  <c r="R12" i="21"/>
  <c r="AN12" i="21" s="1"/>
  <c r="BE12" i="21" s="1"/>
  <c r="V46" i="21"/>
  <c r="W46" i="21" s="1"/>
  <c r="X46" i="21" s="1"/>
  <c r="P46" i="21"/>
  <c r="Q46" i="21" s="1"/>
  <c r="AE46" i="21" s="1"/>
  <c r="V57" i="21"/>
  <c r="W57" i="21" s="1"/>
  <c r="X57" i="21" s="1"/>
  <c r="O57" i="21"/>
  <c r="R57" i="21"/>
  <c r="AN57" i="21" s="1"/>
  <c r="BE57" i="21" s="1"/>
  <c r="V97" i="21"/>
  <c r="W97" i="21" s="1"/>
  <c r="X97" i="21" s="1"/>
  <c r="AF97" i="21"/>
  <c r="O97" i="21"/>
  <c r="V94" i="21"/>
  <c r="W94" i="21" s="1"/>
  <c r="X94" i="21" s="1"/>
  <c r="O94" i="21"/>
  <c r="AF94" i="21"/>
  <c r="AJ94" i="21"/>
  <c r="V93" i="21"/>
  <c r="W93" i="21" s="1"/>
  <c r="X93" i="21" s="1"/>
  <c r="R93" i="21"/>
  <c r="S93" i="21" s="1"/>
  <c r="U93" i="21" s="1"/>
  <c r="AF93" i="21"/>
  <c r="AJ93" i="21"/>
  <c r="R68" i="21"/>
  <c r="S68" i="21" s="1"/>
  <c r="U68" i="21" s="1"/>
  <c r="AF68" i="21"/>
  <c r="AF16" i="21"/>
  <c r="V16" i="21"/>
  <c r="W16" i="21" s="1"/>
  <c r="X16" i="21" s="1"/>
  <c r="R16" i="21"/>
  <c r="P16" i="21"/>
  <c r="Q16" i="21" s="1"/>
  <c r="AE16" i="21" s="1"/>
  <c r="O16" i="21"/>
  <c r="AJ16" i="21" s="1"/>
  <c r="BA70" i="23"/>
  <c r="BA77" i="23"/>
  <c r="AF104" i="21"/>
  <c r="AF28" i="21"/>
  <c r="BA93" i="23"/>
  <c r="BA97" i="23"/>
  <c r="R101" i="21"/>
  <c r="AN101" i="21" s="1"/>
  <c r="BE101" i="21" s="1"/>
  <c r="O45" i="21"/>
  <c r="AJ45" i="21" s="1"/>
  <c r="O32" i="21"/>
  <c r="AJ32" i="21" s="1"/>
  <c r="P28" i="21"/>
  <c r="Q28" i="21" s="1"/>
  <c r="AE28" i="21" s="1"/>
  <c r="BA18" i="23"/>
  <c r="AB75" i="21"/>
  <c r="AC75" i="21" s="1"/>
  <c r="AJ86" i="21"/>
  <c r="AF101" i="21"/>
  <c r="R45" i="21"/>
  <c r="AN45" i="21" s="1"/>
  <c r="BE45" i="21" s="1"/>
  <c r="P32" i="21"/>
  <c r="Q32" i="21" s="1"/>
  <c r="AE32" i="21" s="1"/>
  <c r="R86" i="21"/>
  <c r="S86" i="21" s="1"/>
  <c r="U86" i="21" s="1"/>
  <c r="AJ101" i="21"/>
  <c r="P45" i="21"/>
  <c r="Q45" i="21" s="1"/>
  <c r="AE45" i="21" s="1"/>
  <c r="O86" i="21"/>
  <c r="P14" i="21"/>
  <c r="Q14" i="21" s="1"/>
  <c r="AE14" i="21" s="1"/>
  <c r="O20" i="21"/>
  <c r="AJ20" i="21" s="1"/>
  <c r="BA80" i="23"/>
  <c r="AF95" i="21"/>
  <c r="AF14" i="21"/>
  <c r="P54" i="21"/>
  <c r="Q54" i="21" s="1"/>
  <c r="AE54" i="21" s="1"/>
  <c r="S29" i="23"/>
  <c r="U29" i="23" s="1"/>
  <c r="AN29" i="23"/>
  <c r="BE29" i="23" s="1"/>
  <c r="AJ95" i="21"/>
  <c r="R29" i="21"/>
  <c r="S29" i="21" s="1"/>
  <c r="U29" i="21" s="1"/>
  <c r="AJ99" i="21"/>
  <c r="P29" i="21"/>
  <c r="Q29" i="21" s="1"/>
  <c r="AE29" i="21" s="1"/>
  <c r="AJ68" i="21"/>
  <c r="AH16" i="21"/>
  <c r="AI16" i="21" s="1"/>
  <c r="O99" i="21"/>
  <c r="AF45" i="21"/>
  <c r="O68" i="21"/>
  <c r="AB16" i="21"/>
  <c r="AC16" i="21" s="1"/>
  <c r="V105" i="21"/>
  <c r="W105" i="21" s="1"/>
  <c r="X105" i="21" s="1"/>
  <c r="AF105" i="21"/>
  <c r="R105" i="21"/>
  <c r="O105" i="21"/>
  <c r="AJ105" i="21"/>
  <c r="P105" i="21"/>
  <c r="Q105" i="21" s="1"/>
  <c r="AE105" i="21" s="1"/>
  <c r="V17" i="21"/>
  <c r="W17" i="21" s="1"/>
  <c r="X17" i="21" s="1"/>
  <c r="O17" i="21"/>
  <c r="AJ17" i="21" s="1"/>
  <c r="P17" i="21"/>
  <c r="Q17" i="21" s="1"/>
  <c r="AE17" i="21" s="1"/>
  <c r="R17" i="21"/>
  <c r="AF17" i="21"/>
  <c r="V41" i="21"/>
  <c r="W41" i="21" s="1"/>
  <c r="X41" i="21" s="1"/>
  <c r="O41" i="21"/>
  <c r="AJ41" i="21" s="1"/>
  <c r="AF41" i="21"/>
  <c r="P41" i="21"/>
  <c r="Q41" i="21" s="1"/>
  <c r="AE41" i="21" s="1"/>
  <c r="R41" i="21"/>
  <c r="V61" i="21"/>
  <c r="W61" i="21" s="1"/>
  <c r="X61" i="21" s="1"/>
  <c r="O61" i="21"/>
  <c r="P61" i="21"/>
  <c r="Q61" i="21" s="1"/>
  <c r="AE61" i="21" s="1"/>
  <c r="AJ61" i="21"/>
  <c r="AF61" i="21"/>
  <c r="R61" i="21"/>
  <c r="V71" i="21"/>
  <c r="W71" i="21" s="1"/>
  <c r="X71" i="21" s="1"/>
  <c r="AJ71" i="21"/>
  <c r="P71" i="21"/>
  <c r="Q71" i="21" s="1"/>
  <c r="AE71" i="21" s="1"/>
  <c r="R71" i="21"/>
  <c r="O71" i="21"/>
  <c r="AF71" i="21"/>
  <c r="V108" i="21"/>
  <c r="W108" i="21" s="1"/>
  <c r="X108" i="21" s="1"/>
  <c r="R108" i="21"/>
  <c r="AF108" i="21"/>
  <c r="O108" i="21"/>
  <c r="AJ108" i="21"/>
  <c r="P108" i="21"/>
  <c r="Q108" i="21" s="1"/>
  <c r="AE108" i="21" s="1"/>
  <c r="V78" i="21"/>
  <c r="W78" i="21" s="1"/>
  <c r="X78" i="21" s="1"/>
  <c r="AF78" i="21"/>
  <c r="P78" i="21"/>
  <c r="Q78" i="21" s="1"/>
  <c r="AE78" i="21" s="1"/>
  <c r="R78" i="21"/>
  <c r="O78" i="21"/>
  <c r="AJ78" i="21" s="1"/>
  <c r="V33" i="21"/>
  <c r="W33" i="21" s="1"/>
  <c r="X33" i="21" s="1"/>
  <c r="AF33" i="21"/>
  <c r="O33" i="21"/>
  <c r="AJ33" i="21" s="1"/>
  <c r="R33" i="21"/>
  <c r="P33" i="21"/>
  <c r="Q33" i="21" s="1"/>
  <c r="AE33" i="21" s="1"/>
  <c r="V34" i="21"/>
  <c r="W34" i="21" s="1"/>
  <c r="X34" i="21" s="1"/>
  <c r="R34" i="21"/>
  <c r="AF34" i="21"/>
  <c r="O34" i="21"/>
  <c r="AJ34" i="21" s="1"/>
  <c r="P34" i="21"/>
  <c r="Q34" i="21" s="1"/>
  <c r="AE34" i="21" s="1"/>
  <c r="V27" i="21"/>
  <c r="W27" i="21" s="1"/>
  <c r="X27" i="21" s="1"/>
  <c r="AF27" i="21"/>
  <c r="R27" i="21"/>
  <c r="O27" i="21"/>
  <c r="AJ27" i="21" s="1"/>
  <c r="P27" i="21"/>
  <c r="Q27" i="21" s="1"/>
  <c r="AE27" i="21" s="1"/>
  <c r="V80" i="21"/>
  <c r="W80" i="21" s="1"/>
  <c r="X80" i="21" s="1"/>
  <c r="O80" i="21"/>
  <c r="P80" i="21"/>
  <c r="Q80" i="21" s="1"/>
  <c r="AE80" i="21" s="1"/>
  <c r="R80" i="21"/>
  <c r="AJ80" i="21"/>
  <c r="AF80" i="21"/>
  <c r="V70" i="21"/>
  <c r="W70" i="21" s="1"/>
  <c r="X70" i="21" s="1"/>
  <c r="P70" i="21"/>
  <c r="Q70" i="21" s="1"/>
  <c r="AE70" i="21" s="1"/>
  <c r="AF70" i="21"/>
  <c r="AJ70" i="21"/>
  <c r="R70" i="21"/>
  <c r="O70" i="21"/>
  <c r="R19" i="21"/>
  <c r="AJ91" i="21"/>
  <c r="P58" i="21"/>
  <c r="Q58" i="21" s="1"/>
  <c r="AE58" i="21" s="1"/>
  <c r="O30" i="21"/>
  <c r="AJ30" i="21" s="1"/>
  <c r="AD62" i="21"/>
  <c r="AD95" i="21"/>
  <c r="P64" i="21"/>
  <c r="Q64" i="21" s="1"/>
  <c r="AE64" i="21" s="1"/>
  <c r="AD49" i="21"/>
  <c r="AD41" i="21"/>
  <c r="AD15" i="21"/>
  <c r="AD81" i="21"/>
  <c r="Y60" i="21"/>
  <c r="Z60" i="21" s="1"/>
  <c r="AA60" i="21" s="1"/>
  <c r="AB60" i="21"/>
  <c r="AC60" i="21" s="1"/>
  <c r="AH60" i="21"/>
  <c r="AI60" i="21" s="1"/>
  <c r="AD82" i="21"/>
  <c r="V66" i="21"/>
  <c r="W66" i="21" s="1"/>
  <c r="X66" i="21" s="1"/>
  <c r="R66" i="21"/>
  <c r="P66" i="21"/>
  <c r="Q66" i="21" s="1"/>
  <c r="AE66" i="21" s="1"/>
  <c r="AJ66" i="21"/>
  <c r="AF66" i="21"/>
  <c r="O66" i="21"/>
  <c r="AD107" i="21"/>
  <c r="AF30" i="21"/>
  <c r="AD33" i="21"/>
  <c r="P39" i="21"/>
  <c r="Q39" i="21" s="1"/>
  <c r="AE39" i="21" s="1"/>
  <c r="AD48" i="21"/>
  <c r="AF10" i="21"/>
  <c r="O58" i="21"/>
  <c r="AD21" i="21"/>
  <c r="AF64" i="21"/>
  <c r="AB72" i="21"/>
  <c r="AC72" i="21" s="1"/>
  <c r="AH72" i="21"/>
  <c r="AI72" i="21" s="1"/>
  <c r="Y72" i="21"/>
  <c r="Z72" i="21" s="1"/>
  <c r="AA72" i="21" s="1"/>
  <c r="AB19" i="21"/>
  <c r="AC19" i="21" s="1"/>
  <c r="AH19" i="21"/>
  <c r="AI19" i="21" s="1"/>
  <c r="Y19" i="21"/>
  <c r="Z19" i="21" s="1"/>
  <c r="AA19" i="21" s="1"/>
  <c r="AD79" i="21"/>
  <c r="AD51" i="21"/>
  <c r="AD76" i="21"/>
  <c r="AD50" i="21"/>
  <c r="AD66" i="21"/>
  <c r="AD67" i="21"/>
  <c r="AD75" i="21"/>
  <c r="AD100" i="21"/>
  <c r="AG100" i="21" s="1"/>
  <c r="AD18" i="21"/>
  <c r="AD16" i="21"/>
  <c r="AD87" i="21"/>
  <c r="AD98" i="21"/>
  <c r="AD77" i="21"/>
  <c r="AD38" i="21"/>
  <c r="AD42" i="21"/>
  <c r="AD23" i="21"/>
  <c r="N13" i="21"/>
  <c r="AH66" i="21"/>
  <c r="AI66" i="21" s="1"/>
  <c r="R95" i="21"/>
  <c r="AJ64" i="21"/>
  <c r="AD96" i="21"/>
  <c r="AD39" i="21"/>
  <c r="AD84" i="21"/>
  <c r="P60" i="21"/>
  <c r="Q60" i="21" s="1"/>
  <c r="AE60" i="21" s="1"/>
  <c r="Y10" i="21"/>
  <c r="Z10" i="21" s="1"/>
  <c r="AA10" i="21" s="1"/>
  <c r="AH10" i="21"/>
  <c r="AI10" i="21" s="1"/>
  <c r="AB10" i="21"/>
  <c r="AC10" i="21" s="1"/>
  <c r="AD61" i="21"/>
  <c r="P19" i="21"/>
  <c r="Q19" i="21" s="1"/>
  <c r="AE19" i="21" s="1"/>
  <c r="AF26" i="21"/>
  <c r="P23" i="21"/>
  <c r="Q23" i="21" s="1"/>
  <c r="AE23" i="21" s="1"/>
  <c r="O82" i="21"/>
  <c r="Y66" i="21"/>
  <c r="Z66" i="21" s="1"/>
  <c r="AA66" i="21" s="1"/>
  <c r="AD55" i="21"/>
  <c r="O46" i="21"/>
  <c r="AJ46" i="21" s="1"/>
  <c r="R104" i="21"/>
  <c r="AD29" i="21"/>
  <c r="AB21" i="21"/>
  <c r="AC21" i="21" s="1"/>
  <c r="AH21" i="21"/>
  <c r="AI21" i="21" s="1"/>
  <c r="Y21" i="21"/>
  <c r="Z21" i="21" s="1"/>
  <c r="AA21" i="21" s="1"/>
  <c r="N89" i="21"/>
  <c r="AB89" i="21" s="1"/>
  <c r="AC89" i="21" s="1"/>
  <c r="P95" i="21"/>
  <c r="Q95" i="21" s="1"/>
  <c r="AE95" i="21" s="1"/>
  <c r="R72" i="21"/>
  <c r="AD24" i="21"/>
  <c r="AD25" i="21"/>
  <c r="R39" i="21"/>
  <c r="P84" i="21"/>
  <c r="Q84" i="21" s="1"/>
  <c r="AE84" i="21" s="1"/>
  <c r="AD92" i="21"/>
  <c r="R28" i="21"/>
  <c r="O60" i="21"/>
  <c r="AJ60" i="21" s="1"/>
  <c r="AD86" i="21"/>
  <c r="AN100" i="21"/>
  <c r="BE100" i="21" s="1"/>
  <c r="S100" i="21"/>
  <c r="U100" i="21" s="1"/>
  <c r="AB97" i="21"/>
  <c r="AC97" i="21" s="1"/>
  <c r="AH97" i="21"/>
  <c r="AI97" i="21" s="1"/>
  <c r="Y97" i="21"/>
  <c r="Z97" i="21" s="1"/>
  <c r="AA97" i="21" s="1"/>
  <c r="O19" i="21"/>
  <c r="AJ19" i="21" s="1"/>
  <c r="O26" i="21"/>
  <c r="AJ26" i="21" s="1"/>
  <c r="O23" i="21"/>
  <c r="AJ23" i="21" s="1"/>
  <c r="AF91" i="21"/>
  <c r="AH58" i="21"/>
  <c r="AI58" i="21" s="1"/>
  <c r="AB58" i="21"/>
  <c r="AC58" i="21" s="1"/>
  <c r="Y58" i="21"/>
  <c r="Z58" i="21" s="1"/>
  <c r="AA58" i="21" s="1"/>
  <c r="AD12" i="21"/>
  <c r="AD36" i="21"/>
  <c r="AB14" i="21"/>
  <c r="AC14" i="21" s="1"/>
  <c r="AH14" i="21"/>
  <c r="AI14" i="21" s="1"/>
  <c r="Y14" i="21"/>
  <c r="Z14" i="21" s="1"/>
  <c r="AA14" i="21" s="1"/>
  <c r="R46" i="21"/>
  <c r="N74" i="21"/>
  <c r="AB74" i="21" s="1"/>
  <c r="AC74" i="21" s="1"/>
  <c r="P104" i="21"/>
  <c r="Q104" i="21" s="1"/>
  <c r="AE104" i="21" s="1"/>
  <c r="R20" i="21"/>
  <c r="AH30" i="21"/>
  <c r="AI30" i="21" s="1"/>
  <c r="AB30" i="21"/>
  <c r="AC30" i="21" s="1"/>
  <c r="Y30" i="21"/>
  <c r="Z30" i="21" s="1"/>
  <c r="AA30" i="21" s="1"/>
  <c r="AF21" i="21"/>
  <c r="O88" i="21"/>
  <c r="AH64" i="21"/>
  <c r="AI64" i="21" s="1"/>
  <c r="AB64" i="21"/>
  <c r="AC64" i="21" s="1"/>
  <c r="Y64" i="21"/>
  <c r="Z64" i="21" s="1"/>
  <c r="AA64" i="21" s="1"/>
  <c r="AD65" i="21"/>
  <c r="AD72" i="21"/>
  <c r="AF31" i="21"/>
  <c r="N59" i="21"/>
  <c r="N81" i="21"/>
  <c r="AH81" i="21" s="1"/>
  <c r="AI81" i="21" s="1"/>
  <c r="B113" i="2"/>
  <c r="B128" i="2"/>
  <c r="E39" i="1" s="1"/>
  <c r="B81" i="2"/>
  <c r="B90" i="2" s="1"/>
  <c r="B93" i="2" s="1"/>
  <c r="B62" i="2"/>
  <c r="B64" i="2" s="1"/>
  <c r="B124" i="2"/>
  <c r="B121" i="2"/>
  <c r="B122" i="2" s="1"/>
  <c r="E35" i="1" s="1"/>
  <c r="B69" i="2"/>
  <c r="E30" i="1" s="1"/>
  <c r="B80" i="21"/>
  <c r="B81" i="21" s="1"/>
  <c r="B71" i="21"/>
  <c r="B99" i="2"/>
  <c r="B66" i="2"/>
  <c r="AD14" i="21"/>
  <c r="AD70" i="21"/>
  <c r="AD63" i="21"/>
  <c r="P97" i="21"/>
  <c r="Q97" i="21" s="1"/>
  <c r="AE97" i="21" s="1"/>
  <c r="R26" i="21"/>
  <c r="AF58" i="21"/>
  <c r="R36" i="21"/>
  <c r="N37" i="21"/>
  <c r="Y37" i="21" s="1"/>
  <c r="Z37" i="21" s="1"/>
  <c r="AA37" i="21" s="1"/>
  <c r="P11" i="21"/>
  <c r="Q11" i="21" s="1"/>
  <c r="AE11" i="21" s="1"/>
  <c r="AF46" i="21"/>
  <c r="AD101" i="21"/>
  <c r="AD80" i="21"/>
  <c r="AD104" i="21"/>
  <c r="AD20" i="21"/>
  <c r="P30" i="21"/>
  <c r="Q30" i="21" s="1"/>
  <c r="AE30" i="21" s="1"/>
  <c r="AD64" i="21"/>
  <c r="AF72" i="21"/>
  <c r="R31" i="21"/>
  <c r="AB39" i="21"/>
  <c r="AC39" i="21" s="1"/>
  <c r="AH39" i="21"/>
  <c r="AI39" i="21" s="1"/>
  <c r="Y39" i="21"/>
  <c r="Z39" i="21" s="1"/>
  <c r="AA39" i="21" s="1"/>
  <c r="N85" i="21"/>
  <c r="AB85" i="21" s="1"/>
  <c r="AC85" i="21" s="1"/>
  <c r="AD54" i="21"/>
  <c r="AD68" i="21"/>
  <c r="AD93" i="21"/>
  <c r="AD9" i="21"/>
  <c r="R65" i="21"/>
  <c r="AB82" i="21"/>
  <c r="AC82" i="21" s="1"/>
  <c r="AH82" i="21"/>
  <c r="AI82" i="21" s="1"/>
  <c r="Y82" i="21"/>
  <c r="Z82" i="21" s="1"/>
  <c r="AA82" i="21" s="1"/>
  <c r="AH91" i="21"/>
  <c r="AI91" i="21" s="1"/>
  <c r="AB91" i="21"/>
  <c r="AC91" i="21" s="1"/>
  <c r="Y91" i="21"/>
  <c r="Z91" i="21" s="1"/>
  <c r="AA91" i="21" s="1"/>
  <c r="AH12" i="21"/>
  <c r="AI12" i="21" s="1"/>
  <c r="Y12" i="21"/>
  <c r="Z12" i="21" s="1"/>
  <c r="AA12" i="21" s="1"/>
  <c r="AB12" i="21"/>
  <c r="AC12" i="21" s="1"/>
  <c r="AH36" i="21"/>
  <c r="AI36" i="21" s="1"/>
  <c r="AB36" i="21"/>
  <c r="AC36" i="21" s="1"/>
  <c r="Y36" i="21"/>
  <c r="Z36" i="21" s="1"/>
  <c r="AA36" i="21" s="1"/>
  <c r="AD37" i="21"/>
  <c r="AD11" i="21"/>
  <c r="N9" i="21"/>
  <c r="AB9" i="21" s="1"/>
  <c r="AC9" i="21" s="1"/>
  <c r="Y80" i="21"/>
  <c r="Z80" i="21" s="1"/>
  <c r="AA80" i="21" s="1"/>
  <c r="AB80" i="21"/>
  <c r="AC80" i="21" s="1"/>
  <c r="AH80" i="21"/>
  <c r="AI80" i="21" s="1"/>
  <c r="Y34" i="21"/>
  <c r="Z34" i="21" s="1"/>
  <c r="AA34" i="21" s="1"/>
  <c r="AH34" i="21"/>
  <c r="AI34" i="21" s="1"/>
  <c r="AB34" i="21"/>
  <c r="AC34" i="21" s="1"/>
  <c r="AF29" i="21"/>
  <c r="O95" i="21"/>
  <c r="R88" i="21"/>
  <c r="AD32" i="21"/>
  <c r="R56" i="21"/>
  <c r="AH84" i="21"/>
  <c r="AI84" i="21" s="1"/>
  <c r="AB84" i="21"/>
  <c r="AC84" i="21" s="1"/>
  <c r="Y84" i="21"/>
  <c r="Z84" i="21" s="1"/>
  <c r="AA84" i="21" s="1"/>
  <c r="O28" i="21"/>
  <c r="AJ28" i="21" s="1"/>
  <c r="O93" i="21"/>
  <c r="O10" i="21"/>
  <c r="AJ10" i="21" s="1"/>
  <c r="N106" i="21"/>
  <c r="AF86" i="21"/>
  <c r="AH26" i="21"/>
  <c r="AI26" i="21" s="1"/>
  <c r="Y26" i="21"/>
  <c r="Z26" i="21" s="1"/>
  <c r="AA26" i="21" s="1"/>
  <c r="AB26" i="21"/>
  <c r="AC26" i="21" s="1"/>
  <c r="P94" i="21"/>
  <c r="Q94" i="21" s="1"/>
  <c r="AE94" i="21" s="1"/>
  <c r="AF102" i="21"/>
  <c r="AB46" i="21"/>
  <c r="AC46" i="21" s="1"/>
  <c r="Y46" i="21"/>
  <c r="Z46" i="21" s="1"/>
  <c r="AA46" i="21" s="1"/>
  <c r="AH46" i="21"/>
  <c r="AI46" i="21" s="1"/>
  <c r="AD103" i="21"/>
  <c r="AJ104" i="21"/>
  <c r="AD69" i="21"/>
  <c r="O29" i="21"/>
  <c r="AJ29" i="21" s="1"/>
  <c r="AD44" i="21"/>
  <c r="AH57" i="21"/>
  <c r="AI57" i="21" s="1"/>
  <c r="Y57" i="21"/>
  <c r="Z57" i="21" s="1"/>
  <c r="AA57" i="21" s="1"/>
  <c r="AB57" i="21"/>
  <c r="AC57" i="21" s="1"/>
  <c r="AD88" i="21"/>
  <c r="O65" i="21"/>
  <c r="AJ65" i="21" s="1"/>
  <c r="O72" i="21"/>
  <c r="AJ72" i="21" s="1"/>
  <c r="AH96" i="21"/>
  <c r="AI96" i="21" s="1"/>
  <c r="AB96" i="21"/>
  <c r="AC96" i="21" s="1"/>
  <c r="Y96" i="21"/>
  <c r="Z96" i="21" s="1"/>
  <c r="AA96" i="21" s="1"/>
  <c r="R32" i="21"/>
  <c r="O31" i="21"/>
  <c r="AJ31" i="21" s="1"/>
  <c r="AH56" i="21"/>
  <c r="AI56" i="21" s="1"/>
  <c r="Y56" i="21"/>
  <c r="Z56" i="21" s="1"/>
  <c r="AA56" i="21" s="1"/>
  <c r="AB56" i="21"/>
  <c r="AC56" i="21" s="1"/>
  <c r="AD47" i="21"/>
  <c r="O84" i="21"/>
  <c r="AD28" i="21"/>
  <c r="AD26" i="21"/>
  <c r="AD40" i="21"/>
  <c r="R10" i="21"/>
  <c r="N63" i="21"/>
  <c r="AB63" i="21" s="1"/>
  <c r="AC63" i="21" s="1"/>
  <c r="N83" i="21"/>
  <c r="AH83" i="21" s="1"/>
  <c r="AI83" i="21" s="1"/>
  <c r="V75" i="21"/>
  <c r="W75" i="21" s="1"/>
  <c r="X75" i="21" s="1"/>
  <c r="R75" i="21"/>
  <c r="O75" i="21"/>
  <c r="P75" i="21"/>
  <c r="Q75" i="21" s="1"/>
  <c r="AE75" i="21" s="1"/>
  <c r="AF75" i="21"/>
  <c r="AJ75" i="21"/>
  <c r="AK75" i="21" s="1"/>
  <c r="BD75" i="21" s="1"/>
  <c r="AX75" i="21" s="1"/>
  <c r="AD73" i="21"/>
  <c r="AD91" i="21"/>
  <c r="AF36" i="21"/>
  <c r="AD94" i="21"/>
  <c r="P102" i="21"/>
  <c r="Q102" i="21" s="1"/>
  <c r="AE102" i="21" s="1"/>
  <c r="R35" i="21"/>
  <c r="R11" i="21"/>
  <c r="O101" i="21"/>
  <c r="AH104" i="21"/>
  <c r="AI104" i="21" s="1"/>
  <c r="Y104" i="21"/>
  <c r="Z104" i="21" s="1"/>
  <c r="AA104" i="21" s="1"/>
  <c r="AB104" i="21"/>
  <c r="AC104" i="21" s="1"/>
  <c r="N69" i="21"/>
  <c r="AF57" i="21"/>
  <c r="P72" i="21"/>
  <c r="Q72" i="21" s="1"/>
  <c r="AE72" i="21" s="1"/>
  <c r="N24" i="21"/>
  <c r="AB24" i="21" s="1"/>
  <c r="AC24" i="21" s="1"/>
  <c r="P96" i="21"/>
  <c r="Q96" i="21" s="1"/>
  <c r="AE96" i="21" s="1"/>
  <c r="P31" i="21"/>
  <c r="Q31" i="21" s="1"/>
  <c r="AE31" i="21" s="1"/>
  <c r="N25" i="21"/>
  <c r="Y25" i="21" s="1"/>
  <c r="Z25" i="21" s="1"/>
  <c r="AA25" i="21" s="1"/>
  <c r="N15" i="21"/>
  <c r="AB15" i="21" s="1"/>
  <c r="AC15" i="21" s="1"/>
  <c r="O56" i="21"/>
  <c r="AJ56" i="21" s="1"/>
  <c r="N92" i="21"/>
  <c r="AB92" i="21" s="1"/>
  <c r="AC92" i="21" s="1"/>
  <c r="Y68" i="21"/>
  <c r="Z68" i="21" s="1"/>
  <c r="AA68" i="21" s="1"/>
  <c r="AH68" i="21"/>
  <c r="AI68" i="21" s="1"/>
  <c r="AB68" i="21"/>
  <c r="AC68" i="21" s="1"/>
  <c r="AD60" i="21"/>
  <c r="AD10" i="21"/>
  <c r="R97" i="21"/>
  <c r="AF99" i="21"/>
  <c r="N109" i="21"/>
  <c r="AB23" i="21"/>
  <c r="AC23" i="21" s="1"/>
  <c r="AH23" i="21"/>
  <c r="AI23" i="21" s="1"/>
  <c r="Y23" i="21"/>
  <c r="Z23" i="21" s="1"/>
  <c r="AA23" i="21" s="1"/>
  <c r="R91" i="21"/>
  <c r="AD13" i="21"/>
  <c r="P12" i="21"/>
  <c r="Q12" i="21" s="1"/>
  <c r="AE12" i="21" s="1"/>
  <c r="P36" i="21"/>
  <c r="Q36" i="21" s="1"/>
  <c r="AE36" i="21" s="1"/>
  <c r="AD102" i="21"/>
  <c r="AD35" i="21"/>
  <c r="O11" i="21"/>
  <c r="AJ11" i="21" s="1"/>
  <c r="AH20" i="21"/>
  <c r="AI20" i="21" s="1"/>
  <c r="AB20" i="21"/>
  <c r="AC20" i="21" s="1"/>
  <c r="Y20" i="21"/>
  <c r="Z20" i="21" s="1"/>
  <c r="AA20" i="21" s="1"/>
  <c r="P21" i="21"/>
  <c r="Q21" i="21" s="1"/>
  <c r="AE21" i="21" s="1"/>
  <c r="P57" i="21"/>
  <c r="Q57" i="21" s="1"/>
  <c r="AE57" i="21" s="1"/>
  <c r="AH95" i="21"/>
  <c r="AI95" i="21" s="1"/>
  <c r="AB95" i="21"/>
  <c r="AC95" i="21" s="1"/>
  <c r="Y95" i="21"/>
  <c r="Z95" i="21" s="1"/>
  <c r="AA95" i="21" s="1"/>
  <c r="AH78" i="21"/>
  <c r="AI78" i="21" s="1"/>
  <c r="AB78" i="21"/>
  <c r="AC78" i="21" s="1"/>
  <c r="Y78" i="21"/>
  <c r="Z78" i="21" s="1"/>
  <c r="AA78" i="21" s="1"/>
  <c r="P65" i="21"/>
  <c r="Q65" i="21" s="1"/>
  <c r="AE65" i="21" s="1"/>
  <c r="Y32" i="21"/>
  <c r="Z32" i="21" s="1"/>
  <c r="AA32" i="21" s="1"/>
  <c r="AH32" i="21"/>
  <c r="AI32" i="21" s="1"/>
  <c r="AB32" i="21"/>
  <c r="AC32" i="21" s="1"/>
  <c r="AH31" i="21"/>
  <c r="AI31" i="21" s="1"/>
  <c r="AB31" i="21"/>
  <c r="AC31" i="21" s="1"/>
  <c r="Y31" i="21"/>
  <c r="Z31" i="21" s="1"/>
  <c r="AA31" i="21" s="1"/>
  <c r="AD17" i="21"/>
  <c r="AD71" i="21"/>
  <c r="AH28" i="21"/>
  <c r="AI28" i="21" s="1"/>
  <c r="Y28" i="21"/>
  <c r="Z28" i="21" s="1"/>
  <c r="AA28" i="21" s="1"/>
  <c r="AB28" i="21"/>
  <c r="AC28" i="21" s="1"/>
  <c r="R60" i="21"/>
  <c r="AH93" i="21"/>
  <c r="AI93" i="21" s="1"/>
  <c r="Y93" i="21"/>
  <c r="Z93" i="21" s="1"/>
  <c r="AA93" i="21" s="1"/>
  <c r="AB93" i="21"/>
  <c r="AC93" i="21" s="1"/>
  <c r="AD52" i="21"/>
  <c r="P26" i="21"/>
  <c r="Q26" i="21" s="1"/>
  <c r="AE26" i="21" s="1"/>
  <c r="AD109" i="21"/>
  <c r="P91" i="21"/>
  <c r="Q91" i="21" s="1"/>
  <c r="AE91" i="21" s="1"/>
  <c r="N107" i="21"/>
  <c r="AB107" i="21" s="1"/>
  <c r="AC107" i="21" s="1"/>
  <c r="R94" i="21"/>
  <c r="N55" i="21"/>
  <c r="AH55" i="21" s="1"/>
  <c r="AI55" i="21" s="1"/>
  <c r="AB11" i="21"/>
  <c r="AC11" i="21" s="1"/>
  <c r="AH11" i="21"/>
  <c r="AI11" i="21" s="1"/>
  <c r="Y11" i="21"/>
  <c r="Z11" i="21" s="1"/>
  <c r="AA11" i="21" s="1"/>
  <c r="AH29" i="21"/>
  <c r="AI29" i="21" s="1"/>
  <c r="Y29" i="21"/>
  <c r="Z29" i="21" s="1"/>
  <c r="AA29" i="21" s="1"/>
  <c r="AB29" i="21"/>
  <c r="AC29" i="21" s="1"/>
  <c r="O21" i="21"/>
  <c r="AJ21" i="21" s="1"/>
  <c r="AD89" i="21"/>
  <c r="N44" i="21"/>
  <c r="AH44" i="21" s="1"/>
  <c r="AI44" i="21" s="1"/>
  <c r="AJ57" i="21"/>
  <c r="AF88" i="21"/>
  <c r="AH65" i="21"/>
  <c r="AI65" i="21" s="1"/>
  <c r="Y65" i="21"/>
  <c r="Z65" i="21" s="1"/>
  <c r="AA65" i="21" s="1"/>
  <c r="AB65" i="21"/>
  <c r="AC65" i="21" s="1"/>
  <c r="AD90" i="21"/>
  <c r="AF32" i="21"/>
  <c r="AD85" i="21"/>
  <c r="AD22" i="21"/>
  <c r="N48" i="21"/>
  <c r="AH48" i="21" s="1"/>
  <c r="AI48" i="21" s="1"/>
  <c r="P93" i="21"/>
  <c r="Q93" i="21" s="1"/>
  <c r="AE93" i="21" s="1"/>
  <c r="Y61" i="21"/>
  <c r="Z61" i="21" s="1"/>
  <c r="AA61" i="21" s="1"/>
  <c r="AH61" i="21"/>
  <c r="AI61" i="21" s="1"/>
  <c r="AB61" i="21"/>
  <c r="AC61" i="21" s="1"/>
  <c r="P10" i="21"/>
  <c r="Q10" i="21" s="1"/>
  <c r="AE10" i="21" s="1"/>
  <c r="AH99" i="21"/>
  <c r="AI99" i="21" s="1"/>
  <c r="AB99" i="21"/>
  <c r="AC99" i="21" s="1"/>
  <c r="Y99" i="21"/>
  <c r="Z99" i="21" s="1"/>
  <c r="AA99" i="21" s="1"/>
  <c r="AJ82" i="21"/>
  <c r="N73" i="21"/>
  <c r="AB73" i="21" s="1"/>
  <c r="AC73" i="21" s="1"/>
  <c r="O91" i="21"/>
  <c r="AJ58" i="21"/>
  <c r="O12" i="21"/>
  <c r="AJ12" i="21" s="1"/>
  <c r="O14" i="21"/>
  <c r="AJ14" i="21" s="1"/>
  <c r="P35" i="21"/>
  <c r="Q35" i="21" s="1"/>
  <c r="AE35" i="21" s="1"/>
  <c r="AD46" i="21"/>
  <c r="N103" i="21"/>
  <c r="Y103" i="21" s="1"/>
  <c r="Z103" i="21" s="1"/>
  <c r="AA103" i="21" s="1"/>
  <c r="AD43" i="21"/>
  <c r="AD34" i="21"/>
  <c r="AF20" i="21"/>
  <c r="AD30" i="21"/>
  <c r="AD57" i="21"/>
  <c r="AH88" i="21"/>
  <c r="AI88" i="21" s="1"/>
  <c r="Y88" i="21"/>
  <c r="Z88" i="21" s="1"/>
  <c r="AA88" i="21" s="1"/>
  <c r="AB88" i="21"/>
  <c r="AC88" i="21" s="1"/>
  <c r="R64" i="21"/>
  <c r="N49" i="21"/>
  <c r="Y49" i="21" s="1"/>
  <c r="Z49" i="21" s="1"/>
  <c r="AA49" i="21" s="1"/>
  <c r="AD31" i="21"/>
  <c r="AF39" i="21"/>
  <c r="AB47" i="21"/>
  <c r="AC47" i="21" s="1"/>
  <c r="Y47" i="21"/>
  <c r="Z47" i="21" s="1"/>
  <c r="AA47" i="21" s="1"/>
  <c r="AH47" i="21"/>
  <c r="AI47" i="21" s="1"/>
  <c r="AB71" i="21"/>
  <c r="AC71" i="21" s="1"/>
  <c r="Y71" i="21"/>
  <c r="Z71" i="21" s="1"/>
  <c r="AA71" i="21" s="1"/>
  <c r="AH71" i="21"/>
  <c r="AI71" i="21" s="1"/>
  <c r="AH54" i="21"/>
  <c r="AI54" i="21" s="1"/>
  <c r="AB54" i="21"/>
  <c r="AC54" i="21" s="1"/>
  <c r="Y54" i="21"/>
  <c r="Z54" i="21" s="1"/>
  <c r="AA54" i="21" s="1"/>
  <c r="P68" i="21"/>
  <c r="Q68" i="21" s="1"/>
  <c r="AE68" i="21" s="1"/>
  <c r="AF60" i="21"/>
  <c r="AH70" i="21"/>
  <c r="AI70" i="21" s="1"/>
  <c r="AB70" i="21"/>
  <c r="AC70" i="21" s="1"/>
  <c r="Y70" i="21"/>
  <c r="Z70" i="21" s="1"/>
  <c r="AA70" i="21" s="1"/>
  <c r="AH33" i="21"/>
  <c r="AI33" i="21" s="1"/>
  <c r="Y33" i="21"/>
  <c r="Z33" i="21" s="1"/>
  <c r="AA33" i="21" s="1"/>
  <c r="AB33" i="21"/>
  <c r="AC33" i="21" s="1"/>
  <c r="AJ97" i="21"/>
  <c r="N52" i="21"/>
  <c r="Y52" i="21" s="1"/>
  <c r="Z52" i="21" s="1"/>
  <c r="AA52" i="21" s="1"/>
  <c r="N40" i="21"/>
  <c r="AH40" i="21" s="1"/>
  <c r="AI40" i="21" s="1"/>
  <c r="AH86" i="21"/>
  <c r="AI86" i="21" s="1"/>
  <c r="AB86" i="21"/>
  <c r="AC86" i="21" s="1"/>
  <c r="Y86" i="21"/>
  <c r="Z86" i="21" s="1"/>
  <c r="AA86" i="21" s="1"/>
  <c r="AD106" i="21"/>
  <c r="P76" i="21"/>
  <c r="Q76" i="21" s="1"/>
  <c r="AE76" i="21" s="1"/>
  <c r="R76" i="21"/>
  <c r="AF76" i="21"/>
  <c r="O76" i="21"/>
  <c r="V76" i="21"/>
  <c r="W76" i="21" s="1"/>
  <c r="X76" i="21" s="1"/>
  <c r="AJ76" i="21"/>
  <c r="AK76" i="21" s="1"/>
  <c r="BD76" i="21" s="1"/>
  <c r="AX76" i="21" s="1"/>
  <c r="AD97" i="21"/>
  <c r="P86" i="21"/>
  <c r="Q86" i="21" s="1"/>
  <c r="AE86" i="21" s="1"/>
  <c r="P99" i="21"/>
  <c r="Q99" i="21" s="1"/>
  <c r="AE99" i="21" s="1"/>
  <c r="R82" i="21"/>
  <c r="R58" i="21"/>
  <c r="O36" i="21"/>
  <c r="AJ36" i="21" s="1"/>
  <c r="R14" i="21"/>
  <c r="AB94" i="21"/>
  <c r="AC94" i="21" s="1"/>
  <c r="AH94" i="21"/>
  <c r="AI94" i="21" s="1"/>
  <c r="Y94" i="21"/>
  <c r="Z94" i="21" s="1"/>
  <c r="AA94" i="21" s="1"/>
  <c r="AB102" i="21"/>
  <c r="AC102" i="21" s="1"/>
  <c r="AH102" i="21"/>
  <c r="AI102" i="21" s="1"/>
  <c r="Y102" i="21"/>
  <c r="Z102" i="21" s="1"/>
  <c r="AA102" i="21" s="1"/>
  <c r="Y35" i="21"/>
  <c r="Z35" i="21" s="1"/>
  <c r="AA35" i="21" s="1"/>
  <c r="AB35" i="21"/>
  <c r="AC35" i="21" s="1"/>
  <c r="AH35" i="21"/>
  <c r="AI35" i="21" s="1"/>
  <c r="AF11" i="21"/>
  <c r="Y101" i="21"/>
  <c r="Z101" i="21" s="1"/>
  <c r="AA101" i="21" s="1"/>
  <c r="AH101" i="21"/>
  <c r="AI101" i="21" s="1"/>
  <c r="AB101" i="21"/>
  <c r="AC101" i="21" s="1"/>
  <c r="P38" i="21"/>
  <c r="Q38" i="21" s="1"/>
  <c r="AE38" i="21" s="1"/>
  <c r="R38" i="21"/>
  <c r="O38" i="21"/>
  <c r="AJ38" i="21" s="1"/>
  <c r="AF38" i="21"/>
  <c r="V38" i="21"/>
  <c r="W38" i="21" s="1"/>
  <c r="X38" i="21" s="1"/>
  <c r="N43" i="21"/>
  <c r="P20" i="21"/>
  <c r="Q20" i="21" s="1"/>
  <c r="AE20" i="21" s="1"/>
  <c r="R30" i="21"/>
  <c r="N62" i="21"/>
  <c r="AH62" i="21" s="1"/>
  <c r="AI62" i="21" s="1"/>
  <c r="AJ88" i="21"/>
  <c r="AD27" i="21"/>
  <c r="AF65" i="21"/>
  <c r="AH45" i="21"/>
  <c r="AI45" i="21" s="1"/>
  <c r="Y45" i="21"/>
  <c r="Z45" i="21" s="1"/>
  <c r="AA45" i="21" s="1"/>
  <c r="AB45" i="21"/>
  <c r="AC45" i="21" s="1"/>
  <c r="AD105" i="21"/>
  <c r="N90" i="21"/>
  <c r="AB90" i="21" s="1"/>
  <c r="AC90" i="21" s="1"/>
  <c r="AJ39" i="21"/>
  <c r="AD59" i="21"/>
  <c r="AD56" i="21"/>
  <c r="N22" i="21"/>
  <c r="AH22" i="21" s="1"/>
  <c r="AI22" i="21" s="1"/>
  <c r="O54" i="21"/>
  <c r="AJ54" i="21" s="1"/>
  <c r="N53" i="21"/>
  <c r="Y53" i="21" s="1"/>
  <c r="Z53" i="21" s="1"/>
  <c r="AA53" i="21" s="1"/>
  <c r="AB108" i="21"/>
  <c r="AC108" i="21" s="1"/>
  <c r="Y108" i="21"/>
  <c r="Z108" i="21" s="1"/>
  <c r="AA108" i="21" s="1"/>
  <c r="AH108" i="21"/>
  <c r="AI108" i="21" s="1"/>
  <c r="AB27" i="21"/>
  <c r="AC27" i="21" s="1"/>
  <c r="AH27" i="21"/>
  <c r="AI27" i="21" s="1"/>
  <c r="Y27" i="21"/>
  <c r="Z27" i="21" s="1"/>
  <c r="AA27" i="21" s="1"/>
  <c r="Y105" i="21"/>
  <c r="Z105" i="21" s="1"/>
  <c r="AA105" i="21" s="1"/>
  <c r="AB105" i="21"/>
  <c r="AC105" i="21" s="1"/>
  <c r="AH105" i="21"/>
  <c r="AI105" i="21" s="1"/>
  <c r="AH41" i="21"/>
  <c r="AI41" i="21" s="1"/>
  <c r="AB41" i="21"/>
  <c r="AC41" i="21" s="1"/>
  <c r="Y41" i="21"/>
  <c r="Z41" i="21" s="1"/>
  <c r="AA41" i="21" s="1"/>
  <c r="AH17" i="21"/>
  <c r="AI17" i="21" s="1"/>
  <c r="AB17" i="21"/>
  <c r="AC17" i="21" s="1"/>
  <c r="Y17" i="21"/>
  <c r="Z17" i="21" s="1"/>
  <c r="AA17" i="21" s="1"/>
  <c r="AD53" i="21"/>
  <c r="B78" i="1" l="1"/>
  <c r="I3" i="8"/>
  <c r="J3" i="8"/>
  <c r="J159" i="8" s="1"/>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79" i="1"/>
  <c r="N30" i="8"/>
  <c r="O30" i="8"/>
  <c r="C77" i="1" s="1"/>
  <c r="D77" i="1" s="1"/>
  <c r="AH109" i="23"/>
  <c r="AI109" i="23" s="1"/>
  <c r="AB109" i="23"/>
  <c r="AC109" i="23" s="1"/>
  <c r="AB50" i="21"/>
  <c r="AC50" i="21" s="1"/>
  <c r="Y50" i="21"/>
  <c r="Z50" i="21" s="1"/>
  <c r="AA50" i="21" s="1"/>
  <c r="O109" i="23"/>
  <c r="R109" i="23"/>
  <c r="AF109" i="23"/>
  <c r="P109" i="23"/>
  <c r="Q109" i="23" s="1"/>
  <c r="AE109" i="23" s="1"/>
  <c r="V109" i="23"/>
  <c r="W109" i="23" s="1"/>
  <c r="X109" i="23" s="1"/>
  <c r="AJ109" i="23"/>
  <c r="AK109" i="23" s="1"/>
  <c r="BD109" i="23" s="1"/>
  <c r="AX109" i="23" s="1"/>
  <c r="Y109" i="23"/>
  <c r="Z109" i="23" s="1"/>
  <c r="AA109" i="23" s="1"/>
  <c r="AF50" i="21"/>
  <c r="R50" i="21"/>
  <c r="P50" i="21"/>
  <c r="Q50" i="21" s="1"/>
  <c r="AE50" i="21" s="1"/>
  <c r="V50" i="21"/>
  <c r="W50" i="21" s="1"/>
  <c r="X50" i="21" s="1"/>
  <c r="O50" i="21"/>
  <c r="AJ50" i="21" s="1"/>
  <c r="AH50" i="21"/>
  <c r="AI50" i="21" s="1"/>
  <c r="AG90" i="23"/>
  <c r="S20" i="23"/>
  <c r="U20" i="23" s="1"/>
  <c r="BA20" i="23" s="1"/>
  <c r="AN20" i="23"/>
  <c r="BE20" i="23" s="1"/>
  <c r="AN90" i="23"/>
  <c r="BE90" i="23" s="1"/>
  <c r="AG12" i="23"/>
  <c r="BC12" i="23" s="1"/>
  <c r="AW12" i="23" s="1"/>
  <c r="AK90" i="23"/>
  <c r="BD90" i="23" s="1"/>
  <c r="AX90" i="23" s="1"/>
  <c r="AK12" i="23"/>
  <c r="BD12" i="23" s="1"/>
  <c r="AX12" i="23" s="1"/>
  <c r="AN12" i="23"/>
  <c r="BE12" i="23" s="1"/>
  <c r="AK20" i="23"/>
  <c r="BD20" i="23" s="1"/>
  <c r="AX20" i="23" s="1"/>
  <c r="AN60" i="23"/>
  <c r="BE60" i="23" s="1"/>
  <c r="AK11" i="23"/>
  <c r="BD11" i="23" s="1"/>
  <c r="AX11" i="23" s="1"/>
  <c r="AK60" i="23"/>
  <c r="BD60" i="23" s="1"/>
  <c r="AX60" i="23" s="1"/>
  <c r="AG60" i="23"/>
  <c r="AN11" i="23"/>
  <c r="BE11" i="23" s="1"/>
  <c r="AG11" i="23"/>
  <c r="BC11" i="23" s="1"/>
  <c r="AW11" i="23" s="1"/>
  <c r="AK55" i="23"/>
  <c r="BD55" i="23" s="1"/>
  <c r="AX55" i="23" s="1"/>
  <c r="AN59" i="23"/>
  <c r="BE59" i="23" s="1"/>
  <c r="AG20" i="23"/>
  <c r="BC20" i="23" s="1"/>
  <c r="AW20" i="23" s="1"/>
  <c r="AK65" i="23"/>
  <c r="BD65" i="23" s="1"/>
  <c r="AX65" i="23" s="1"/>
  <c r="AT77" i="23"/>
  <c r="AV77" i="23" s="1"/>
  <c r="AZ77" i="23" s="1"/>
  <c r="AK101" i="23"/>
  <c r="BD101" i="23" s="1"/>
  <c r="AX101" i="23" s="1"/>
  <c r="AK14" i="23"/>
  <c r="BD14" i="23" s="1"/>
  <c r="AX14" i="23" s="1"/>
  <c r="AG65" i="23"/>
  <c r="BC65" i="23" s="1"/>
  <c r="AW65" i="23" s="1"/>
  <c r="AN65" i="23"/>
  <c r="BE65" i="23" s="1"/>
  <c r="AG59" i="23"/>
  <c r="BC59" i="23" s="1"/>
  <c r="AW59" i="23" s="1"/>
  <c r="AK59" i="23"/>
  <c r="BD59" i="23" s="1"/>
  <c r="AX59" i="23" s="1"/>
  <c r="AN14" i="23"/>
  <c r="BE14" i="23" s="1"/>
  <c r="AN101" i="23"/>
  <c r="BE101" i="23" s="1"/>
  <c r="AK100" i="23"/>
  <c r="BD100" i="23" s="1"/>
  <c r="AX100" i="23" s="1"/>
  <c r="AK17" i="23"/>
  <c r="BD17" i="23" s="1"/>
  <c r="AX17" i="23" s="1"/>
  <c r="AN46" i="23"/>
  <c r="BE46" i="23" s="1"/>
  <c r="AG101" i="23"/>
  <c r="BC101" i="23" s="1"/>
  <c r="AW101" i="23" s="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AK22" i="23"/>
  <c r="BD22" i="23" s="1"/>
  <c r="AX22" i="23" s="1"/>
  <c r="AG61" i="23"/>
  <c r="BC61" i="23" s="1"/>
  <c r="AW61" i="23" s="1"/>
  <c r="O26" i="8"/>
  <c r="C74" i="1" s="1"/>
  <c r="AK25" i="23"/>
  <c r="BD25" i="23" s="1"/>
  <c r="AX25" i="23" s="1"/>
  <c r="AG25" i="23"/>
  <c r="BC25" i="23" s="1"/>
  <c r="AW25" i="23" s="1"/>
  <c r="AG91" i="23"/>
  <c r="BC91" i="23" s="1"/>
  <c r="AW91" i="23" s="1"/>
  <c r="AK46" i="23"/>
  <c r="BD46" i="23" s="1"/>
  <c r="AX46" i="23" s="1"/>
  <c r="AG55" i="23"/>
  <c r="AG14" i="23"/>
  <c r="AK45" i="23"/>
  <c r="BD45" i="23" s="1"/>
  <c r="AX45" i="23" s="1"/>
  <c r="AG45" i="23"/>
  <c r="BC45" i="23" s="1"/>
  <c r="AW45" i="23" s="1"/>
  <c r="AG46" i="23"/>
  <c r="BC46" i="23" s="1"/>
  <c r="AW46" i="23" s="1"/>
  <c r="AG54" i="23"/>
  <c r="S100" i="23"/>
  <c r="U100" i="23" s="1"/>
  <c r="BA100" i="23" s="1"/>
  <c r="AK91" i="23"/>
  <c r="BD91" i="23" s="1"/>
  <c r="AX91" i="23" s="1"/>
  <c r="S45" i="23"/>
  <c r="U45" i="23" s="1"/>
  <c r="BA45" i="23" s="1"/>
  <c r="AN45" i="23"/>
  <c r="BE45" i="23" s="1"/>
  <c r="AG17" i="23"/>
  <c r="S17" i="23"/>
  <c r="U17" i="23" s="1"/>
  <c r="BA17" i="23" s="1"/>
  <c r="AN17" i="23"/>
  <c r="BE17" i="23" s="1"/>
  <c r="AN54" i="23"/>
  <c r="BE54" i="23" s="1"/>
  <c r="S25" i="23"/>
  <c r="U25" i="23" s="1"/>
  <c r="BA25" i="23" s="1"/>
  <c r="AK61" i="23"/>
  <c r="BD61" i="23" s="1"/>
  <c r="AX61" i="23" s="1"/>
  <c r="AN91" i="23"/>
  <c r="BE91" i="23" s="1"/>
  <c r="S91" i="23"/>
  <c r="U91" i="23" s="1"/>
  <c r="BA91" i="23" s="1"/>
  <c r="AG100" i="23"/>
  <c r="AG36" i="23"/>
  <c r="BC36" i="23" s="1"/>
  <c r="AW36" i="23" s="1"/>
  <c r="AN66" i="23"/>
  <c r="BE66" i="23" s="1"/>
  <c r="AK66" i="23"/>
  <c r="BD66" i="23" s="1"/>
  <c r="AX66" i="23" s="1"/>
  <c r="AJ71" i="23"/>
  <c r="AK71" i="23" s="1"/>
  <c r="BD71" i="23" s="1"/>
  <c r="AX71" i="23" s="1"/>
  <c r="AF71" i="23"/>
  <c r="Y71" i="23"/>
  <c r="Z71" i="23" s="1"/>
  <c r="AA71" i="23" s="1"/>
  <c r="R71" i="23"/>
  <c r="AB71" i="23"/>
  <c r="AC71" i="23" s="1"/>
  <c r="O71" i="23"/>
  <c r="V71" i="23"/>
  <c r="W71" i="23" s="1"/>
  <c r="X71" i="23" s="1"/>
  <c r="P71" i="23"/>
  <c r="Q71" i="23" s="1"/>
  <c r="AE71" i="23" s="1"/>
  <c r="AG66" i="23"/>
  <c r="BC66" i="23" s="1"/>
  <c r="AW66" i="23" s="1"/>
  <c r="AK27" i="23"/>
  <c r="BD27" i="23" s="1"/>
  <c r="AX27" i="23" s="1"/>
  <c r="AN31" i="23"/>
  <c r="BE31" i="23" s="1"/>
  <c r="AN51" i="21"/>
  <c r="BE51" i="21" s="1"/>
  <c r="AK33" i="23"/>
  <c r="BD33" i="23" s="1"/>
  <c r="AX33" i="23" s="1"/>
  <c r="AK72" i="23"/>
  <c r="BD72" i="23" s="1"/>
  <c r="AX72" i="23" s="1"/>
  <c r="AG57" i="23"/>
  <c r="BC57" i="23" s="1"/>
  <c r="AW57" i="23" s="1"/>
  <c r="AG27" i="23"/>
  <c r="BC27" i="23" s="1"/>
  <c r="AW27" i="23" s="1"/>
  <c r="AG31" i="23"/>
  <c r="BC31" i="23" s="1"/>
  <c r="AW31" i="23" s="1"/>
  <c r="AK67" i="23"/>
  <c r="BD67" i="23" s="1"/>
  <c r="AX67" i="23" s="1"/>
  <c r="AG67" i="23"/>
  <c r="BC67" i="23" s="1"/>
  <c r="AW67" i="23" s="1"/>
  <c r="S61" i="23"/>
  <c r="U61" i="23" s="1"/>
  <c r="BA61" i="23" s="1"/>
  <c r="AG95" i="23"/>
  <c r="BC95" i="23" s="1"/>
  <c r="AW95" i="23" s="1"/>
  <c r="S33" i="23"/>
  <c r="U33" i="23" s="1"/>
  <c r="BA33" i="23" s="1"/>
  <c r="AN33" i="23"/>
  <c r="BE33" i="23" s="1"/>
  <c r="AK31" i="23"/>
  <c r="BD31" i="23" s="1"/>
  <c r="AX31" i="23" s="1"/>
  <c r="AK85" i="23"/>
  <c r="BD85" i="23" s="1"/>
  <c r="AX85" i="23" s="1"/>
  <c r="S36" i="23"/>
  <c r="U36" i="23" s="1"/>
  <c r="BA36" i="23" s="1"/>
  <c r="AG33" i="23"/>
  <c r="BC33" i="23" s="1"/>
  <c r="AW33" i="23" s="1"/>
  <c r="AK36" i="23"/>
  <c r="BD36" i="23" s="1"/>
  <c r="AX36" i="23" s="1"/>
  <c r="Y98" i="23"/>
  <c r="Z98" i="23" s="1"/>
  <c r="AA98" i="23" s="1"/>
  <c r="AK94" i="23"/>
  <c r="BD94" i="23" s="1"/>
  <c r="AX94" i="23" s="1"/>
  <c r="AT70" i="23"/>
  <c r="AV70" i="23" s="1"/>
  <c r="AZ70" i="23" s="1"/>
  <c r="AN57" i="23"/>
  <c r="BE57" i="23" s="1"/>
  <c r="AG22" i="23"/>
  <c r="S22" i="23"/>
  <c r="U22" i="23" s="1"/>
  <c r="BA22" i="23" s="1"/>
  <c r="AN22" i="23"/>
  <c r="BE22" i="23" s="1"/>
  <c r="Y44" i="23"/>
  <c r="Z44" i="23" s="1"/>
  <c r="AA44" i="23" s="1"/>
  <c r="AG85" i="23"/>
  <c r="BC85" i="23" s="1"/>
  <c r="AW85" i="23" s="1"/>
  <c r="AN82" i="23"/>
  <c r="BE82" i="23" s="1"/>
  <c r="AG51" i="21"/>
  <c r="BC51" i="21" s="1"/>
  <c r="AW51" i="21" s="1"/>
  <c r="AN10" i="23"/>
  <c r="BE10" i="23" s="1"/>
  <c r="AN27" i="23"/>
  <c r="BE27" i="23" s="1"/>
  <c r="AK21" i="23"/>
  <c r="BD21" i="23" s="1"/>
  <c r="AX21" i="23" s="1"/>
  <c r="AK30" i="23"/>
  <c r="BD30" i="23" s="1"/>
  <c r="AX30" i="23" s="1"/>
  <c r="AB34" i="23"/>
  <c r="AC34" i="23" s="1"/>
  <c r="AH34" i="23"/>
  <c r="AI34" i="23" s="1"/>
  <c r="S94" i="23"/>
  <c r="U94" i="23" s="1"/>
  <c r="BA94" i="23" s="1"/>
  <c r="AB98" i="23"/>
  <c r="AC98" i="23" s="1"/>
  <c r="AH44" i="23"/>
  <c r="AI44" i="23" s="1"/>
  <c r="AG72" i="23"/>
  <c r="Y87" i="23"/>
  <c r="Z87" i="23" s="1"/>
  <c r="AA87" i="23" s="1"/>
  <c r="AJ79" i="23"/>
  <c r="V79" i="23"/>
  <c r="W79" i="23" s="1"/>
  <c r="X79" i="23" s="1"/>
  <c r="R79" i="23"/>
  <c r="AB79" i="23"/>
  <c r="AC79" i="23" s="1"/>
  <c r="P79" i="23"/>
  <c r="Q79" i="23" s="1"/>
  <c r="AE79" i="23" s="1"/>
  <c r="Y79" i="23"/>
  <c r="Z79" i="23" s="1"/>
  <c r="AA79" i="23" s="1"/>
  <c r="O79" i="23"/>
  <c r="AF79" i="23"/>
  <c r="AB38" i="23"/>
  <c r="AC38" i="23" s="1"/>
  <c r="S67" i="23"/>
  <c r="U67" i="23" s="1"/>
  <c r="BA67" i="23" s="1"/>
  <c r="AN67" i="23"/>
  <c r="BE67" i="23" s="1"/>
  <c r="AH87" i="23"/>
  <c r="AI87" i="23" s="1"/>
  <c r="R87" i="23"/>
  <c r="AF87" i="23"/>
  <c r="O87" i="23"/>
  <c r="AJ87" i="23"/>
  <c r="P87" i="23"/>
  <c r="Q87" i="23" s="1"/>
  <c r="AE87" i="23" s="1"/>
  <c r="V87" i="23"/>
  <c r="W87" i="23" s="1"/>
  <c r="X87" i="23" s="1"/>
  <c r="AT97" i="23"/>
  <c r="AV97" i="23" s="1"/>
  <c r="AZ97" i="23" s="1"/>
  <c r="AG94" i="23"/>
  <c r="BC94" i="23" s="1"/>
  <c r="AW94" i="23" s="1"/>
  <c r="AG21" i="23"/>
  <c r="BC21" i="23" s="1"/>
  <c r="AW21" i="23" s="1"/>
  <c r="V34" i="23"/>
  <c r="W34" i="23" s="1"/>
  <c r="X34" i="23" s="1"/>
  <c r="R34" i="23"/>
  <c r="AF34" i="23"/>
  <c r="AJ34" i="23"/>
  <c r="O34" i="23"/>
  <c r="P34" i="23"/>
  <c r="Q34" i="23" s="1"/>
  <c r="AE34" i="23" s="1"/>
  <c r="E623" i="25"/>
  <c r="F623" i="25"/>
  <c r="AH102" i="23"/>
  <c r="AI102" i="23" s="1"/>
  <c r="AH88" i="23"/>
  <c r="AI88" i="23" s="1"/>
  <c r="AH79" i="23"/>
  <c r="AI79" i="23" s="1"/>
  <c r="O98" i="23"/>
  <c r="V98" i="23"/>
  <c r="W98" i="23" s="1"/>
  <c r="X98" i="23" s="1"/>
  <c r="AF98" i="23"/>
  <c r="R98" i="23"/>
  <c r="P98" i="23"/>
  <c r="Q98" i="23" s="1"/>
  <c r="AE98" i="23" s="1"/>
  <c r="AJ98" i="23"/>
  <c r="AK98" i="23" s="1"/>
  <c r="BD98" i="23" s="1"/>
  <c r="AX98" i="23" s="1"/>
  <c r="V44" i="23"/>
  <c r="W44" i="23" s="1"/>
  <c r="X44" i="23" s="1"/>
  <c r="O44" i="23"/>
  <c r="AJ44" i="23"/>
  <c r="P44" i="23"/>
  <c r="Q44" i="23" s="1"/>
  <c r="AE44" i="23" s="1"/>
  <c r="AF44" i="23"/>
  <c r="R44" i="23"/>
  <c r="AH26" i="23"/>
  <c r="AI26" i="23" s="1"/>
  <c r="AG10" i="23"/>
  <c r="BC10" i="23" s="1"/>
  <c r="AW10" i="23" s="1"/>
  <c r="AK10" i="23"/>
  <c r="BD10" i="23" s="1"/>
  <c r="AX10" i="23" s="1"/>
  <c r="AF102" i="23"/>
  <c r="V102" i="23"/>
  <c r="W102" i="23" s="1"/>
  <c r="X102" i="23" s="1"/>
  <c r="O102" i="23"/>
  <c r="R102" i="23"/>
  <c r="AB102" i="23"/>
  <c r="AC102" i="23" s="1"/>
  <c r="P102" i="23"/>
  <c r="Q102" i="23" s="1"/>
  <c r="AE102" i="23" s="1"/>
  <c r="AJ102" i="23"/>
  <c r="AH38" i="23"/>
  <c r="AI38" i="23" s="1"/>
  <c r="S85" i="23"/>
  <c r="U85" i="23" s="1"/>
  <c r="BA85" i="23" s="1"/>
  <c r="AN85" i="23"/>
  <c r="BE85" i="23" s="1"/>
  <c r="AK95" i="23"/>
  <c r="BD95" i="23" s="1"/>
  <c r="AX95" i="23" s="1"/>
  <c r="AT18" i="23"/>
  <c r="AV18" i="23" s="1"/>
  <c r="AZ18" i="23" s="1"/>
  <c r="AG103" i="23"/>
  <c r="BC103" i="23" s="1"/>
  <c r="AW103" i="23" s="1"/>
  <c r="BB70" i="23"/>
  <c r="BC70" i="23"/>
  <c r="AW70" i="23" s="1"/>
  <c r="AK84" i="23"/>
  <c r="BD84" i="23" s="1"/>
  <c r="AX84" i="23" s="1"/>
  <c r="AK73" i="23"/>
  <c r="BD73" i="23" s="1"/>
  <c r="AX73" i="23" s="1"/>
  <c r="AK82" i="23"/>
  <c r="BD82" i="23" s="1"/>
  <c r="AX82" i="23" s="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N28" i="8" s="1"/>
  <c r="BB50" i="23"/>
  <c r="AK103" i="23"/>
  <c r="BD103" i="23" s="1"/>
  <c r="AX103" i="23" s="1"/>
  <c r="AN77" i="21"/>
  <c r="BE77" i="21" s="1"/>
  <c r="AG82" i="23"/>
  <c r="AB43" i="23"/>
  <c r="AC43" i="23" s="1"/>
  <c r="AH43" i="23"/>
  <c r="AI43" i="23" s="1"/>
  <c r="AK51" i="21"/>
  <c r="BD51" i="21" s="1"/>
  <c r="AX51" i="21" s="1"/>
  <c r="AH63" i="23"/>
  <c r="AI63" i="23" s="1"/>
  <c r="AH92" i="23"/>
  <c r="AI92" i="23" s="1"/>
  <c r="AK19" i="23"/>
  <c r="BD19" i="23" s="1"/>
  <c r="AX19" i="23" s="1"/>
  <c r="AH68" i="23"/>
  <c r="AI68" i="23" s="1"/>
  <c r="BC96" i="23"/>
  <c r="AW96" i="23" s="1"/>
  <c r="BB93" i="23"/>
  <c r="BB105" i="23"/>
  <c r="S95" i="23"/>
  <c r="U95" i="23" s="1"/>
  <c r="BA95" i="23" s="1"/>
  <c r="AN95" i="23"/>
  <c r="BE95" i="23" s="1"/>
  <c r="Y26" i="23"/>
  <c r="Z26" i="23" s="1"/>
  <c r="AA26" i="23" s="1"/>
  <c r="Y63" i="23"/>
  <c r="Z63" i="23" s="1"/>
  <c r="AA63" i="23" s="1"/>
  <c r="B115" i="2"/>
  <c r="E40" i="1" s="1"/>
  <c r="AB92" i="23"/>
  <c r="AC92" i="23" s="1"/>
  <c r="B104" i="2"/>
  <c r="B108" i="2" s="1"/>
  <c r="E24" i="1"/>
  <c r="AK52" i="23"/>
  <c r="BD52" i="23" s="1"/>
  <c r="AX52" i="23" s="1"/>
  <c r="BB77" i="23"/>
  <c r="BC77" i="23"/>
  <c r="AW77" i="23" s="1"/>
  <c r="AB51" i="23"/>
  <c r="AC51" i="23" s="1"/>
  <c r="AT96" i="23"/>
  <c r="AV96" i="23" s="1"/>
  <c r="AZ96" i="23" s="1"/>
  <c r="Y83" i="23"/>
  <c r="Z83" i="23" s="1"/>
  <c r="AA83" i="23" s="1"/>
  <c r="AB68" i="23"/>
  <c r="AC68" i="23" s="1"/>
  <c r="AG84" i="23"/>
  <c r="BC84" i="23" s="1"/>
  <c r="AW84" i="23" s="1"/>
  <c r="P78" i="23"/>
  <c r="Q78" i="23" s="1"/>
  <c r="AE78" i="23" s="1"/>
  <c r="AF78" i="23"/>
  <c r="V78" i="23"/>
  <c r="W78" i="23" s="1"/>
  <c r="X78" i="23" s="1"/>
  <c r="O78" i="23"/>
  <c r="AJ78" i="23"/>
  <c r="R78" i="23"/>
  <c r="R47" i="23"/>
  <c r="AJ47" i="23"/>
  <c r="V47" i="23"/>
  <c r="W47" i="23" s="1"/>
  <c r="X47" i="23" s="1"/>
  <c r="P47" i="23"/>
  <c r="Q47" i="23" s="1"/>
  <c r="AE47" i="23" s="1"/>
  <c r="O47" i="23"/>
  <c r="AF47" i="23"/>
  <c r="Y16" i="23"/>
  <c r="Z16" i="23" s="1"/>
  <c r="AA16" i="23" s="1"/>
  <c r="V51" i="23"/>
  <c r="W51" i="23" s="1"/>
  <c r="X51" i="23" s="1"/>
  <c r="P51" i="23"/>
  <c r="Q51" i="23" s="1"/>
  <c r="AE51" i="23" s="1"/>
  <c r="R51" i="23"/>
  <c r="AF51" i="23"/>
  <c r="O51" i="23"/>
  <c r="AJ51" i="23"/>
  <c r="AB74" i="23"/>
  <c r="AC74" i="23" s="1"/>
  <c r="AH16" i="23"/>
  <c r="AI16" i="23" s="1"/>
  <c r="AB41" i="23"/>
  <c r="AC41" i="23" s="1"/>
  <c r="AH83" i="23"/>
  <c r="AI83" i="23" s="1"/>
  <c r="V16" i="23"/>
  <c r="W16" i="23" s="1"/>
  <c r="X16" i="23" s="1"/>
  <c r="R16" i="23"/>
  <c r="O16" i="23"/>
  <c r="AJ16" i="23"/>
  <c r="AF16" i="23"/>
  <c r="P16" i="23"/>
  <c r="Q16" i="23" s="1"/>
  <c r="AE16" i="23" s="1"/>
  <c r="AG30" i="23"/>
  <c r="S103" i="23"/>
  <c r="U103" i="23" s="1"/>
  <c r="BA103" i="23" s="1"/>
  <c r="AN103" i="23"/>
  <c r="BE103" i="23" s="1"/>
  <c r="V38" i="23"/>
  <c r="W38" i="23" s="1"/>
  <c r="X38" i="23" s="1"/>
  <c r="AJ38" i="23"/>
  <c r="O38" i="23"/>
  <c r="P38" i="23"/>
  <c r="Q38" i="23" s="1"/>
  <c r="AE38" i="23" s="1"/>
  <c r="R38" i="23"/>
  <c r="AF38" i="23"/>
  <c r="V83" i="23"/>
  <c r="W83" i="23" s="1"/>
  <c r="X83" i="23" s="1"/>
  <c r="O83" i="23"/>
  <c r="R83" i="23"/>
  <c r="AJ83" i="23"/>
  <c r="P83" i="23"/>
  <c r="Q83" i="23" s="1"/>
  <c r="AE83" i="23" s="1"/>
  <c r="AF83" i="23"/>
  <c r="Y88" i="23"/>
  <c r="Z88" i="23" s="1"/>
  <c r="AA88" i="23" s="1"/>
  <c r="AJ74" i="23"/>
  <c r="V74" i="23"/>
  <c r="W74" i="23" s="1"/>
  <c r="X74" i="23" s="1"/>
  <c r="AF74" i="23"/>
  <c r="P74" i="23"/>
  <c r="Q74" i="23" s="1"/>
  <c r="AE74" i="23" s="1"/>
  <c r="R74" i="23"/>
  <c r="O74" i="23"/>
  <c r="AH74" i="23"/>
  <c r="AI74" i="23" s="1"/>
  <c r="V48" i="23"/>
  <c r="W48" i="23" s="1"/>
  <c r="X48" i="23" s="1"/>
  <c r="O48" i="23"/>
  <c r="P48" i="23"/>
  <c r="Q48" i="23" s="1"/>
  <c r="AE48" i="23" s="1"/>
  <c r="AJ48" i="23"/>
  <c r="AK48" i="23" s="1"/>
  <c r="BD48" i="23" s="1"/>
  <c r="AX48" i="23" s="1"/>
  <c r="R48" i="23"/>
  <c r="Y48" i="23"/>
  <c r="Z48" i="23" s="1"/>
  <c r="AA48" i="23" s="1"/>
  <c r="AB48" i="23"/>
  <c r="AC48" i="23" s="1"/>
  <c r="AF48" i="23"/>
  <c r="AF92" i="23"/>
  <c r="V92" i="23"/>
  <c r="W92" i="23" s="1"/>
  <c r="X92" i="23" s="1"/>
  <c r="R92" i="23"/>
  <c r="O92" i="23"/>
  <c r="P92" i="23"/>
  <c r="Q92" i="23" s="1"/>
  <c r="AE92" i="23" s="1"/>
  <c r="AJ92" i="23"/>
  <c r="R89" i="23"/>
  <c r="AF89" i="23"/>
  <c r="V89" i="23"/>
  <c r="W89" i="23" s="1"/>
  <c r="X89" i="23" s="1"/>
  <c r="P89" i="23"/>
  <c r="Q89" i="23" s="1"/>
  <c r="AE89" i="23" s="1"/>
  <c r="O89" i="23"/>
  <c r="AJ89" i="23"/>
  <c r="Y89" i="23"/>
  <c r="Z89" i="23" s="1"/>
  <c r="AA89" i="23" s="1"/>
  <c r="AH89" i="23"/>
  <c r="AI89" i="23" s="1"/>
  <c r="R26" i="23"/>
  <c r="AF26" i="23"/>
  <c r="V26" i="23"/>
  <c r="W26" i="23" s="1"/>
  <c r="X26" i="23" s="1"/>
  <c r="O26" i="23"/>
  <c r="P26" i="23"/>
  <c r="Q26" i="23" s="1"/>
  <c r="AE26" i="23" s="1"/>
  <c r="AJ26" i="23"/>
  <c r="AH86" i="23"/>
  <c r="AI86" i="23" s="1"/>
  <c r="R88" i="23"/>
  <c r="V88" i="23"/>
  <c r="W88" i="23" s="1"/>
  <c r="X88" i="23" s="1"/>
  <c r="P88" i="23"/>
  <c r="Q88" i="23" s="1"/>
  <c r="AE88" i="23" s="1"/>
  <c r="O88" i="23"/>
  <c r="AF88" i="23"/>
  <c r="AJ88" i="23"/>
  <c r="AB42" i="23"/>
  <c r="AC42" i="23" s="1"/>
  <c r="AK13" i="23"/>
  <c r="BD13" i="23" s="1"/>
  <c r="AX13" i="23" s="1"/>
  <c r="Y78" i="23"/>
  <c r="Z78" i="23" s="1"/>
  <c r="AA78" i="23" s="1"/>
  <c r="S73" i="23"/>
  <c r="U73" i="23" s="1"/>
  <c r="AN73" i="23"/>
  <c r="BE73" i="23" s="1"/>
  <c r="V43" i="23"/>
  <c r="W43" i="23" s="1"/>
  <c r="X43" i="23" s="1"/>
  <c r="AJ43" i="23"/>
  <c r="AF43" i="23"/>
  <c r="R43" i="23"/>
  <c r="O43" i="23"/>
  <c r="P43" i="23"/>
  <c r="Q43" i="23" s="1"/>
  <c r="AE43" i="23" s="1"/>
  <c r="Y81" i="23"/>
  <c r="Z81" i="23" s="1"/>
  <c r="AA81" i="23" s="1"/>
  <c r="AG73" i="23"/>
  <c r="AH42" i="23"/>
  <c r="AI42" i="23" s="1"/>
  <c r="AB78" i="23"/>
  <c r="AC78" i="23" s="1"/>
  <c r="Y47" i="23"/>
  <c r="Z47" i="23" s="1"/>
  <c r="AA47" i="23" s="1"/>
  <c r="R68" i="23"/>
  <c r="O68" i="23"/>
  <c r="AF68" i="23"/>
  <c r="V68" i="23"/>
  <c r="W68" i="23" s="1"/>
  <c r="X68" i="23" s="1"/>
  <c r="AJ68" i="23"/>
  <c r="P68" i="23"/>
  <c r="Q68" i="23" s="1"/>
  <c r="AE68" i="23" s="1"/>
  <c r="AN84" i="23"/>
  <c r="BE84" i="23" s="1"/>
  <c r="S84" i="23"/>
  <c r="U84" i="23" s="1"/>
  <c r="AH78" i="23"/>
  <c r="AI78" i="23" s="1"/>
  <c r="AH51" i="23"/>
  <c r="AI51" i="23" s="1"/>
  <c r="AH47" i="23"/>
  <c r="AI47" i="23" s="1"/>
  <c r="S30" i="23"/>
  <c r="U30" i="23" s="1"/>
  <c r="BA30" i="23" s="1"/>
  <c r="AN30" i="23"/>
  <c r="BE30" i="23" s="1"/>
  <c r="Y42" i="21"/>
  <c r="Z42" i="21" s="1"/>
  <c r="AA42" i="21" s="1"/>
  <c r="AG52" i="23"/>
  <c r="AH81" i="23"/>
  <c r="AI81" i="23" s="1"/>
  <c r="Y28" i="23"/>
  <c r="Z28" i="23" s="1"/>
  <c r="AA28" i="23" s="1"/>
  <c r="AB18" i="21"/>
  <c r="AC18" i="21" s="1"/>
  <c r="BB18" i="23"/>
  <c r="AB76" i="23"/>
  <c r="AC76" i="23" s="1"/>
  <c r="BB104" i="23"/>
  <c r="AK77" i="21"/>
  <c r="BD77" i="21" s="1"/>
  <c r="AX77" i="21" s="1"/>
  <c r="AH76" i="23"/>
  <c r="AI76" i="23" s="1"/>
  <c r="AK39" i="23"/>
  <c r="BD39" i="23" s="1"/>
  <c r="AX39" i="23" s="1"/>
  <c r="Y107" i="23"/>
  <c r="Z107" i="23" s="1"/>
  <c r="AA107" i="23" s="1"/>
  <c r="AH107" i="23"/>
  <c r="AI107" i="23" s="1"/>
  <c r="BB80" i="23"/>
  <c r="AT69" i="23"/>
  <c r="AV69" i="23" s="1"/>
  <c r="AZ69" i="23" s="1"/>
  <c r="AT15" i="23"/>
  <c r="AV15" i="23" s="1"/>
  <c r="AZ15" i="23" s="1"/>
  <c r="AT104" i="23"/>
  <c r="AV104" i="23" s="1"/>
  <c r="AZ104" i="23" s="1"/>
  <c r="AB86" i="23"/>
  <c r="AC86" i="23" s="1"/>
  <c r="AK58" i="23"/>
  <c r="BD58" i="23" s="1"/>
  <c r="AX58" i="23" s="1"/>
  <c r="Y41" i="23"/>
  <c r="Z41" i="23" s="1"/>
  <c r="AA41" i="23" s="1"/>
  <c r="AT50" i="23"/>
  <c r="AV50" i="23" s="1"/>
  <c r="AZ50" i="23" s="1"/>
  <c r="AG39" i="23"/>
  <c r="AB28" i="23"/>
  <c r="AC28" i="23" s="1"/>
  <c r="AT80" i="23"/>
  <c r="AV80" i="23" s="1"/>
  <c r="AZ80" i="23" s="1"/>
  <c r="AK24" i="23"/>
  <c r="BD24" i="23" s="1"/>
  <c r="AX24" i="23" s="1"/>
  <c r="AH75" i="23"/>
  <c r="AI75" i="23" s="1"/>
  <c r="BB69" i="23"/>
  <c r="Y75" i="23"/>
  <c r="Z75" i="23" s="1"/>
  <c r="AA75" i="23" s="1"/>
  <c r="AG53" i="23"/>
  <c r="BC53" i="23" s="1"/>
  <c r="AW53" i="23" s="1"/>
  <c r="AB62" i="23"/>
  <c r="AC62" i="23" s="1"/>
  <c r="AH18" i="21"/>
  <c r="AI18" i="21" s="1"/>
  <c r="S39" i="23"/>
  <c r="U39" i="23" s="1"/>
  <c r="AN39" i="23"/>
  <c r="BE39" i="23" s="1"/>
  <c r="AB40" i="23"/>
  <c r="AC40" i="23" s="1"/>
  <c r="Y49" i="23"/>
  <c r="Z49" i="23" s="1"/>
  <c r="AA49" i="23" s="1"/>
  <c r="Y108" i="23"/>
  <c r="Z108" i="23" s="1"/>
  <c r="AA108" i="23" s="1"/>
  <c r="Y40" i="23"/>
  <c r="Z40" i="23" s="1"/>
  <c r="AA40" i="23" s="1"/>
  <c r="AH49" i="23"/>
  <c r="AI49" i="23" s="1"/>
  <c r="AH108" i="23"/>
  <c r="AI108" i="23" s="1"/>
  <c r="AT105" i="23"/>
  <c r="AV105" i="23" s="1"/>
  <c r="AZ105" i="23" s="1"/>
  <c r="AH42" i="21"/>
  <c r="AI42" i="21" s="1"/>
  <c r="Y67" i="21"/>
  <c r="Z67" i="21" s="1"/>
  <c r="AA67" i="21" s="1"/>
  <c r="AG56" i="23"/>
  <c r="BB56" i="23" s="1"/>
  <c r="BB15" i="23"/>
  <c r="AB67" i="21"/>
  <c r="AC67" i="21" s="1"/>
  <c r="AJ106" i="23"/>
  <c r="O106" i="23"/>
  <c r="R106" i="23"/>
  <c r="AF106" i="23"/>
  <c r="V106" i="23"/>
  <c r="W106" i="23" s="1"/>
  <c r="X106" i="23" s="1"/>
  <c r="P106" i="23"/>
  <c r="Q106" i="23" s="1"/>
  <c r="AE106" i="23" s="1"/>
  <c r="AN35" i="23"/>
  <c r="BE35" i="23" s="1"/>
  <c r="S35" i="23"/>
  <c r="U35" i="23" s="1"/>
  <c r="V42" i="23"/>
  <c r="W42" i="23" s="1"/>
  <c r="X42" i="23" s="1"/>
  <c r="P42" i="23"/>
  <c r="Q42" i="23" s="1"/>
  <c r="AE42" i="23" s="1"/>
  <c r="R42" i="23"/>
  <c r="AJ42" i="23"/>
  <c r="O42" i="23"/>
  <c r="AF42" i="23"/>
  <c r="S23" i="23"/>
  <c r="U23" i="23" s="1"/>
  <c r="AN23" i="23"/>
  <c r="BE23" i="23" s="1"/>
  <c r="S53" i="23"/>
  <c r="U53" i="23" s="1"/>
  <c r="BA53" i="23" s="1"/>
  <c r="AN53" i="23"/>
  <c r="BE53" i="23" s="1"/>
  <c r="AG35" i="23"/>
  <c r="AH62" i="23"/>
  <c r="AI62" i="23" s="1"/>
  <c r="S56" i="23"/>
  <c r="U56" i="23" s="1"/>
  <c r="AN56" i="23"/>
  <c r="BE56" i="23" s="1"/>
  <c r="S52" i="23"/>
  <c r="U52" i="23" s="1"/>
  <c r="AN52" i="23"/>
  <c r="BE52" i="23" s="1"/>
  <c r="V41" i="23"/>
  <c r="W41" i="23" s="1"/>
  <c r="X41" i="23" s="1"/>
  <c r="AJ41" i="23"/>
  <c r="AK41" i="23" s="1"/>
  <c r="BD41" i="23" s="1"/>
  <c r="AX41" i="23" s="1"/>
  <c r="O41" i="23"/>
  <c r="AF41" i="23"/>
  <c r="P41" i="23"/>
  <c r="Q41" i="23" s="1"/>
  <c r="AE41" i="23" s="1"/>
  <c r="R41" i="23"/>
  <c r="AG23" i="23"/>
  <c r="BC9" i="23"/>
  <c r="AW9" i="23" s="1"/>
  <c r="BB9" i="23"/>
  <c r="AF62" i="23"/>
  <c r="O62" i="23"/>
  <c r="V62" i="23"/>
  <c r="W62" i="23" s="1"/>
  <c r="X62" i="23" s="1"/>
  <c r="R62" i="23"/>
  <c r="P62" i="23"/>
  <c r="Q62" i="23" s="1"/>
  <c r="AE62" i="23" s="1"/>
  <c r="AJ62" i="23"/>
  <c r="AG19" i="23"/>
  <c r="S24" i="23"/>
  <c r="U24" i="23" s="1"/>
  <c r="AN24" i="23"/>
  <c r="BE24" i="23" s="1"/>
  <c r="V86" i="23"/>
  <c r="W86" i="23" s="1"/>
  <c r="X86" i="23" s="1"/>
  <c r="AJ86" i="23"/>
  <c r="AF86" i="23"/>
  <c r="P86" i="23"/>
  <c r="Q86" i="23" s="1"/>
  <c r="AE86" i="23" s="1"/>
  <c r="O86" i="23"/>
  <c r="R86" i="23"/>
  <c r="AG99" i="23"/>
  <c r="S13" i="23"/>
  <c r="U13" i="23" s="1"/>
  <c r="AN13" i="23"/>
  <c r="BE13" i="23" s="1"/>
  <c r="BB97" i="23"/>
  <c r="V67" i="21"/>
  <c r="W67" i="21" s="1"/>
  <c r="X67" i="21" s="1"/>
  <c r="R67" i="21"/>
  <c r="AF67" i="21"/>
  <c r="P67" i="21"/>
  <c r="Q67" i="21" s="1"/>
  <c r="AE67" i="21" s="1"/>
  <c r="O67" i="21"/>
  <c r="AJ67" i="21" s="1"/>
  <c r="AK67" i="21" s="1"/>
  <c r="BD67" i="21" s="1"/>
  <c r="AX67" i="21" s="1"/>
  <c r="V75" i="23"/>
  <c r="W75" i="23" s="1"/>
  <c r="X75" i="23" s="1"/>
  <c r="AF75" i="23"/>
  <c r="R75" i="23"/>
  <c r="P75" i="23"/>
  <c r="Q75" i="23" s="1"/>
  <c r="AE75" i="23" s="1"/>
  <c r="O75" i="23"/>
  <c r="AJ75" i="23"/>
  <c r="O63" i="23"/>
  <c r="V63" i="23"/>
  <c r="W63" i="23" s="1"/>
  <c r="X63" i="23" s="1"/>
  <c r="R63" i="23"/>
  <c r="P63" i="23"/>
  <c r="Q63" i="23" s="1"/>
  <c r="AE63" i="23" s="1"/>
  <c r="AJ63" i="23"/>
  <c r="AF63" i="23"/>
  <c r="V81" i="23"/>
  <c r="W81" i="23" s="1"/>
  <c r="X81" i="23" s="1"/>
  <c r="O81" i="23"/>
  <c r="AF81" i="23"/>
  <c r="AJ81" i="23"/>
  <c r="P81" i="23"/>
  <c r="Q81" i="23" s="1"/>
  <c r="AE81" i="23" s="1"/>
  <c r="R81" i="23"/>
  <c r="AN58" i="23"/>
  <c r="BE58" i="23" s="1"/>
  <c r="S58" i="23"/>
  <c r="U58" i="23" s="1"/>
  <c r="V18" i="21"/>
  <c r="W18" i="21" s="1"/>
  <c r="X18" i="21" s="1"/>
  <c r="R18" i="21"/>
  <c r="O18" i="21"/>
  <c r="AJ18" i="21" s="1"/>
  <c r="P18" i="21"/>
  <c r="Q18" i="21" s="1"/>
  <c r="AE18" i="21" s="1"/>
  <c r="AF18" i="21"/>
  <c r="S19" i="23"/>
  <c r="U19" i="23" s="1"/>
  <c r="AN19" i="23"/>
  <c r="BE19" i="23" s="1"/>
  <c r="S99" i="23"/>
  <c r="U99" i="23" s="1"/>
  <c r="AN99" i="23"/>
  <c r="BE99" i="23"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AG77" i="21"/>
  <c r="BC77" i="21" s="1"/>
  <c r="AW77" i="21" s="1"/>
  <c r="AG58" i="23"/>
  <c r="O42" i="21"/>
  <c r="AJ42" i="21" s="1"/>
  <c r="V42" i="21"/>
  <c r="W42" i="21" s="1"/>
  <c r="X42" i="21" s="1"/>
  <c r="AF42" i="21"/>
  <c r="R42" i="21"/>
  <c r="P42" i="21"/>
  <c r="Q42" i="21" s="1"/>
  <c r="AE42" i="21" s="1"/>
  <c r="V49" i="23"/>
  <c r="W49" i="23" s="1"/>
  <c r="X49" i="23" s="1"/>
  <c r="O49" i="23"/>
  <c r="P49" i="23"/>
  <c r="Q49" i="23" s="1"/>
  <c r="AE49" i="23" s="1"/>
  <c r="AJ49" i="23"/>
  <c r="R49" i="23"/>
  <c r="AF49" i="23"/>
  <c r="AT9" i="23"/>
  <c r="AV9" i="23" s="1"/>
  <c r="AZ9" i="23" s="1"/>
  <c r="AG37" i="23"/>
  <c r="AK99" i="23"/>
  <c r="BD99" i="23" s="1"/>
  <c r="AX99" i="23" s="1"/>
  <c r="AT93" i="23"/>
  <c r="AV93" i="23" s="1"/>
  <c r="AZ93" i="23" s="1"/>
  <c r="AH106" i="23"/>
  <c r="AI106" i="23" s="1"/>
  <c r="AG13" i="23"/>
  <c r="V108" i="23"/>
  <c r="W108" i="23" s="1"/>
  <c r="X108" i="23" s="1"/>
  <c r="P108" i="23"/>
  <c r="Q108" i="23" s="1"/>
  <c r="AE108" i="23" s="1"/>
  <c r="AF108" i="23"/>
  <c r="O108" i="23"/>
  <c r="AJ108" i="23"/>
  <c r="R108" i="23"/>
  <c r="V40" i="23"/>
  <c r="W40" i="23" s="1"/>
  <c r="X40" i="23" s="1"/>
  <c r="O40" i="23"/>
  <c r="AJ40" i="23"/>
  <c r="AK40" i="23" s="1"/>
  <c r="BD40" i="23" s="1"/>
  <c r="AX40" i="23" s="1"/>
  <c r="AF40" i="23"/>
  <c r="P40" i="23"/>
  <c r="Q40" i="23" s="1"/>
  <c r="AE40" i="23" s="1"/>
  <c r="R40" i="23"/>
  <c r="Y106" i="23"/>
  <c r="Z106" i="23" s="1"/>
  <c r="AA106" i="23" s="1"/>
  <c r="S37" i="23"/>
  <c r="U37" i="23" s="1"/>
  <c r="AN37" i="23"/>
  <c r="BE37" i="23" s="1"/>
  <c r="D406" i="2"/>
  <c r="B406" i="2"/>
  <c r="AB106" i="23"/>
  <c r="AC106" i="23" s="1"/>
  <c r="AF28" i="23"/>
  <c r="R28" i="23"/>
  <c r="V28" i="23"/>
  <c r="W28" i="23" s="1"/>
  <c r="X28" i="23" s="1"/>
  <c r="P28" i="23"/>
  <c r="Q28" i="23" s="1"/>
  <c r="AE28" i="23" s="1"/>
  <c r="AJ28" i="23"/>
  <c r="AK28" i="23" s="1"/>
  <c r="BD28" i="23" s="1"/>
  <c r="AX28" i="23" s="1"/>
  <c r="O28" i="23"/>
  <c r="P107" i="23"/>
  <c r="Q107" i="23" s="1"/>
  <c r="AE107" i="23" s="1"/>
  <c r="O107" i="23"/>
  <c r="V107" i="23"/>
  <c r="W107" i="23" s="1"/>
  <c r="X107" i="23" s="1"/>
  <c r="R107" i="23"/>
  <c r="AJ107" i="23"/>
  <c r="AF107" i="23"/>
  <c r="V76" i="23"/>
  <c r="W76" i="23" s="1"/>
  <c r="X76" i="23" s="1"/>
  <c r="O76" i="23"/>
  <c r="AF76" i="23"/>
  <c r="P76" i="23"/>
  <c r="Q76" i="23" s="1"/>
  <c r="AE76" i="23" s="1"/>
  <c r="AJ76" i="23"/>
  <c r="R76" i="23"/>
  <c r="AG24" i="23"/>
  <c r="Y87" i="21"/>
  <c r="Z87" i="21" s="1"/>
  <c r="AA87" i="21" s="1"/>
  <c r="AH87" i="21"/>
  <c r="AI87" i="21" s="1"/>
  <c r="O87" i="21"/>
  <c r="R87" i="21"/>
  <c r="AF87" i="21"/>
  <c r="V87" i="21"/>
  <c r="W87" i="21" s="1"/>
  <c r="X87" i="21" s="1"/>
  <c r="P87" i="21"/>
  <c r="Q87" i="21" s="1"/>
  <c r="AE87" i="21" s="1"/>
  <c r="AJ87" i="21"/>
  <c r="AB79" i="21"/>
  <c r="AC79" i="21" s="1"/>
  <c r="AH79" i="21"/>
  <c r="AI79" i="21" s="1"/>
  <c r="R79" i="21"/>
  <c r="P79" i="21"/>
  <c r="Q79" i="21" s="1"/>
  <c r="AE79" i="21" s="1"/>
  <c r="AF79" i="21"/>
  <c r="V79" i="21"/>
  <c r="W79" i="21" s="1"/>
  <c r="X79" i="21" s="1"/>
  <c r="O79" i="21"/>
  <c r="AJ79" i="21" s="1"/>
  <c r="AB98" i="21"/>
  <c r="AC98" i="21" s="1"/>
  <c r="Y98" i="21"/>
  <c r="Z98" i="21" s="1"/>
  <c r="AA98" i="21" s="1"/>
  <c r="V98" i="21"/>
  <c r="W98" i="21" s="1"/>
  <c r="X98" i="21" s="1"/>
  <c r="R98" i="21"/>
  <c r="AF98" i="21"/>
  <c r="P98" i="21"/>
  <c r="Q98" i="21" s="1"/>
  <c r="AE98" i="21" s="1"/>
  <c r="AJ98" i="21"/>
  <c r="AK98" i="21" s="1"/>
  <c r="BD98" i="21" s="1"/>
  <c r="AX98" i="21" s="1"/>
  <c r="O98" i="21"/>
  <c r="AK94" i="21"/>
  <c r="BD94" i="21" s="1"/>
  <c r="AX94" i="21" s="1"/>
  <c r="AN93" i="21"/>
  <c r="BE93" i="21" s="1"/>
  <c r="AN54" i="21"/>
  <c r="BE54" i="21" s="1"/>
  <c r="S23" i="21"/>
  <c r="U23" i="21" s="1"/>
  <c r="BA23" i="21" s="1"/>
  <c r="AN99" i="21"/>
  <c r="BE99" i="21" s="1"/>
  <c r="BC64" i="23"/>
  <c r="AW64" i="23" s="1"/>
  <c r="AK95" i="21"/>
  <c r="BD95" i="21" s="1"/>
  <c r="AX95" i="21" s="1"/>
  <c r="AK101" i="21"/>
  <c r="BD101" i="21" s="1"/>
  <c r="AX101" i="21" s="1"/>
  <c r="BC32" i="23"/>
  <c r="AW32" i="23" s="1"/>
  <c r="BB32" i="23"/>
  <c r="AK99" i="21"/>
  <c r="BD99" i="21" s="1"/>
  <c r="AX99" i="21" s="1"/>
  <c r="AK10" i="21"/>
  <c r="BD10" i="21" s="1"/>
  <c r="AX10" i="21" s="1"/>
  <c r="BA32" i="23"/>
  <c r="AT32" i="23"/>
  <c r="AV32" i="23" s="1"/>
  <c r="AZ32" i="23" s="1"/>
  <c r="BA64" i="23"/>
  <c r="AT64" i="23"/>
  <c r="AV64" i="23" s="1"/>
  <c r="AZ64" i="23" s="1"/>
  <c r="AK38" i="21"/>
  <c r="BD38" i="21" s="1"/>
  <c r="AX38" i="21" s="1"/>
  <c r="S96" i="21"/>
  <c r="U96" i="21" s="1"/>
  <c r="BA96" i="21" s="1"/>
  <c r="AK60" i="21"/>
  <c r="BD60" i="21" s="1"/>
  <c r="AX60" i="21" s="1"/>
  <c r="AK45" i="21"/>
  <c r="BD45" i="21" s="1"/>
  <c r="AX45" i="21" s="1"/>
  <c r="AK14" i="21"/>
  <c r="BD14" i="21" s="1"/>
  <c r="AX14" i="21" s="1"/>
  <c r="AK35" i="21"/>
  <c r="BD35" i="21" s="1"/>
  <c r="AX35" i="21" s="1"/>
  <c r="AN29" i="21"/>
  <c r="BE29" i="21" s="1"/>
  <c r="AK32" i="21"/>
  <c r="BD32" i="21" s="1"/>
  <c r="AX32" i="21" s="1"/>
  <c r="AK21" i="21"/>
  <c r="BD21" i="21" s="1"/>
  <c r="AX21" i="21" s="1"/>
  <c r="AN102" i="21"/>
  <c r="BE102" i="21" s="1"/>
  <c r="AN84" i="21"/>
  <c r="BE84" i="21" s="1"/>
  <c r="B214" i="2"/>
  <c r="B224" i="2" s="1"/>
  <c r="B225" i="2" s="1"/>
  <c r="B211" i="2"/>
  <c r="AG38" i="21"/>
  <c r="BC38" i="21" s="1"/>
  <c r="AW38" i="21" s="1"/>
  <c r="D211" i="2"/>
  <c r="D214" i="2"/>
  <c r="AK93" i="21"/>
  <c r="BD93" i="21" s="1"/>
  <c r="AX93" i="21" s="1"/>
  <c r="AN68" i="21"/>
  <c r="BE68" i="21" s="1"/>
  <c r="AK97" i="21"/>
  <c r="BD97" i="21" s="1"/>
  <c r="AX97" i="21" s="1"/>
  <c r="AK16" i="21"/>
  <c r="BD16" i="21" s="1"/>
  <c r="AX16" i="21" s="1"/>
  <c r="AK39" i="21"/>
  <c r="BD39" i="21" s="1"/>
  <c r="AX39" i="21" s="1"/>
  <c r="AK82" i="21"/>
  <c r="BD82" i="21" s="1"/>
  <c r="AX82" i="21" s="1"/>
  <c r="AG45" i="21"/>
  <c r="BC45" i="21" s="1"/>
  <c r="AW45" i="21" s="1"/>
  <c r="AK68" i="21"/>
  <c r="BD68" i="21" s="1"/>
  <c r="AX68" i="21" s="1"/>
  <c r="AN47" i="21"/>
  <c r="BE47" i="21" s="1"/>
  <c r="S101" i="21"/>
  <c r="U101" i="21" s="1"/>
  <c r="BA101" i="21" s="1"/>
  <c r="AK47" i="21"/>
  <c r="BD47" i="21" s="1"/>
  <c r="AX47" i="21" s="1"/>
  <c r="AK28" i="21"/>
  <c r="BD28" i="21" s="1"/>
  <c r="AX28" i="21" s="1"/>
  <c r="AG56" i="21"/>
  <c r="BC56" i="21" s="1"/>
  <c r="AW56" i="21" s="1"/>
  <c r="AG94" i="21"/>
  <c r="BC94" i="21" s="1"/>
  <c r="AW94" i="21" s="1"/>
  <c r="AG54" i="21"/>
  <c r="BC54" i="21" s="1"/>
  <c r="AW54" i="21" s="1"/>
  <c r="AH63" i="21"/>
  <c r="AI63" i="21" s="1"/>
  <c r="AK84" i="21"/>
  <c r="BD84" i="21" s="1"/>
  <c r="AX84" i="21" s="1"/>
  <c r="AG47" i="21"/>
  <c r="AG19" i="21"/>
  <c r="BC19" i="21" s="1"/>
  <c r="AW19" i="21" s="1"/>
  <c r="AG23" i="21"/>
  <c r="BC23" i="21" s="1"/>
  <c r="AW23" i="21" s="1"/>
  <c r="AB40" i="21"/>
  <c r="AC40" i="21" s="1"/>
  <c r="AK104" i="21"/>
  <c r="BD104" i="21" s="1"/>
  <c r="AX104" i="21" s="1"/>
  <c r="AK58" i="21"/>
  <c r="BD58" i="21" s="1"/>
  <c r="AX58" i="21" s="1"/>
  <c r="AG32" i="21"/>
  <c r="BC32" i="21" s="1"/>
  <c r="AW32" i="21" s="1"/>
  <c r="AN21" i="21"/>
  <c r="BE21" i="21" s="1"/>
  <c r="AK102" i="21"/>
  <c r="BD102" i="21" s="1"/>
  <c r="AX102" i="21" s="1"/>
  <c r="AG72" i="21"/>
  <c r="BC72" i="21" s="1"/>
  <c r="AW72" i="21" s="1"/>
  <c r="AG14" i="21"/>
  <c r="BC14" i="21" s="1"/>
  <c r="AW14" i="21" s="1"/>
  <c r="S45" i="21"/>
  <c r="U45" i="21" s="1"/>
  <c r="AG28" i="21"/>
  <c r="BC28" i="21" s="1"/>
  <c r="AW28" i="21" s="1"/>
  <c r="AG96" i="21"/>
  <c r="BC96" i="21" s="1"/>
  <c r="AW96" i="21" s="1"/>
  <c r="AK26" i="21"/>
  <c r="BD26" i="21" s="1"/>
  <c r="AX26" i="21" s="1"/>
  <c r="AN86" i="21"/>
  <c r="BE86" i="21" s="1"/>
  <c r="AK31" i="21"/>
  <c r="BD31" i="21" s="1"/>
  <c r="AX31" i="21" s="1"/>
  <c r="S12" i="21"/>
  <c r="U12" i="21" s="1"/>
  <c r="BA12" i="21" s="1"/>
  <c r="AG97" i="21"/>
  <c r="BC97" i="21" s="1"/>
  <c r="AW97" i="21" s="1"/>
  <c r="AK11" i="21"/>
  <c r="BD11" i="21" s="1"/>
  <c r="AX11" i="21" s="1"/>
  <c r="AG95" i="21"/>
  <c r="AG101" i="21"/>
  <c r="BC101" i="21" s="1"/>
  <c r="AW101" i="21" s="1"/>
  <c r="AG65" i="21"/>
  <c r="BC65" i="21" s="1"/>
  <c r="AW65" i="21" s="1"/>
  <c r="AK96" i="21"/>
  <c r="BD96" i="21" s="1"/>
  <c r="AX96" i="21" s="1"/>
  <c r="AK72" i="21"/>
  <c r="BD72" i="21" s="1"/>
  <c r="AX72" i="21" s="1"/>
  <c r="AG12" i="21"/>
  <c r="BC12" i="21" s="1"/>
  <c r="AW12" i="21" s="1"/>
  <c r="AK65" i="21"/>
  <c r="BD65" i="21" s="1"/>
  <c r="AX65" i="21" s="1"/>
  <c r="AK29" i="21"/>
  <c r="BD29" i="21" s="1"/>
  <c r="AX29" i="21" s="1"/>
  <c r="S57" i="21"/>
  <c r="U57" i="21" s="1"/>
  <c r="BA57" i="21" s="1"/>
  <c r="AK86" i="21"/>
  <c r="BD86" i="21" s="1"/>
  <c r="AX86" i="21" s="1"/>
  <c r="AG68" i="21"/>
  <c r="BC68" i="21" s="1"/>
  <c r="AW68" i="21" s="1"/>
  <c r="AN16" i="21"/>
  <c r="BE16" i="21" s="1"/>
  <c r="S16" i="21"/>
  <c r="U16" i="21" s="1"/>
  <c r="BA16" i="21" s="1"/>
  <c r="AK88" i="21"/>
  <c r="BD88" i="21" s="1"/>
  <c r="AX88" i="21" s="1"/>
  <c r="AH73" i="21"/>
  <c r="AI73" i="21" s="1"/>
  <c r="AK46" i="21"/>
  <c r="BD46" i="21" s="1"/>
  <c r="AX46" i="21" s="1"/>
  <c r="Y74" i="21"/>
  <c r="Z74" i="21" s="1"/>
  <c r="AA74" i="21" s="1"/>
  <c r="Y55" i="21"/>
  <c r="Z55" i="21" s="1"/>
  <c r="AA55" i="21" s="1"/>
  <c r="AH74" i="21"/>
  <c r="AI74" i="21" s="1"/>
  <c r="AK80" i="21"/>
  <c r="BD80" i="21" s="1"/>
  <c r="AX80" i="21" s="1"/>
  <c r="AG108" i="21"/>
  <c r="BC108" i="21" s="1"/>
  <c r="AW108" i="21" s="1"/>
  <c r="AK41" i="21"/>
  <c r="BD41" i="21" s="1"/>
  <c r="AX41" i="21" s="1"/>
  <c r="AK57" i="21"/>
  <c r="BD57" i="21" s="1"/>
  <c r="AX57" i="21" s="1"/>
  <c r="Y40" i="21"/>
  <c r="Z40" i="21" s="1"/>
  <c r="AA40" i="21" s="1"/>
  <c r="AH53" i="21"/>
  <c r="AI53" i="21" s="1"/>
  <c r="AG11" i="21"/>
  <c r="BC11" i="21" s="1"/>
  <c r="AW11" i="21" s="1"/>
  <c r="AH52" i="21"/>
  <c r="AI52" i="21" s="1"/>
  <c r="AG93" i="21"/>
  <c r="BA29" i="23"/>
  <c r="AT29" i="23"/>
  <c r="AV29" i="23" s="1"/>
  <c r="AZ29" i="23" s="1"/>
  <c r="BB29" i="23"/>
  <c r="BC29" i="23"/>
  <c r="AW29" i="23" s="1"/>
  <c r="AG35" i="21"/>
  <c r="BC35" i="21" s="1"/>
  <c r="AW35" i="21" s="1"/>
  <c r="AB49" i="21"/>
  <c r="AC49" i="21" s="1"/>
  <c r="AG91" i="21"/>
  <c r="AK91" i="21"/>
  <c r="BD91" i="21" s="1"/>
  <c r="AX91" i="21" s="1"/>
  <c r="BA14" i="23"/>
  <c r="AH49" i="21"/>
  <c r="AI49" i="21" s="1"/>
  <c r="AG84" i="21"/>
  <c r="BA31" i="23"/>
  <c r="AG76" i="21"/>
  <c r="BC76" i="21" s="1"/>
  <c r="AW76" i="21" s="1"/>
  <c r="AK36" i="21"/>
  <c r="BD36" i="21" s="1"/>
  <c r="AX36" i="21" s="1"/>
  <c r="Y63" i="21"/>
  <c r="Z63" i="21" s="1"/>
  <c r="AA63" i="21" s="1"/>
  <c r="Y107" i="21"/>
  <c r="Z107" i="21" s="1"/>
  <c r="AA107" i="21" s="1"/>
  <c r="Y15" i="21"/>
  <c r="Z15" i="21" s="1"/>
  <c r="AA15" i="21" s="1"/>
  <c r="AG82" i="21"/>
  <c r="BC82" i="21" s="1"/>
  <c r="AW82" i="21" s="1"/>
  <c r="AK27" i="21"/>
  <c r="BD27" i="21" s="1"/>
  <c r="AX27" i="21" s="1"/>
  <c r="AK17" i="21"/>
  <c r="BD17" i="21" s="1"/>
  <c r="AX17" i="21" s="1"/>
  <c r="AK12" i="21"/>
  <c r="BD12" i="21" s="1"/>
  <c r="AX12" i="21" s="1"/>
  <c r="AG102" i="21"/>
  <c r="AG104" i="21"/>
  <c r="AK19" i="21"/>
  <c r="BD19" i="21" s="1"/>
  <c r="AX19" i="21" s="1"/>
  <c r="AH107" i="21"/>
  <c r="AI107" i="21" s="1"/>
  <c r="AG16" i="21"/>
  <c r="BA10" i="23"/>
  <c r="AN31" i="21"/>
  <c r="BE31" i="21" s="1"/>
  <c r="S31" i="21"/>
  <c r="U31" i="21" s="1"/>
  <c r="V90" i="21"/>
  <c r="W90" i="21" s="1"/>
  <c r="X90" i="21" s="1"/>
  <c r="AF90" i="21"/>
  <c r="O90" i="21"/>
  <c r="AJ90" i="21"/>
  <c r="P90" i="21"/>
  <c r="Q90" i="21" s="1"/>
  <c r="AE90" i="21" s="1"/>
  <c r="R90" i="21"/>
  <c r="AN30" i="21"/>
  <c r="BE30" i="21" s="1"/>
  <c r="S30" i="21"/>
  <c r="U30" i="21" s="1"/>
  <c r="AG36" i="21"/>
  <c r="BA102" i="21"/>
  <c r="AN65" i="21"/>
  <c r="BE65" i="21" s="1"/>
  <c r="S65" i="21"/>
  <c r="U65" i="21" s="1"/>
  <c r="AG58" i="21"/>
  <c r="AH90" i="21"/>
  <c r="AI90" i="21" s="1"/>
  <c r="S80" i="21"/>
  <c r="U80" i="21" s="1"/>
  <c r="AN80" i="21"/>
  <c r="BE80" i="21" s="1"/>
  <c r="AN108" i="21"/>
  <c r="BE108" i="21" s="1"/>
  <c r="S108" i="21"/>
  <c r="U108" i="21" s="1"/>
  <c r="B126" i="2"/>
  <c r="L128" i="2"/>
  <c r="K127" i="2"/>
  <c r="AK54" i="21"/>
  <c r="BD54" i="21" s="1"/>
  <c r="AX54" i="21" s="1"/>
  <c r="AK23" i="21"/>
  <c r="BD23" i="21" s="1"/>
  <c r="AX23" i="21" s="1"/>
  <c r="V109" i="21"/>
  <c r="W109" i="21" s="1"/>
  <c r="X109" i="21" s="1"/>
  <c r="P109" i="21"/>
  <c r="Q109" i="21" s="1"/>
  <c r="AE109" i="21" s="1"/>
  <c r="AF109" i="21"/>
  <c r="AJ109" i="21"/>
  <c r="O109" i="21"/>
  <c r="R109" i="21"/>
  <c r="AN88" i="21"/>
  <c r="BE88" i="21" s="1"/>
  <c r="S88" i="21"/>
  <c r="U88" i="21" s="1"/>
  <c r="BA93" i="21"/>
  <c r="AN26" i="21"/>
  <c r="BE26" i="21" s="1"/>
  <c r="S26" i="21"/>
  <c r="U26" i="21" s="1"/>
  <c r="E18" i="1"/>
  <c r="N18" i="8"/>
  <c r="O18" i="8" s="1"/>
  <c r="B396" i="2" s="1"/>
  <c r="AG21" i="21"/>
  <c r="AB103" i="21"/>
  <c r="AC103" i="21" s="1"/>
  <c r="AK64" i="21"/>
  <c r="BD64" i="21" s="1"/>
  <c r="AX64" i="21" s="1"/>
  <c r="AB55" i="21"/>
  <c r="AC55" i="21" s="1"/>
  <c r="S33" i="21"/>
  <c r="U33" i="21" s="1"/>
  <c r="AN33" i="21"/>
  <c r="BE33" i="21" s="1"/>
  <c r="AG41" i="21"/>
  <c r="V43" i="21"/>
  <c r="W43" i="21" s="1"/>
  <c r="X43" i="21" s="1"/>
  <c r="O43" i="21"/>
  <c r="AJ43" i="21" s="1"/>
  <c r="P43" i="21"/>
  <c r="Q43" i="21" s="1"/>
  <c r="AE43" i="21" s="1"/>
  <c r="R43" i="21"/>
  <c r="AF43" i="21"/>
  <c r="AG20" i="21"/>
  <c r="AG99" i="21"/>
  <c r="AG57" i="21"/>
  <c r="AH103" i="21"/>
  <c r="AI103" i="21" s="1"/>
  <c r="S72" i="21"/>
  <c r="U72" i="21" s="1"/>
  <c r="AN72" i="21"/>
  <c r="BE72" i="21" s="1"/>
  <c r="AN95" i="21"/>
  <c r="BE95" i="21" s="1"/>
  <c r="S95" i="21"/>
  <c r="U95" i="21" s="1"/>
  <c r="AB81" i="21"/>
  <c r="AC81" i="21" s="1"/>
  <c r="AG64" i="21"/>
  <c r="AG30" i="21"/>
  <c r="Y83" i="21"/>
  <c r="Z83" i="21" s="1"/>
  <c r="AA83" i="21" s="1"/>
  <c r="AH109" i="21"/>
  <c r="AI109" i="21" s="1"/>
  <c r="AK33" i="21"/>
  <c r="BD33" i="21" s="1"/>
  <c r="AX33" i="21" s="1"/>
  <c r="AG71" i="21"/>
  <c r="BA21" i="21"/>
  <c r="Y62" i="21"/>
  <c r="Z62" i="21" s="1"/>
  <c r="AA62" i="21" s="1"/>
  <c r="Y81" i="21"/>
  <c r="Z81" i="21" s="1"/>
  <c r="AA81" i="21" s="1"/>
  <c r="BA29" i="21"/>
  <c r="AB83" i="21"/>
  <c r="AC83" i="21" s="1"/>
  <c r="AB109" i="21"/>
  <c r="AC109" i="21" s="1"/>
  <c r="V106" i="21"/>
  <c r="W106" i="21" s="1"/>
  <c r="X106" i="21" s="1"/>
  <c r="R106" i="21"/>
  <c r="AJ106" i="21"/>
  <c r="P106" i="21"/>
  <c r="Q106" i="21" s="1"/>
  <c r="AE106" i="21" s="1"/>
  <c r="AF106" i="21"/>
  <c r="O106" i="21"/>
  <c r="AN76" i="21"/>
  <c r="BE76" i="21" s="1"/>
  <c r="S76" i="21"/>
  <c r="U76" i="21" s="1"/>
  <c r="S97" i="21"/>
  <c r="U97" i="21" s="1"/>
  <c r="AN97" i="21"/>
  <c r="BE97" i="21" s="1"/>
  <c r="AG29" i="21"/>
  <c r="BA54" i="21"/>
  <c r="AB62" i="21"/>
  <c r="AC62" i="21" s="1"/>
  <c r="V13" i="21"/>
  <c r="W13" i="21" s="1"/>
  <c r="X13" i="21" s="1"/>
  <c r="P13" i="21"/>
  <c r="Q13" i="21" s="1"/>
  <c r="AE13" i="21" s="1"/>
  <c r="O13" i="21"/>
  <c r="AJ13" i="21" s="1"/>
  <c r="R13" i="21"/>
  <c r="AF13" i="21"/>
  <c r="AB44" i="21"/>
  <c r="AC44" i="21" s="1"/>
  <c r="BA84" i="21"/>
  <c r="Y109" i="21"/>
  <c r="Z109" i="21" s="1"/>
  <c r="AA109" i="21" s="1"/>
  <c r="AG33" i="21"/>
  <c r="AN71" i="21"/>
  <c r="BE71" i="21" s="1"/>
  <c r="S71" i="21"/>
  <c r="U71" i="21" s="1"/>
  <c r="AG17" i="21"/>
  <c r="AN10" i="21"/>
  <c r="BE10" i="21" s="1"/>
  <c r="S10" i="21"/>
  <c r="U10" i="21" s="1"/>
  <c r="V103" i="21"/>
  <c r="W103" i="21" s="1"/>
  <c r="X103" i="21" s="1"/>
  <c r="AF103" i="21"/>
  <c r="O103" i="21"/>
  <c r="P103" i="21"/>
  <c r="Q103" i="21" s="1"/>
  <c r="AE103" i="21" s="1"/>
  <c r="AJ103" i="21"/>
  <c r="R103" i="21"/>
  <c r="V92" i="21"/>
  <c r="W92" i="21" s="1"/>
  <c r="X92" i="21" s="1"/>
  <c r="O92" i="21"/>
  <c r="P92" i="21"/>
  <c r="Q92" i="21" s="1"/>
  <c r="AE92" i="21" s="1"/>
  <c r="R92" i="21"/>
  <c r="AJ92" i="21"/>
  <c r="AF92" i="21"/>
  <c r="V69" i="21"/>
  <c r="W69" i="21" s="1"/>
  <c r="X69" i="21" s="1"/>
  <c r="O69" i="21"/>
  <c r="AJ69" i="21"/>
  <c r="R69" i="21"/>
  <c r="P69" i="21"/>
  <c r="Q69" i="21" s="1"/>
  <c r="AE69" i="21" s="1"/>
  <c r="AF69" i="21"/>
  <c r="AB53" i="21"/>
  <c r="AC53" i="21" s="1"/>
  <c r="AK20" i="21"/>
  <c r="BD20" i="21" s="1"/>
  <c r="AX20" i="21" s="1"/>
  <c r="AN20" i="21"/>
  <c r="BE20" i="21" s="1"/>
  <c r="S20" i="21"/>
  <c r="U20" i="21" s="1"/>
  <c r="Y44" i="21"/>
  <c r="Z44" i="21" s="1"/>
  <c r="AA44" i="21" s="1"/>
  <c r="AN19" i="21"/>
  <c r="BE19" i="21" s="1"/>
  <c r="S19" i="21"/>
  <c r="U19" i="21" s="1"/>
  <c r="S17" i="21"/>
  <c r="U17" i="21" s="1"/>
  <c r="AN17" i="21"/>
  <c r="BE17" i="21" s="1"/>
  <c r="AN36" i="21"/>
  <c r="BE36" i="21" s="1"/>
  <c r="S36" i="21"/>
  <c r="U36" i="21" s="1"/>
  <c r="S14" i="21"/>
  <c r="U14" i="21" s="1"/>
  <c r="AN14" i="21"/>
  <c r="BE14" i="21" s="1"/>
  <c r="BA47" i="21"/>
  <c r="V85" i="21"/>
  <c r="W85" i="21" s="1"/>
  <c r="X85" i="21" s="1"/>
  <c r="R85" i="21"/>
  <c r="O85" i="21"/>
  <c r="P85" i="21"/>
  <c r="Q85" i="21" s="1"/>
  <c r="AE85" i="21" s="1"/>
  <c r="AJ85" i="21"/>
  <c r="AF85" i="21"/>
  <c r="V81" i="21"/>
  <c r="W81" i="21" s="1"/>
  <c r="X81" i="21" s="1"/>
  <c r="AF81" i="21"/>
  <c r="AJ81" i="21"/>
  <c r="AK81" i="21" s="1"/>
  <c r="BD81" i="21" s="1"/>
  <c r="AX81" i="21" s="1"/>
  <c r="R81" i="21"/>
  <c r="O81" i="21"/>
  <c r="P81" i="21"/>
  <c r="Q81" i="21" s="1"/>
  <c r="AE81" i="21" s="1"/>
  <c r="V89" i="21"/>
  <c r="W89" i="21" s="1"/>
  <c r="X89" i="21" s="1"/>
  <c r="AF89" i="21"/>
  <c r="R89" i="21"/>
  <c r="AJ89" i="21"/>
  <c r="P89" i="21"/>
  <c r="Q89" i="21" s="1"/>
  <c r="AE89" i="21" s="1"/>
  <c r="O89" i="21"/>
  <c r="AK30" i="21"/>
  <c r="BD30" i="21" s="1"/>
  <c r="AX30" i="21" s="1"/>
  <c r="BA99" i="21"/>
  <c r="AK56" i="21"/>
  <c r="BD56" i="21" s="1"/>
  <c r="AX56" i="21" s="1"/>
  <c r="S27" i="21"/>
  <c r="U27" i="21" s="1"/>
  <c r="AN27" i="21"/>
  <c r="BE27" i="21" s="1"/>
  <c r="AK71" i="21"/>
  <c r="BD71" i="21" s="1"/>
  <c r="AX71" i="21" s="1"/>
  <c r="V53" i="21"/>
  <c r="W53" i="21" s="1"/>
  <c r="X53" i="21" s="1"/>
  <c r="O53" i="21"/>
  <c r="AF53" i="21"/>
  <c r="AJ53" i="21"/>
  <c r="P53" i="21"/>
  <c r="Q53" i="21" s="1"/>
  <c r="AE53" i="21" s="1"/>
  <c r="R53" i="21"/>
  <c r="AN58" i="21"/>
  <c r="BE58" i="21" s="1"/>
  <c r="S58" i="21"/>
  <c r="U58" i="21" s="1"/>
  <c r="AG39" i="21"/>
  <c r="AB52" i="21"/>
  <c r="AC52" i="21" s="1"/>
  <c r="AN60" i="21"/>
  <c r="BE60" i="21" s="1"/>
  <c r="S60" i="21"/>
  <c r="U60" i="21" s="1"/>
  <c r="AG75" i="21"/>
  <c r="Y92" i="21"/>
  <c r="Z92" i="21" s="1"/>
  <c r="AA92" i="21" s="1"/>
  <c r="Y85" i="21"/>
  <c r="Z85" i="21" s="1"/>
  <c r="AA85" i="21" s="1"/>
  <c r="Y89" i="21"/>
  <c r="Z89" i="21" s="1"/>
  <c r="AA89" i="21" s="1"/>
  <c r="AB37" i="21"/>
  <c r="AC37" i="21" s="1"/>
  <c r="AG27" i="21"/>
  <c r="AN61" i="21"/>
  <c r="BE61" i="21" s="1"/>
  <c r="S61" i="21"/>
  <c r="U61" i="21" s="1"/>
  <c r="V55" i="21"/>
  <c r="W55" i="21" s="1"/>
  <c r="X55" i="21" s="1"/>
  <c r="R55" i="21"/>
  <c r="AF55" i="21"/>
  <c r="O55" i="21"/>
  <c r="P55" i="21"/>
  <c r="Q55" i="21" s="1"/>
  <c r="AE55" i="21" s="1"/>
  <c r="AJ55" i="21"/>
  <c r="AK55" i="21" s="1"/>
  <c r="BD55" i="21" s="1"/>
  <c r="AX55" i="21" s="1"/>
  <c r="V15" i="21"/>
  <c r="W15" i="21" s="1"/>
  <c r="X15" i="21" s="1"/>
  <c r="R15" i="21"/>
  <c r="O15" i="21"/>
  <c r="AJ15" i="21" s="1"/>
  <c r="AF15" i="21"/>
  <c r="P15" i="21"/>
  <c r="Q15" i="21" s="1"/>
  <c r="AE15" i="21" s="1"/>
  <c r="AH92" i="21"/>
  <c r="AI92" i="21" s="1"/>
  <c r="V59" i="21"/>
  <c r="W59" i="21" s="1"/>
  <c r="X59" i="21" s="1"/>
  <c r="O59" i="21"/>
  <c r="AJ59" i="21"/>
  <c r="R59" i="21"/>
  <c r="P59" i="21"/>
  <c r="Q59" i="21" s="1"/>
  <c r="AE59" i="21" s="1"/>
  <c r="AF59" i="21"/>
  <c r="V74" i="21"/>
  <c r="W74" i="21" s="1"/>
  <c r="X74" i="21" s="1"/>
  <c r="O74" i="21"/>
  <c r="AJ74" i="21"/>
  <c r="R74" i="21"/>
  <c r="AF74" i="21"/>
  <c r="P74" i="21"/>
  <c r="Q74" i="21" s="1"/>
  <c r="AE74" i="21" s="1"/>
  <c r="BA86" i="21"/>
  <c r="S28" i="21"/>
  <c r="U28" i="21" s="1"/>
  <c r="AN28" i="21"/>
  <c r="BE28" i="21" s="1"/>
  <c r="AH85" i="21"/>
  <c r="AI85" i="21" s="1"/>
  <c r="AH15" i="21"/>
  <c r="AI15" i="21" s="1"/>
  <c r="AH89" i="21"/>
  <c r="AI89" i="21" s="1"/>
  <c r="AH37" i="21"/>
  <c r="AI37" i="21" s="1"/>
  <c r="AN70" i="21"/>
  <c r="BE70" i="21" s="1"/>
  <c r="S70" i="21"/>
  <c r="U70" i="21" s="1"/>
  <c r="AG78" i="21"/>
  <c r="AG61" i="21"/>
  <c r="V22" i="21"/>
  <c r="W22" i="21" s="1"/>
  <c r="X22" i="21" s="1"/>
  <c r="R22" i="21"/>
  <c r="P22" i="21"/>
  <c r="Q22" i="21" s="1"/>
  <c r="AE22" i="21" s="1"/>
  <c r="AF22" i="21"/>
  <c r="O22" i="21"/>
  <c r="AJ22" i="21" s="1"/>
  <c r="AK22" i="21" s="1"/>
  <c r="BD22" i="21" s="1"/>
  <c r="AX22" i="21" s="1"/>
  <c r="V62" i="21"/>
  <c r="W62" i="21" s="1"/>
  <c r="X62" i="21" s="1"/>
  <c r="O62" i="21"/>
  <c r="AF62" i="21"/>
  <c r="P62" i="21"/>
  <c r="Q62" i="21" s="1"/>
  <c r="AE62" i="21" s="1"/>
  <c r="AJ62" i="21"/>
  <c r="AK62" i="21" s="1"/>
  <c r="BD62" i="21" s="1"/>
  <c r="AX62" i="21" s="1"/>
  <c r="R62" i="21"/>
  <c r="AN82" i="21"/>
  <c r="BE82" i="21" s="1"/>
  <c r="S82" i="21"/>
  <c r="U82" i="21" s="1"/>
  <c r="AN94" i="21"/>
  <c r="BE94" i="21" s="1"/>
  <c r="S94" i="21"/>
  <c r="U94" i="21" s="1"/>
  <c r="Y22" i="21"/>
  <c r="Z22" i="21" s="1"/>
  <c r="AA22" i="21" s="1"/>
  <c r="V25" i="21"/>
  <c r="W25" i="21" s="1"/>
  <c r="X25" i="21" s="1"/>
  <c r="AF25" i="21"/>
  <c r="P25" i="21"/>
  <c r="Q25" i="21" s="1"/>
  <c r="AE25" i="21" s="1"/>
  <c r="R25" i="21"/>
  <c r="O25" i="21"/>
  <c r="AJ25" i="21" s="1"/>
  <c r="Y48" i="21"/>
  <c r="Z48" i="21" s="1"/>
  <c r="AA48" i="21" s="1"/>
  <c r="B103" i="2"/>
  <c r="B107" i="2" s="1"/>
  <c r="E23" i="1"/>
  <c r="AG31" i="21"/>
  <c r="AB25" i="21"/>
  <c r="AC25" i="21" s="1"/>
  <c r="AK70" i="21"/>
  <c r="BD70" i="21" s="1"/>
  <c r="AX70" i="21" s="1"/>
  <c r="AK78" i="21"/>
  <c r="BD78" i="21" s="1"/>
  <c r="AX78" i="21" s="1"/>
  <c r="AK61" i="21"/>
  <c r="BD61" i="21" s="1"/>
  <c r="AX61" i="21" s="1"/>
  <c r="V49" i="21"/>
  <c r="W49" i="21" s="1"/>
  <c r="X49" i="21" s="1"/>
  <c r="AF49" i="21"/>
  <c r="P49" i="21"/>
  <c r="Q49" i="21" s="1"/>
  <c r="AE49" i="21" s="1"/>
  <c r="O49" i="21"/>
  <c r="AJ49" i="21" s="1"/>
  <c r="R49" i="21"/>
  <c r="AH43" i="21"/>
  <c r="AI43" i="21" s="1"/>
  <c r="AG88" i="21"/>
  <c r="V107" i="21"/>
  <c r="W107" i="21" s="1"/>
  <c r="X107" i="21" s="1"/>
  <c r="AF107" i="21"/>
  <c r="O107" i="21"/>
  <c r="R107" i="21"/>
  <c r="P107" i="21"/>
  <c r="Q107" i="21" s="1"/>
  <c r="AE107" i="21" s="1"/>
  <c r="AJ107" i="21"/>
  <c r="AB22" i="21"/>
  <c r="AC22" i="21" s="1"/>
  <c r="AN11" i="21"/>
  <c r="BE11" i="21" s="1"/>
  <c r="S11" i="21"/>
  <c r="U11" i="21" s="1"/>
  <c r="AN75" i="21"/>
  <c r="BE75" i="21" s="1"/>
  <c r="S75" i="21"/>
  <c r="U75" i="21" s="1"/>
  <c r="AB48" i="21"/>
  <c r="AC48" i="21" s="1"/>
  <c r="AG46" i="21"/>
  <c r="S46" i="21"/>
  <c r="U46" i="21" s="1"/>
  <c r="AN46" i="21"/>
  <c r="BE46" i="21" s="1"/>
  <c r="AB69" i="21"/>
  <c r="AC69" i="21" s="1"/>
  <c r="AG26" i="21"/>
  <c r="BA51" i="21"/>
  <c r="Y106" i="21"/>
  <c r="Z106" i="21" s="1"/>
  <c r="AA106" i="21" s="1"/>
  <c r="Y24" i="21"/>
  <c r="Z24" i="21" s="1"/>
  <c r="AA24" i="21" s="1"/>
  <c r="AH25" i="21"/>
  <c r="AI25" i="21" s="1"/>
  <c r="AG70" i="21"/>
  <c r="AK105" i="21"/>
  <c r="BD105" i="21" s="1"/>
  <c r="AX105" i="21" s="1"/>
  <c r="BA68" i="21"/>
  <c r="AN78" i="21"/>
  <c r="BE78" i="21" s="1"/>
  <c r="S78" i="21"/>
  <c r="U78" i="21" s="1"/>
  <c r="AG60" i="21"/>
  <c r="AN64" i="21"/>
  <c r="BE64" i="21" s="1"/>
  <c r="S64" i="21"/>
  <c r="U64" i="21" s="1"/>
  <c r="Y43" i="21"/>
  <c r="Z43" i="21" s="1"/>
  <c r="AA43" i="21" s="1"/>
  <c r="AN35" i="21"/>
  <c r="BE35" i="21" s="1"/>
  <c r="S35" i="21"/>
  <c r="U35" i="21" s="1"/>
  <c r="AN56" i="21"/>
  <c r="BE56" i="21" s="1"/>
  <c r="S56" i="21"/>
  <c r="U56" i="21" s="1"/>
  <c r="AN39" i="21"/>
  <c r="BE39" i="21" s="1"/>
  <c r="S39" i="21"/>
  <c r="U39" i="21" s="1"/>
  <c r="Y69" i="21"/>
  <c r="Z69" i="21" s="1"/>
  <c r="AA69" i="21" s="1"/>
  <c r="Y59" i="21"/>
  <c r="Z59" i="21" s="1"/>
  <c r="AA59" i="21" s="1"/>
  <c r="AB106" i="21"/>
  <c r="AC106" i="21" s="1"/>
  <c r="AG66" i="21"/>
  <c r="AB13" i="21"/>
  <c r="AC13" i="21" s="1"/>
  <c r="AK34" i="21"/>
  <c r="BD34" i="21" s="1"/>
  <c r="AX34" i="21" s="1"/>
  <c r="V40" i="21"/>
  <c r="W40" i="21" s="1"/>
  <c r="X40" i="21" s="1"/>
  <c r="R40" i="21"/>
  <c r="AF40" i="21"/>
  <c r="P40" i="21"/>
  <c r="Q40" i="21" s="1"/>
  <c r="AE40" i="21" s="1"/>
  <c r="O40" i="21"/>
  <c r="AJ40" i="21" s="1"/>
  <c r="AK40" i="21" s="1"/>
  <c r="BD40" i="21" s="1"/>
  <c r="AX40" i="21" s="1"/>
  <c r="AB43" i="21"/>
  <c r="AC43" i="21" s="1"/>
  <c r="V44" i="21"/>
  <c r="W44" i="21" s="1"/>
  <c r="X44" i="21" s="1"/>
  <c r="AF44" i="21"/>
  <c r="R44" i="21"/>
  <c r="O44" i="21"/>
  <c r="AJ44" i="21" s="1"/>
  <c r="AK44" i="21" s="1"/>
  <c r="BD44" i="21" s="1"/>
  <c r="AX44" i="21" s="1"/>
  <c r="P44" i="21"/>
  <c r="Q44" i="21" s="1"/>
  <c r="AE44" i="21" s="1"/>
  <c r="AN91" i="21"/>
  <c r="BE91" i="21" s="1"/>
  <c r="S91" i="21"/>
  <c r="U91" i="21" s="1"/>
  <c r="V24" i="21"/>
  <c r="W24" i="21" s="1"/>
  <c r="X24" i="21" s="1"/>
  <c r="P24" i="21"/>
  <c r="Q24" i="21" s="1"/>
  <c r="AE24" i="21" s="1"/>
  <c r="AF24" i="21"/>
  <c r="O24" i="21"/>
  <c r="AJ24" i="21" s="1"/>
  <c r="R24" i="21"/>
  <c r="V83" i="21"/>
  <c r="W83" i="21" s="1"/>
  <c r="X83" i="21" s="1"/>
  <c r="AF83" i="21"/>
  <c r="AJ83" i="21"/>
  <c r="AK83" i="21" s="1"/>
  <c r="BD83" i="21" s="1"/>
  <c r="AX83" i="21" s="1"/>
  <c r="R83" i="21"/>
  <c r="P83" i="21"/>
  <c r="Q83" i="21" s="1"/>
  <c r="AE83" i="21" s="1"/>
  <c r="O83" i="21"/>
  <c r="AN32" i="21"/>
  <c r="BE32" i="21" s="1"/>
  <c r="S32" i="21"/>
  <c r="U32" i="21" s="1"/>
  <c r="AG86" i="21"/>
  <c r="V9" i="21"/>
  <c r="W9" i="21" s="1"/>
  <c r="X9" i="21" s="1"/>
  <c r="AF9" i="21"/>
  <c r="O9" i="21"/>
  <c r="AJ9" i="21" s="1"/>
  <c r="R9" i="21"/>
  <c r="P9" i="21"/>
  <c r="Q9" i="21" s="1"/>
  <c r="AE9" i="21" s="1"/>
  <c r="V37" i="21"/>
  <c r="W37" i="21" s="1"/>
  <c r="X37" i="21" s="1"/>
  <c r="AF37" i="21"/>
  <c r="O37" i="21"/>
  <c r="AJ37" i="21" s="1"/>
  <c r="P37" i="21"/>
  <c r="Q37" i="21" s="1"/>
  <c r="AE37" i="21" s="1"/>
  <c r="R37" i="21"/>
  <c r="AT100" i="21"/>
  <c r="AV100" i="21" s="1"/>
  <c r="AZ100" i="21" s="1"/>
  <c r="BA100" i="21"/>
  <c r="AH69" i="21"/>
  <c r="AI69" i="21" s="1"/>
  <c r="AB59" i="21"/>
  <c r="AC59" i="21" s="1"/>
  <c r="Y9" i="21"/>
  <c r="Z9" i="21" s="1"/>
  <c r="AA9" i="21" s="1"/>
  <c r="AH106" i="21"/>
  <c r="AI106" i="21" s="1"/>
  <c r="AH24" i="21"/>
  <c r="AI24" i="21" s="1"/>
  <c r="AK66" i="21"/>
  <c r="BD66" i="21" s="1"/>
  <c r="AX66" i="21" s="1"/>
  <c r="AH13" i="21"/>
  <c r="AI13" i="21" s="1"/>
  <c r="AG34" i="21"/>
  <c r="AK108" i="21"/>
  <c r="BD108" i="21" s="1"/>
  <c r="AX108" i="21" s="1"/>
  <c r="S105" i="21"/>
  <c r="U105" i="21" s="1"/>
  <c r="AN105" i="21"/>
  <c r="BE105" i="21" s="1"/>
  <c r="S38" i="21"/>
  <c r="U38" i="21" s="1"/>
  <c r="AN38" i="21"/>
  <c r="BE38" i="21" s="1"/>
  <c r="V52" i="21"/>
  <c r="W52" i="21" s="1"/>
  <c r="X52" i="21" s="1"/>
  <c r="P52" i="21"/>
  <c r="Q52" i="21" s="1"/>
  <c r="AE52" i="21" s="1"/>
  <c r="R52" i="21"/>
  <c r="O52" i="21"/>
  <c r="AJ52" i="21" s="1"/>
  <c r="AF52" i="21"/>
  <c r="V73" i="21"/>
  <c r="W73" i="21" s="1"/>
  <c r="X73" i="21" s="1"/>
  <c r="R73" i="21"/>
  <c r="P73" i="21"/>
  <c r="Q73" i="21" s="1"/>
  <c r="AE73" i="21" s="1"/>
  <c r="AF73" i="21"/>
  <c r="O73" i="21"/>
  <c r="AJ73" i="21" s="1"/>
  <c r="Y73" i="21"/>
  <c r="Z73" i="21" s="1"/>
  <c r="AA73" i="21" s="1"/>
  <c r="V63" i="21"/>
  <c r="W63" i="21" s="1"/>
  <c r="X63" i="21" s="1"/>
  <c r="P63" i="21"/>
  <c r="Q63" i="21" s="1"/>
  <c r="AE63" i="21" s="1"/>
  <c r="R63" i="21"/>
  <c r="AJ63" i="21"/>
  <c r="O63" i="21"/>
  <c r="AF63" i="21"/>
  <c r="AN104" i="21"/>
  <c r="BE104" i="21" s="1"/>
  <c r="S104" i="21"/>
  <c r="U104" i="21" s="1"/>
  <c r="BB100" i="21"/>
  <c r="BC100" i="21"/>
  <c r="AW100" i="21" s="1"/>
  <c r="AH59" i="21"/>
  <c r="AI59" i="21" s="1"/>
  <c r="AH9" i="21"/>
  <c r="AI9" i="21" s="1"/>
  <c r="AG10" i="21"/>
  <c r="Y90" i="21"/>
  <c r="Z90" i="21" s="1"/>
  <c r="AA90" i="21" s="1"/>
  <c r="Y13" i="21"/>
  <c r="Z13" i="21" s="1"/>
  <c r="AA13" i="21" s="1"/>
  <c r="AG80" i="21"/>
  <c r="AN34" i="21"/>
  <c r="BE34" i="21" s="1"/>
  <c r="S34" i="21"/>
  <c r="U34" i="21" s="1"/>
  <c r="AN41" i="21"/>
  <c r="BE41" i="21" s="1"/>
  <c r="S41" i="21"/>
  <c r="U41" i="21" s="1"/>
  <c r="AG105" i="21"/>
  <c r="V48" i="21"/>
  <c r="W48" i="21" s="1"/>
  <c r="X48" i="21" s="1"/>
  <c r="P48" i="21"/>
  <c r="Q48" i="21" s="1"/>
  <c r="AE48" i="21" s="1"/>
  <c r="AF48" i="21"/>
  <c r="R48" i="21"/>
  <c r="O48" i="21"/>
  <c r="AJ48" i="21" s="1"/>
  <c r="AK48" i="21" s="1"/>
  <c r="BD48" i="21" s="1"/>
  <c r="AX48" i="21" s="1"/>
  <c r="AN66" i="21"/>
  <c r="BE66" i="21" s="1"/>
  <c r="S66" i="21"/>
  <c r="U66" i="21" s="1"/>
  <c r="B360" i="2" l="1"/>
  <c r="A360" i="2"/>
  <c r="D248" i="2"/>
  <c r="D359" i="2"/>
  <c r="O32" i="8"/>
  <c r="C79" i="1" s="1"/>
  <c r="D79" i="1" s="1"/>
  <c r="D250" i="2" s="1"/>
  <c r="N32" i="8"/>
  <c r="AK50" i="21"/>
  <c r="BD50" i="21" s="1"/>
  <c r="AX50" i="21" s="1"/>
  <c r="AN109" i="23"/>
  <c r="BE109" i="23" s="1"/>
  <c r="S109" i="23"/>
  <c r="U109" i="23" s="1"/>
  <c r="AN50" i="21"/>
  <c r="BE50" i="21" s="1"/>
  <c r="S50" i="21"/>
  <c r="U50" i="21" s="1"/>
  <c r="AG109" i="23"/>
  <c r="AG50" i="21"/>
  <c r="BB90" i="23"/>
  <c r="BC90" i="23"/>
  <c r="AW90" i="23" s="1"/>
  <c r="BB12" i="23"/>
  <c r="AT90" i="23"/>
  <c r="AV90" i="23" s="1"/>
  <c r="AZ90" i="23" s="1"/>
  <c r="AT12" i="23"/>
  <c r="AV12" i="23" s="1"/>
  <c r="AZ12" i="23" s="1"/>
  <c r="AT11" i="23"/>
  <c r="AV11" i="23" s="1"/>
  <c r="AZ11" i="23" s="1"/>
  <c r="BB60" i="23"/>
  <c r="AT60" i="23"/>
  <c r="AV60" i="23" s="1"/>
  <c r="AZ60" i="23" s="1"/>
  <c r="BC60" i="23"/>
  <c r="AW60" i="23" s="1"/>
  <c r="BB11" i="23"/>
  <c r="BB55" i="23"/>
  <c r="D74" i="1"/>
  <c r="B359" i="2" s="1"/>
  <c r="AT20" i="23"/>
  <c r="AV20" i="23" s="1"/>
  <c r="AZ20" i="23" s="1"/>
  <c r="BB20" i="23"/>
  <c r="BB65" i="23"/>
  <c r="AT65" i="23"/>
  <c r="AV65" i="23" s="1"/>
  <c r="AZ65" i="23" s="1"/>
  <c r="AT59" i="23"/>
  <c r="AV59" i="23" s="1"/>
  <c r="AZ59" i="23" s="1"/>
  <c r="BB59" i="23"/>
  <c r="AT14" i="23"/>
  <c r="AV14" i="23" s="1"/>
  <c r="AZ14" i="23" s="1"/>
  <c r="D376" i="2"/>
  <c r="E376" i="2"/>
  <c r="C58" i="16" s="1"/>
  <c r="D58" i="16" s="1"/>
  <c r="AT101" i="23"/>
  <c r="AV101" i="23" s="1"/>
  <c r="AZ101" i="23" s="1"/>
  <c r="BC14" i="23"/>
  <c r="AW14" i="23" s="1"/>
  <c r="BB14" i="23"/>
  <c r="AT55" i="23"/>
  <c r="AV55" i="23" s="1"/>
  <c r="AZ55" i="23" s="1"/>
  <c r="BC55" i="23"/>
  <c r="AW55" i="23" s="1"/>
  <c r="BB45" i="23"/>
  <c r="BB17" i="23"/>
  <c r="BB101" i="23"/>
  <c r="BB22" i="23"/>
  <c r="BB25" i="23"/>
  <c r="BC17" i="23"/>
  <c r="AW17" i="23" s="1"/>
  <c r="AT54" i="23"/>
  <c r="AV54" i="23" s="1"/>
  <c r="AZ54" i="23" s="1"/>
  <c r="BB54" i="23"/>
  <c r="BB91" i="23"/>
  <c r="BC54" i="23"/>
  <c r="AW54" i="23" s="1"/>
  <c r="BB61" i="23"/>
  <c r="AT46" i="23"/>
  <c r="AV46" i="23" s="1"/>
  <c r="AZ46" i="23" s="1"/>
  <c r="AT91" i="23"/>
  <c r="AV91" i="23" s="1"/>
  <c r="AZ91" i="23" s="1"/>
  <c r="BB46" i="23"/>
  <c r="AT45" i="23"/>
  <c r="AV45" i="23" s="1"/>
  <c r="AZ45" i="23" s="1"/>
  <c r="AT100" i="23"/>
  <c r="AV100" i="23" s="1"/>
  <c r="AZ100" i="23" s="1"/>
  <c r="AT25" i="23"/>
  <c r="AV25" i="23" s="1"/>
  <c r="AZ25" i="23" s="1"/>
  <c r="AT17" i="23"/>
  <c r="AV17" i="23" s="1"/>
  <c r="AZ17" i="23" s="1"/>
  <c r="AT61" i="23"/>
  <c r="AV61" i="23" s="1"/>
  <c r="AZ61" i="23" s="1"/>
  <c r="BC100" i="23"/>
  <c r="AW100" i="23" s="1"/>
  <c r="BB100" i="23"/>
  <c r="AT66" i="23"/>
  <c r="AV66" i="23" s="1"/>
  <c r="AZ66" i="23" s="1"/>
  <c r="AG71" i="23"/>
  <c r="BC71" i="23" s="1"/>
  <c r="AW71" i="23" s="1"/>
  <c r="AT72" i="23"/>
  <c r="AV72" i="23" s="1"/>
  <c r="AZ72" i="23" s="1"/>
  <c r="S71" i="23"/>
  <c r="U71" i="23" s="1"/>
  <c r="AN71" i="23"/>
  <c r="BE71" i="23" s="1"/>
  <c r="BB66" i="23"/>
  <c r="BC22" i="23"/>
  <c r="AW22" i="23" s="1"/>
  <c r="BB57" i="23"/>
  <c r="BB27" i="23"/>
  <c r="BB10" i="23"/>
  <c r="BB31" i="23"/>
  <c r="AT36" i="23"/>
  <c r="AV36" i="23" s="1"/>
  <c r="AZ36" i="23" s="1"/>
  <c r="BB67" i="23"/>
  <c r="AT10" i="23"/>
  <c r="AV10" i="23" s="1"/>
  <c r="AZ10" i="23" s="1"/>
  <c r="AT31" i="23"/>
  <c r="AV31" i="23" s="1"/>
  <c r="AZ31" i="23" s="1"/>
  <c r="BB36" i="23"/>
  <c r="AT33" i="23"/>
  <c r="AV33" i="23" s="1"/>
  <c r="AZ33" i="23" s="1"/>
  <c r="AK88" i="23"/>
  <c r="BD88" i="23" s="1"/>
  <c r="AX88" i="23" s="1"/>
  <c r="BB33" i="23"/>
  <c r="BB85" i="23"/>
  <c r="BB72" i="23"/>
  <c r="AK26" i="23"/>
  <c r="BD26" i="23" s="1"/>
  <c r="AX26" i="23" s="1"/>
  <c r="AT57" i="23"/>
  <c r="AV57" i="23" s="1"/>
  <c r="AZ57" i="23" s="1"/>
  <c r="AK38" i="23"/>
  <c r="BD38" i="23" s="1"/>
  <c r="AX38" i="23" s="1"/>
  <c r="AT95" i="23"/>
  <c r="AV95" i="23" s="1"/>
  <c r="AZ95" i="23" s="1"/>
  <c r="BB95" i="23"/>
  <c r="AG47" i="23"/>
  <c r="BC47" i="23" s="1"/>
  <c r="AW47" i="23" s="1"/>
  <c r="AT27" i="23"/>
  <c r="AV27" i="23" s="1"/>
  <c r="AZ27" i="23" s="1"/>
  <c r="AG44" i="23"/>
  <c r="BC44" i="23" s="1"/>
  <c r="AW44" i="23" s="1"/>
  <c r="AT22" i="23"/>
  <c r="AV22" i="23" s="1"/>
  <c r="AZ22" i="23" s="1"/>
  <c r="AK34" i="23"/>
  <c r="BD34" i="23" s="1"/>
  <c r="AX34" i="23" s="1"/>
  <c r="AT85" i="23"/>
  <c r="AV85" i="23" s="1"/>
  <c r="AZ85" i="23" s="1"/>
  <c r="AG98" i="23"/>
  <c r="BC98" i="23" s="1"/>
  <c r="AW98" i="23" s="1"/>
  <c r="BC72" i="23"/>
  <c r="AW72" i="23" s="1"/>
  <c r="AK87" i="23"/>
  <c r="BD87" i="23" s="1"/>
  <c r="AX87" i="23" s="1"/>
  <c r="BB21" i="23"/>
  <c r="BB94" i="23"/>
  <c r="AG87" i="23"/>
  <c r="BC87" i="23" s="1"/>
  <c r="AW87" i="23" s="1"/>
  <c r="AK43" i="23"/>
  <c r="BD43" i="23" s="1"/>
  <c r="AX43" i="23" s="1"/>
  <c r="AK44" i="23"/>
  <c r="AK102" i="23"/>
  <c r="BD102" i="23" s="1"/>
  <c r="AX102" i="23" s="1"/>
  <c r="AG34" i="23"/>
  <c r="BC34" i="23" s="1"/>
  <c r="AW34" i="23" s="1"/>
  <c r="AT21" i="23"/>
  <c r="AV21" i="23" s="1"/>
  <c r="AZ21" i="23" s="1"/>
  <c r="AT94" i="23"/>
  <c r="AV94" i="23" s="1"/>
  <c r="AZ94" i="23" s="1"/>
  <c r="AG79" i="23"/>
  <c r="BC79" i="23" s="1"/>
  <c r="AW79" i="23" s="1"/>
  <c r="AK107" i="23"/>
  <c r="BD107" i="23" s="1"/>
  <c r="AX107" i="23" s="1"/>
  <c r="S34" i="23"/>
  <c r="U34" i="23" s="1"/>
  <c r="BA34" i="23" s="1"/>
  <c r="AN34" i="23"/>
  <c r="BE34" i="23" s="1"/>
  <c r="AN98" i="23"/>
  <c r="BE98" i="23" s="1"/>
  <c r="S98" i="23"/>
  <c r="U98" i="23" s="1"/>
  <c r="AT67" i="23"/>
  <c r="AV67" i="23" s="1"/>
  <c r="AZ67" i="23" s="1"/>
  <c r="AG102" i="23"/>
  <c r="BC102" i="23" s="1"/>
  <c r="AW102" i="23" s="1"/>
  <c r="AT51" i="21"/>
  <c r="AV51" i="21" s="1"/>
  <c r="AZ51" i="21" s="1"/>
  <c r="AK79" i="23"/>
  <c r="BD79" i="23" s="1"/>
  <c r="AX79" i="23" s="1"/>
  <c r="AK49" i="23"/>
  <c r="BD49" i="23" s="1"/>
  <c r="AX49" i="23" s="1"/>
  <c r="AN79" i="23"/>
  <c r="BE79" i="23" s="1"/>
  <c r="S79" i="23"/>
  <c r="U79" i="23" s="1"/>
  <c r="BA79" i="23" s="1"/>
  <c r="AT82" i="23"/>
  <c r="AV82" i="23" s="1"/>
  <c r="AZ82" i="23" s="1"/>
  <c r="S87" i="23"/>
  <c r="U87" i="23" s="1"/>
  <c r="AN87" i="23"/>
  <c r="BE87" i="23" s="1"/>
  <c r="S102" i="23"/>
  <c r="U102" i="23" s="1"/>
  <c r="AN102" i="23"/>
  <c r="BE102" i="23" s="1"/>
  <c r="AK63" i="23"/>
  <c r="BD63" i="23" s="1"/>
  <c r="AX63" i="23" s="1"/>
  <c r="BB51" i="21"/>
  <c r="AN44" i="23"/>
  <c r="BE44" i="23" s="1"/>
  <c r="S44" i="23"/>
  <c r="U44" i="23" s="1"/>
  <c r="AG88" i="23"/>
  <c r="BC88" i="23" s="1"/>
  <c r="AW88" i="23" s="1"/>
  <c r="AK108" i="23"/>
  <c r="BD108" i="23" s="1"/>
  <c r="AX108" i="23" s="1"/>
  <c r="BB103" i="23"/>
  <c r="AK92" i="23"/>
  <c r="BD92" i="23" s="1"/>
  <c r="AX92" i="23" s="1"/>
  <c r="AK68" i="23"/>
  <c r="BD68" i="23" s="1"/>
  <c r="AX68" i="23" s="1"/>
  <c r="AK42" i="23"/>
  <c r="BD42" i="23" s="1"/>
  <c r="AX42" i="23" s="1"/>
  <c r="O28" i="8"/>
  <c r="C76" i="1" s="1"/>
  <c r="D76" i="1" s="1"/>
  <c r="BB82" i="23"/>
  <c r="BC82" i="23"/>
  <c r="AW82" i="23" s="1"/>
  <c r="BB84" i="23"/>
  <c r="AG48" i="23"/>
  <c r="BC48" i="23" s="1"/>
  <c r="AW48" i="23" s="1"/>
  <c r="AG51" i="23"/>
  <c r="BC51" i="23" s="1"/>
  <c r="AW51" i="23" s="1"/>
  <c r="BB53" i="23"/>
  <c r="AG83" i="23"/>
  <c r="BC83" i="23" s="1"/>
  <c r="AW83" i="23" s="1"/>
  <c r="BB52" i="23"/>
  <c r="AG38" i="23"/>
  <c r="BC38" i="23" s="1"/>
  <c r="AW38" i="23" s="1"/>
  <c r="AK81" i="23"/>
  <c r="BD81" i="23" s="1"/>
  <c r="AX81" i="23" s="1"/>
  <c r="AG68" i="23"/>
  <c r="AG16" i="23"/>
  <c r="BC16" i="23" s="1"/>
  <c r="AW16" i="23" s="1"/>
  <c r="AG26" i="23"/>
  <c r="BC26" i="23" s="1"/>
  <c r="AW26" i="23" s="1"/>
  <c r="AG74" i="23"/>
  <c r="BC74" i="23" s="1"/>
  <c r="AW74" i="23" s="1"/>
  <c r="AG78" i="23"/>
  <c r="BC78" i="23" s="1"/>
  <c r="AW78" i="23" s="1"/>
  <c r="AG92" i="23"/>
  <c r="BC92" i="23" s="1"/>
  <c r="AW92" i="23" s="1"/>
  <c r="AK86" i="23"/>
  <c r="BD86" i="23" s="1"/>
  <c r="AX86" i="23" s="1"/>
  <c r="AG43" i="23"/>
  <c r="AG89" i="23"/>
  <c r="BC89" i="23" s="1"/>
  <c r="AW89" i="23" s="1"/>
  <c r="BC73" i="23"/>
  <c r="AW73" i="23" s="1"/>
  <c r="BB73" i="23"/>
  <c r="S92" i="23"/>
  <c r="U92" i="23" s="1"/>
  <c r="AN92" i="23"/>
  <c r="BE92" i="23" s="1"/>
  <c r="BA84" i="23"/>
  <c r="AT84" i="23"/>
  <c r="AV84" i="23" s="1"/>
  <c r="AZ84" i="23" s="1"/>
  <c r="S26" i="23"/>
  <c r="U26" i="23" s="1"/>
  <c r="AN26" i="23"/>
  <c r="BE26" i="23" s="1"/>
  <c r="S38" i="23"/>
  <c r="U38" i="23" s="1"/>
  <c r="AN38" i="23"/>
  <c r="BE38" i="23" s="1"/>
  <c r="S16" i="23"/>
  <c r="U16" i="23" s="1"/>
  <c r="BA16" i="23" s="1"/>
  <c r="AN16" i="23"/>
  <c r="BE16" i="23" s="1"/>
  <c r="AN48" i="23"/>
  <c r="BE48" i="23" s="1"/>
  <c r="S48" i="23"/>
  <c r="U48" i="23" s="1"/>
  <c r="S43" i="23"/>
  <c r="U43" i="23" s="1"/>
  <c r="BA43" i="23" s="1"/>
  <c r="AN43" i="23"/>
  <c r="BE43" i="23" s="1"/>
  <c r="AK89" i="23"/>
  <c r="BD89" i="23" s="1"/>
  <c r="AX89" i="23" s="1"/>
  <c r="S74" i="23"/>
  <c r="U74" i="23" s="1"/>
  <c r="AN74" i="23"/>
  <c r="BE74" i="23" s="1"/>
  <c r="AK18" i="21"/>
  <c r="BD18" i="21" s="1"/>
  <c r="AX18" i="21" s="1"/>
  <c r="AK47" i="23"/>
  <c r="BD47" i="23" s="1"/>
  <c r="AX47" i="23" s="1"/>
  <c r="AN51" i="23"/>
  <c r="BE51" i="23" s="1"/>
  <c r="S51" i="23"/>
  <c r="U51" i="23" s="1"/>
  <c r="AN47" i="23"/>
  <c r="BE47" i="23" s="1"/>
  <c r="S47" i="23"/>
  <c r="U47" i="23" s="1"/>
  <c r="AK42" i="21"/>
  <c r="BD42" i="21" s="1"/>
  <c r="AX42" i="21" s="1"/>
  <c r="AT30" i="23"/>
  <c r="AV30" i="23" s="1"/>
  <c r="AZ30" i="23" s="1"/>
  <c r="S78" i="23"/>
  <c r="U78" i="23" s="1"/>
  <c r="AN78" i="23"/>
  <c r="BE78" i="23" s="1"/>
  <c r="AN68" i="23"/>
  <c r="BE68" i="23" s="1"/>
  <c r="S68" i="23"/>
  <c r="U68" i="23" s="1"/>
  <c r="AN88" i="23"/>
  <c r="BE88" i="23" s="1"/>
  <c r="S88" i="23"/>
  <c r="U88" i="23" s="1"/>
  <c r="BC30" i="23"/>
  <c r="AW30" i="23" s="1"/>
  <c r="BB30" i="23"/>
  <c r="AK16" i="23"/>
  <c r="BD16" i="23" s="1"/>
  <c r="AX16" i="23" s="1"/>
  <c r="AK78" i="23"/>
  <c r="BD78" i="23" s="1"/>
  <c r="AX78" i="23" s="1"/>
  <c r="BA73" i="23"/>
  <c r="AT73" i="23"/>
  <c r="AV73" i="23" s="1"/>
  <c r="AZ73" i="23" s="1"/>
  <c r="S89" i="23"/>
  <c r="U89" i="23" s="1"/>
  <c r="AN89" i="23"/>
  <c r="BE89" i="23" s="1"/>
  <c r="AK83" i="23"/>
  <c r="BD83" i="23" s="1"/>
  <c r="AX83" i="23" s="1"/>
  <c r="AN83" i="23"/>
  <c r="BE83" i="23" s="1"/>
  <c r="S83" i="23"/>
  <c r="U83" i="23" s="1"/>
  <c r="AK51" i="23"/>
  <c r="BD51" i="23" s="1"/>
  <c r="AX51" i="23" s="1"/>
  <c r="AT103" i="23"/>
  <c r="AV103" i="23" s="1"/>
  <c r="AZ103" i="23" s="1"/>
  <c r="BC52" i="23"/>
  <c r="AW52" i="23" s="1"/>
  <c r="AK74" i="23"/>
  <c r="BD74" i="23" s="1"/>
  <c r="AX74" i="23" s="1"/>
  <c r="BB77" i="21"/>
  <c r="AK76" i="23"/>
  <c r="BD76" i="23" s="1"/>
  <c r="AX76" i="23" s="1"/>
  <c r="AT77" i="21"/>
  <c r="AV77" i="21" s="1"/>
  <c r="AZ77" i="21" s="1"/>
  <c r="AG18" i="21"/>
  <c r="BC18" i="21" s="1"/>
  <c r="AW18" i="21" s="1"/>
  <c r="AG86" i="23"/>
  <c r="BC86" i="23" s="1"/>
  <c r="AW86" i="23" s="1"/>
  <c r="BC56" i="23"/>
  <c r="AW56" i="23" s="1"/>
  <c r="AK75" i="23"/>
  <c r="BD75" i="23" s="1"/>
  <c r="AX75" i="23" s="1"/>
  <c r="AG42" i="23"/>
  <c r="AG108" i="23"/>
  <c r="AG67" i="21"/>
  <c r="BC67" i="21" s="1"/>
  <c r="AW67" i="21" s="1"/>
  <c r="BA39" i="23"/>
  <c r="AT39" i="23"/>
  <c r="AV39" i="23" s="1"/>
  <c r="AZ39" i="23" s="1"/>
  <c r="AG42" i="21"/>
  <c r="BC42" i="21" s="1"/>
  <c r="AW42" i="21" s="1"/>
  <c r="AG40" i="23"/>
  <c r="BB40" i="23" s="1"/>
  <c r="BB39" i="23"/>
  <c r="BC39" i="23"/>
  <c r="AW39" i="23" s="1"/>
  <c r="AG62" i="23"/>
  <c r="BC62" i="23" s="1"/>
  <c r="AW62" i="23" s="1"/>
  <c r="N31" i="8"/>
  <c r="O31" i="8"/>
  <c r="C78" i="1" s="1"/>
  <c r="D78" i="1" s="1"/>
  <c r="BA19" i="23"/>
  <c r="AT19" i="23"/>
  <c r="AV19" i="23" s="1"/>
  <c r="BA35" i="23"/>
  <c r="AT35" i="23"/>
  <c r="AV35" i="23" s="1"/>
  <c r="AZ35" i="23" s="1"/>
  <c r="BC24" i="23"/>
  <c r="AW24" i="23" s="1"/>
  <c r="BB24" i="23"/>
  <c r="BC23" i="23"/>
  <c r="AW23" i="23" s="1"/>
  <c r="BB23" i="23"/>
  <c r="BC35" i="23"/>
  <c r="AW35" i="23" s="1"/>
  <c r="BB35" i="23"/>
  <c r="S76" i="23"/>
  <c r="U76" i="23" s="1"/>
  <c r="BA76" i="23" s="1"/>
  <c r="AN76" i="23"/>
  <c r="BE76" i="23" s="1"/>
  <c r="S28" i="23"/>
  <c r="U28" i="23" s="1"/>
  <c r="AN28" i="23"/>
  <c r="BE28" i="23" s="1"/>
  <c r="AG49" i="23"/>
  <c r="AG63" i="23"/>
  <c r="S67" i="21"/>
  <c r="U67" i="21" s="1"/>
  <c r="AN67" i="21"/>
  <c r="BE67" i="21" s="1"/>
  <c r="AT53" i="23"/>
  <c r="AV53" i="23" s="1"/>
  <c r="AZ53" i="23" s="1"/>
  <c r="AG28" i="23"/>
  <c r="S108" i="23"/>
  <c r="U108" i="23" s="1"/>
  <c r="AN108" i="23"/>
  <c r="BE108" i="23" s="1"/>
  <c r="S49" i="23"/>
  <c r="U49" i="23" s="1"/>
  <c r="AN49" i="23"/>
  <c r="BE49" i="23" s="1"/>
  <c r="S41" i="23"/>
  <c r="U41" i="23" s="1"/>
  <c r="AN41" i="23"/>
  <c r="BE41" i="23" s="1"/>
  <c r="S18" i="21"/>
  <c r="U18" i="21" s="1"/>
  <c r="AN18" i="21"/>
  <c r="BE18" i="21" s="1"/>
  <c r="AG76" i="23"/>
  <c r="AN63" i="23"/>
  <c r="BE63" i="23" s="1"/>
  <c r="S63" i="23"/>
  <c r="U63" i="23" s="1"/>
  <c r="AG41" i="23"/>
  <c r="BA56" i="23"/>
  <c r="AT56" i="23"/>
  <c r="AV56" i="23" s="1"/>
  <c r="AZ56" i="23" s="1"/>
  <c r="BA58" i="23"/>
  <c r="AT58" i="23"/>
  <c r="AV58" i="23" s="1"/>
  <c r="AZ58" i="23" s="1"/>
  <c r="BA24" i="23"/>
  <c r="AT24" i="23"/>
  <c r="AV24" i="23" s="1"/>
  <c r="AZ24" i="23" s="1"/>
  <c r="BC19" i="23"/>
  <c r="AW19" i="23" s="1"/>
  <c r="BB19" i="23"/>
  <c r="BA23" i="23"/>
  <c r="AT23" i="23"/>
  <c r="AV23" i="23" s="1"/>
  <c r="AZ23" i="23" s="1"/>
  <c r="AG107" i="23"/>
  <c r="S81" i="23"/>
  <c r="U81" i="23" s="1"/>
  <c r="BA81" i="23" s="1"/>
  <c r="AN81" i="23"/>
  <c r="BE81" i="23" s="1"/>
  <c r="AK62" i="23"/>
  <c r="BD62" i="23" s="1"/>
  <c r="AX62" i="23" s="1"/>
  <c r="BC13" i="23"/>
  <c r="AW13" i="23" s="1"/>
  <c r="BB13" i="23"/>
  <c r="AN42" i="21"/>
  <c r="BE42" i="21" s="1"/>
  <c r="S42" i="21"/>
  <c r="U42" i="21" s="1"/>
  <c r="S107" i="23"/>
  <c r="U107" i="23" s="1"/>
  <c r="AN107" i="23"/>
  <c r="BE107" i="23" s="1"/>
  <c r="BA13" i="23"/>
  <c r="AT13" i="23"/>
  <c r="AV13" i="23" s="1"/>
  <c r="AZ13" i="23" s="1"/>
  <c r="AN62" i="23"/>
  <c r="BE62" i="23" s="1"/>
  <c r="S62" i="23"/>
  <c r="U62" i="23" s="1"/>
  <c r="BA52" i="23"/>
  <c r="AT52" i="23"/>
  <c r="AV52" i="23" s="1"/>
  <c r="AZ52" i="23" s="1"/>
  <c r="BA37" i="23"/>
  <c r="AT37" i="23"/>
  <c r="AV37" i="23" s="1"/>
  <c r="AZ37" i="23" s="1"/>
  <c r="AG81" i="23"/>
  <c r="S75" i="23"/>
  <c r="U75" i="23" s="1"/>
  <c r="AN75" i="23"/>
  <c r="BE75" i="23" s="1"/>
  <c r="BC99" i="23"/>
  <c r="AW99" i="23" s="1"/>
  <c r="BB99" i="23"/>
  <c r="AG106" i="23"/>
  <c r="AG75" i="23"/>
  <c r="AN86" i="23"/>
  <c r="BE86" i="23" s="1"/>
  <c r="S86" i="23"/>
  <c r="U86" i="23" s="1"/>
  <c r="BA86" i="23" s="1"/>
  <c r="AN106" i="23"/>
  <c r="BE106" i="23" s="1"/>
  <c r="S106" i="23"/>
  <c r="U106" i="23" s="1"/>
  <c r="S40" i="23"/>
  <c r="U40" i="23" s="1"/>
  <c r="BA40" i="23" s="1"/>
  <c r="AN40" i="23"/>
  <c r="BE40" i="23" s="1"/>
  <c r="S42" i="23"/>
  <c r="U42" i="23" s="1"/>
  <c r="AN42" i="23"/>
  <c r="BE42" i="23" s="1"/>
  <c r="BC37" i="23"/>
  <c r="AW37" i="23" s="1"/>
  <c r="BB37" i="23"/>
  <c r="BB58" i="23"/>
  <c r="BC58" i="23"/>
  <c r="AW58" i="23" s="1"/>
  <c r="BA99" i="23"/>
  <c r="AT99" i="23"/>
  <c r="AV99" i="23" s="1"/>
  <c r="AZ99" i="23" s="1"/>
  <c r="AK106" i="23"/>
  <c r="BD106" i="23" s="1"/>
  <c r="AX106" i="23" s="1"/>
  <c r="AK87" i="21"/>
  <c r="BD87" i="21" s="1"/>
  <c r="AX87" i="21" s="1"/>
  <c r="AK63" i="21"/>
  <c r="BD63" i="21" s="1"/>
  <c r="AX63" i="21" s="1"/>
  <c r="AG87" i="21"/>
  <c r="BC87" i="21" s="1"/>
  <c r="AW87" i="21" s="1"/>
  <c r="AK79" i="21"/>
  <c r="BD79" i="21" s="1"/>
  <c r="AX79" i="21" s="1"/>
  <c r="S87" i="21"/>
  <c r="U87" i="21" s="1"/>
  <c r="AN87" i="21"/>
  <c r="BE87" i="21" s="1"/>
  <c r="AG79" i="21"/>
  <c r="BC79" i="21" s="1"/>
  <c r="AW79" i="21" s="1"/>
  <c r="AG98" i="21"/>
  <c r="BB98" i="21" s="1"/>
  <c r="AN98" i="21"/>
  <c r="BE98" i="21" s="1"/>
  <c r="S98" i="21"/>
  <c r="U98" i="21" s="1"/>
  <c r="BA98" i="21" s="1"/>
  <c r="AN79" i="21"/>
  <c r="BE79" i="21" s="1"/>
  <c r="S79" i="21"/>
  <c r="U79" i="21" s="1"/>
  <c r="BB95" i="21"/>
  <c r="AT99" i="21"/>
  <c r="AV99" i="21" s="1"/>
  <c r="AZ99" i="21" s="1"/>
  <c r="BB93" i="21"/>
  <c r="N27" i="8"/>
  <c r="O27" i="8"/>
  <c r="C75" i="1" s="1"/>
  <c r="D75" i="1" s="1"/>
  <c r="BB101" i="21"/>
  <c r="AT102" i="21"/>
  <c r="AV102" i="21" s="1"/>
  <c r="AZ102" i="21" s="1"/>
  <c r="AT45" i="21"/>
  <c r="AV45" i="21" s="1"/>
  <c r="AZ45" i="21" s="1"/>
  <c r="AT68" i="21"/>
  <c r="AV68" i="21" s="1"/>
  <c r="AZ68" i="21" s="1"/>
  <c r="AT101" i="21"/>
  <c r="AV101" i="21" s="1"/>
  <c r="AZ101" i="21" s="1"/>
  <c r="AK73" i="21"/>
  <c r="BD73" i="21" s="1"/>
  <c r="AX73" i="21" s="1"/>
  <c r="BB38" i="21"/>
  <c r="D227" i="2"/>
  <c r="D226" i="2"/>
  <c r="D215" i="2"/>
  <c r="D234" i="2"/>
  <c r="D235" i="2" s="1"/>
  <c r="F7" i="25"/>
  <c r="B227" i="2"/>
  <c r="B215" i="2"/>
  <c r="B234" i="2"/>
  <c r="B235" i="2" s="1"/>
  <c r="F7" i="17"/>
  <c r="AT23" i="21"/>
  <c r="AV23" i="21" s="1"/>
  <c r="AZ23" i="21" s="1"/>
  <c r="BB23" i="21"/>
  <c r="BB16" i="21"/>
  <c r="AT84" i="21"/>
  <c r="AV84" i="21" s="1"/>
  <c r="AZ84" i="21" s="1"/>
  <c r="AT96" i="21"/>
  <c r="AV96" i="21" s="1"/>
  <c r="AZ96" i="21" s="1"/>
  <c r="BB45" i="21"/>
  <c r="AK52" i="21"/>
  <c r="BD52" i="21" s="1"/>
  <c r="AX52" i="21" s="1"/>
  <c r="BC16" i="21"/>
  <c r="AW16" i="21" s="1"/>
  <c r="BB19" i="21"/>
  <c r="AT21" i="21"/>
  <c r="AV21" i="21" s="1"/>
  <c r="AZ21" i="21" s="1"/>
  <c r="AT47" i="21"/>
  <c r="AV47" i="21" s="1"/>
  <c r="AZ47" i="21" s="1"/>
  <c r="AK9" i="21"/>
  <c r="BD9" i="21" s="1"/>
  <c r="AX9" i="21" s="1"/>
  <c r="BC47" i="21"/>
  <c r="AW47" i="21" s="1"/>
  <c r="BB28" i="21"/>
  <c r="BB94" i="21"/>
  <c r="BB84" i="21"/>
  <c r="BC84" i="21"/>
  <c r="AW84" i="21" s="1"/>
  <c r="AK74" i="21"/>
  <c r="BD74" i="21" s="1"/>
  <c r="AX74" i="21" s="1"/>
  <c r="AG63" i="21"/>
  <c r="BC63" i="21" s="1"/>
  <c r="AW63" i="21" s="1"/>
  <c r="BC95" i="21"/>
  <c r="AW95" i="21" s="1"/>
  <c r="AT57" i="21"/>
  <c r="AV57" i="21" s="1"/>
  <c r="AZ57" i="21" s="1"/>
  <c r="BB47" i="21"/>
  <c r="AG92" i="21"/>
  <c r="BC92" i="21" s="1"/>
  <c r="AW92" i="21" s="1"/>
  <c r="BB104" i="21"/>
  <c r="AT93" i="21"/>
  <c r="AV93" i="21" s="1"/>
  <c r="AZ93" i="21" s="1"/>
  <c r="BB97" i="21"/>
  <c r="AG81" i="21"/>
  <c r="BB81" i="21" s="1"/>
  <c r="AG103" i="21"/>
  <c r="BC103" i="21" s="1"/>
  <c r="AW103" i="21" s="1"/>
  <c r="BB91" i="21"/>
  <c r="BB65" i="21"/>
  <c r="BC91" i="21"/>
  <c r="AW91" i="21" s="1"/>
  <c r="AK59" i="21"/>
  <c r="BD59" i="21" s="1"/>
  <c r="AX59" i="21" s="1"/>
  <c r="BB14" i="21"/>
  <c r="BA45" i="21"/>
  <c r="BB32" i="21"/>
  <c r="BB96" i="21"/>
  <c r="AK53" i="21"/>
  <c r="BD53" i="21" s="1"/>
  <c r="AX53" i="21" s="1"/>
  <c r="AK49" i="21"/>
  <c r="BD49" i="21" s="1"/>
  <c r="AX49" i="21" s="1"/>
  <c r="BC104" i="21"/>
  <c r="AW104" i="21" s="1"/>
  <c r="AK107" i="21"/>
  <c r="BD107" i="21" s="1"/>
  <c r="AX107" i="21" s="1"/>
  <c r="BB72" i="21"/>
  <c r="AG52" i="21"/>
  <c r="BC93" i="21"/>
  <c r="AW93" i="21" s="1"/>
  <c r="AK13" i="21"/>
  <c r="BD13" i="21" s="1"/>
  <c r="AX13" i="21" s="1"/>
  <c r="AK90" i="21"/>
  <c r="BD90" i="21" s="1"/>
  <c r="AX90" i="21" s="1"/>
  <c r="AT16" i="21"/>
  <c r="AV16" i="21" s="1"/>
  <c r="AZ16" i="21" s="1"/>
  <c r="BB11" i="21"/>
  <c r="AG55" i="21"/>
  <c r="BC55" i="21" s="1"/>
  <c r="AW55" i="21" s="1"/>
  <c r="AG85" i="21"/>
  <c r="BC85" i="21" s="1"/>
  <c r="AW85" i="21" s="1"/>
  <c r="AG62" i="21"/>
  <c r="BB62" i="21" s="1"/>
  <c r="AG9" i="21"/>
  <c r="BB35" i="21"/>
  <c r="AT12" i="21"/>
  <c r="AV12" i="21" s="1"/>
  <c r="AZ12" i="21" s="1"/>
  <c r="BC102" i="21"/>
  <c r="AW102" i="21" s="1"/>
  <c r="BB82" i="21"/>
  <c r="AG40" i="21"/>
  <c r="BB40" i="21" s="1"/>
  <c r="BB102" i="21"/>
  <c r="BB12" i="21"/>
  <c r="BB68" i="21"/>
  <c r="AK103" i="21"/>
  <c r="BD103" i="21" s="1"/>
  <c r="AX103" i="21" s="1"/>
  <c r="BB76" i="21"/>
  <c r="AG43" i="21"/>
  <c r="BC43" i="21" s="1"/>
  <c r="AW43" i="21" s="1"/>
  <c r="AG24" i="21"/>
  <c r="AN40" i="21"/>
  <c r="BE40" i="21" s="1"/>
  <c r="S40" i="21"/>
  <c r="U40" i="21" s="1"/>
  <c r="AG59" i="21"/>
  <c r="AT60" i="21"/>
  <c r="AV60" i="21" s="1"/>
  <c r="AZ60" i="21" s="1"/>
  <c r="BA60" i="21"/>
  <c r="AT27" i="21"/>
  <c r="AV27" i="21" s="1"/>
  <c r="AZ27" i="21" s="1"/>
  <c r="BA27" i="21"/>
  <c r="BC99" i="21"/>
  <c r="AW99" i="21" s="1"/>
  <c r="BB99" i="21"/>
  <c r="BA56" i="21"/>
  <c r="AT56" i="21"/>
  <c r="AV56" i="21" s="1"/>
  <c r="AZ56" i="21" s="1"/>
  <c r="AN55" i="21"/>
  <c r="BE55" i="21" s="1"/>
  <c r="S55" i="21"/>
  <c r="U55" i="21" s="1"/>
  <c r="AN69" i="21"/>
  <c r="BE69" i="21" s="1"/>
  <c r="S69" i="21"/>
  <c r="U69" i="21" s="1"/>
  <c r="BC20" i="21"/>
  <c r="AW20" i="21" s="1"/>
  <c r="BB20" i="21"/>
  <c r="AT26" i="21"/>
  <c r="AV26" i="21" s="1"/>
  <c r="AZ26" i="21" s="1"/>
  <c r="BA26" i="21"/>
  <c r="BA75" i="21"/>
  <c r="AT75" i="21"/>
  <c r="AV75" i="21" s="1"/>
  <c r="AZ75" i="21" s="1"/>
  <c r="AN52" i="21"/>
  <c r="BE52" i="21" s="1"/>
  <c r="S52" i="21"/>
  <c r="U52" i="21" s="1"/>
  <c r="BC70" i="21"/>
  <c r="AW70" i="21" s="1"/>
  <c r="BB70" i="21"/>
  <c r="AG49" i="21"/>
  <c r="AN59" i="21"/>
  <c r="BE59" i="21" s="1"/>
  <c r="S59" i="21"/>
  <c r="U59" i="21" s="1"/>
  <c r="AK85" i="21"/>
  <c r="BD85" i="21" s="1"/>
  <c r="AX85" i="21" s="1"/>
  <c r="AT17" i="21"/>
  <c r="AV17" i="21" s="1"/>
  <c r="AZ17" i="21" s="1"/>
  <c r="BA17" i="21"/>
  <c r="AK69" i="21"/>
  <c r="BD69" i="21" s="1"/>
  <c r="AX69" i="21" s="1"/>
  <c r="BB108" i="21"/>
  <c r="BA91" i="21"/>
  <c r="AT91" i="21"/>
  <c r="AV91" i="21" s="1"/>
  <c r="AZ91" i="21" s="1"/>
  <c r="AT35" i="21"/>
  <c r="AV35" i="21" s="1"/>
  <c r="AZ35" i="21" s="1"/>
  <c r="BA35" i="21"/>
  <c r="AT11" i="21"/>
  <c r="AV11" i="21" s="1"/>
  <c r="AZ11" i="21" s="1"/>
  <c r="BA11" i="21"/>
  <c r="AN25" i="21"/>
  <c r="BE25" i="21" s="1"/>
  <c r="S25" i="21"/>
  <c r="U25" i="21" s="1"/>
  <c r="BC39" i="21"/>
  <c r="AW39" i="21" s="1"/>
  <c r="BB39" i="21"/>
  <c r="AT19" i="21"/>
  <c r="AV19" i="21" s="1"/>
  <c r="BA19" i="21"/>
  <c r="AT10" i="21"/>
  <c r="AV10" i="21" s="1"/>
  <c r="AZ10" i="21" s="1"/>
  <c r="BA10" i="21"/>
  <c r="BC71" i="21"/>
  <c r="AW71" i="21" s="1"/>
  <c r="BB71" i="21"/>
  <c r="AN43" i="21"/>
  <c r="BE43" i="21" s="1"/>
  <c r="S43" i="21"/>
  <c r="U43" i="21" s="1"/>
  <c r="L127" i="2"/>
  <c r="E37" i="1"/>
  <c r="BC36" i="21"/>
  <c r="AW36" i="21" s="1"/>
  <c r="BB36" i="21"/>
  <c r="S63" i="21"/>
  <c r="U63" i="21" s="1"/>
  <c r="AN63" i="21"/>
  <c r="BE63" i="21" s="1"/>
  <c r="BC86" i="21"/>
  <c r="AW86" i="21" s="1"/>
  <c r="BB86" i="21"/>
  <c r="AT58" i="21"/>
  <c r="AV58" i="21" s="1"/>
  <c r="AZ58" i="21" s="1"/>
  <c r="BA58" i="21"/>
  <c r="AG106" i="21"/>
  <c r="BA30" i="21"/>
  <c r="AT30" i="21"/>
  <c r="AV30" i="21" s="1"/>
  <c r="AZ30" i="21" s="1"/>
  <c r="BB54" i="21"/>
  <c r="AT34" i="21"/>
  <c r="AV34" i="21" s="1"/>
  <c r="AZ34" i="21" s="1"/>
  <c r="BA34" i="21"/>
  <c r="BC80" i="21"/>
  <c r="AW80" i="21" s="1"/>
  <c r="BB80" i="21"/>
  <c r="AT32" i="21"/>
  <c r="AV32" i="21" s="1"/>
  <c r="AZ32" i="21" s="1"/>
  <c r="BA32" i="21"/>
  <c r="AG25" i="21"/>
  <c r="AG22" i="21"/>
  <c r="S85" i="21"/>
  <c r="U85" i="21" s="1"/>
  <c r="AN85" i="21"/>
  <c r="BE85" i="21" s="1"/>
  <c r="BB17" i="21"/>
  <c r="BC17" i="21"/>
  <c r="AW17" i="21" s="1"/>
  <c r="AK43" i="21"/>
  <c r="BD43" i="21" s="1"/>
  <c r="AX43" i="21" s="1"/>
  <c r="BC66" i="21"/>
  <c r="AW66" i="21" s="1"/>
  <c r="BB66" i="21"/>
  <c r="AK25" i="21"/>
  <c r="BD25" i="21" s="1"/>
  <c r="AX25" i="21" s="1"/>
  <c r="AK92" i="21"/>
  <c r="BD92" i="21" s="1"/>
  <c r="AX92" i="21" s="1"/>
  <c r="AT71" i="21"/>
  <c r="AV71" i="21" s="1"/>
  <c r="AZ71" i="21" s="1"/>
  <c r="BA71" i="21"/>
  <c r="AK106" i="21"/>
  <c r="BD106" i="21" s="1"/>
  <c r="AX106" i="21" s="1"/>
  <c r="AT108" i="21"/>
  <c r="AV108" i="21" s="1"/>
  <c r="AZ108" i="21" s="1"/>
  <c r="BA108" i="21"/>
  <c r="AN90" i="21"/>
  <c r="BE90" i="21" s="1"/>
  <c r="S90" i="21"/>
  <c r="U90" i="21" s="1"/>
  <c r="AN44" i="21"/>
  <c r="BE44" i="21" s="1"/>
  <c r="S44" i="21"/>
  <c r="U44" i="21" s="1"/>
  <c r="AN22" i="21"/>
  <c r="BE22" i="21" s="1"/>
  <c r="S22" i="21"/>
  <c r="U22" i="21" s="1"/>
  <c r="BA28" i="21"/>
  <c r="AT28" i="21"/>
  <c r="AV28" i="21" s="1"/>
  <c r="AZ28" i="21" s="1"/>
  <c r="AK89" i="21"/>
  <c r="BD89" i="21" s="1"/>
  <c r="AX89" i="21" s="1"/>
  <c r="AN92" i="21"/>
  <c r="BE92" i="21" s="1"/>
  <c r="S92" i="21"/>
  <c r="U92" i="21" s="1"/>
  <c r="AN106" i="21"/>
  <c r="BE106" i="21" s="1"/>
  <c r="S106" i="21"/>
  <c r="U106" i="21" s="1"/>
  <c r="BC30" i="21"/>
  <c r="AW30" i="21" s="1"/>
  <c r="BB30" i="21"/>
  <c r="AT88" i="21"/>
  <c r="AV88" i="21" s="1"/>
  <c r="AZ88" i="21" s="1"/>
  <c r="BA88" i="21"/>
  <c r="AT38" i="21"/>
  <c r="AV38" i="21" s="1"/>
  <c r="AZ38" i="21" s="1"/>
  <c r="BA38" i="21"/>
  <c r="BA66" i="21"/>
  <c r="AT66" i="21"/>
  <c r="AV66" i="21" s="1"/>
  <c r="AZ66" i="21" s="1"/>
  <c r="S37" i="21"/>
  <c r="U37" i="21" s="1"/>
  <c r="AN37" i="21"/>
  <c r="BE37" i="21" s="1"/>
  <c r="AG44" i="21"/>
  <c r="AT64" i="21"/>
  <c r="AV64" i="21" s="1"/>
  <c r="AZ64" i="21" s="1"/>
  <c r="BA64" i="21"/>
  <c r="S107" i="21"/>
  <c r="U107" i="21" s="1"/>
  <c r="AN107" i="21"/>
  <c r="BE107" i="21" s="1"/>
  <c r="AT86" i="21"/>
  <c r="AV86" i="21" s="1"/>
  <c r="AZ86" i="21" s="1"/>
  <c r="AG15" i="21"/>
  <c r="AT61" i="21"/>
  <c r="AV61" i="21" s="1"/>
  <c r="AZ61" i="21" s="1"/>
  <c r="BA61" i="21"/>
  <c r="AN53" i="21"/>
  <c r="BE53" i="21" s="1"/>
  <c r="S53" i="21"/>
  <c r="U53" i="21" s="1"/>
  <c r="AN89" i="21"/>
  <c r="BE89" i="21" s="1"/>
  <c r="S89" i="21"/>
  <c r="U89" i="21" s="1"/>
  <c r="BC33" i="21"/>
  <c r="AW33" i="21" s="1"/>
  <c r="BB33" i="21"/>
  <c r="AT54" i="21"/>
  <c r="AV54" i="21" s="1"/>
  <c r="AZ54" i="21" s="1"/>
  <c r="BC64" i="21"/>
  <c r="AW64" i="21" s="1"/>
  <c r="BB64" i="21"/>
  <c r="BC41" i="21"/>
  <c r="AW41" i="21" s="1"/>
  <c r="BB41" i="21"/>
  <c r="AT105" i="21"/>
  <c r="AV105" i="21" s="1"/>
  <c r="AZ105" i="21" s="1"/>
  <c r="BA105" i="21"/>
  <c r="S83" i="21"/>
  <c r="U83" i="21" s="1"/>
  <c r="AN83" i="21"/>
  <c r="BE83" i="21" s="1"/>
  <c r="AT94" i="21"/>
  <c r="AV94" i="21" s="1"/>
  <c r="AZ94" i="21" s="1"/>
  <c r="BA94" i="21"/>
  <c r="AK15" i="21"/>
  <c r="BD15" i="21" s="1"/>
  <c r="AX15" i="21" s="1"/>
  <c r="AG89" i="21"/>
  <c r="BA20" i="21"/>
  <c r="AT20" i="21"/>
  <c r="AV20" i="21" s="1"/>
  <c r="AZ20" i="21" s="1"/>
  <c r="S109" i="21"/>
  <c r="U109" i="21" s="1"/>
  <c r="AN109" i="21"/>
  <c r="BE109" i="21" s="1"/>
  <c r="BA80" i="21"/>
  <c r="AT80" i="21"/>
  <c r="AV80" i="21" s="1"/>
  <c r="AZ80" i="21" s="1"/>
  <c r="BC10" i="21"/>
  <c r="AW10" i="21" s="1"/>
  <c r="BB10" i="21"/>
  <c r="AK37" i="21"/>
  <c r="BD37" i="21" s="1"/>
  <c r="AX37" i="21" s="1"/>
  <c r="BB60" i="21"/>
  <c r="BC60" i="21"/>
  <c r="AW60" i="21" s="1"/>
  <c r="AG107" i="21"/>
  <c r="BB27" i="21"/>
  <c r="BC27" i="21"/>
  <c r="AW27" i="21" s="1"/>
  <c r="BC29" i="21"/>
  <c r="AW29" i="21" s="1"/>
  <c r="BB29" i="21"/>
  <c r="AT95" i="21"/>
  <c r="AV95" i="21" s="1"/>
  <c r="AZ95" i="21" s="1"/>
  <c r="BA95" i="21"/>
  <c r="AT33" i="21"/>
  <c r="AV33" i="21" s="1"/>
  <c r="AZ33" i="21" s="1"/>
  <c r="BA33" i="21"/>
  <c r="AG90" i="21"/>
  <c r="BB105" i="21"/>
  <c r="BC105" i="21"/>
  <c r="AW105" i="21" s="1"/>
  <c r="AN48" i="21"/>
  <c r="BE48" i="21" s="1"/>
  <c r="S48" i="21"/>
  <c r="U48" i="21" s="1"/>
  <c r="AG73" i="21"/>
  <c r="BC34" i="21"/>
  <c r="AW34" i="21" s="1"/>
  <c r="BB34" i="21"/>
  <c r="AG83" i="21"/>
  <c r="BC26" i="21"/>
  <c r="AW26" i="21" s="1"/>
  <c r="BB26" i="21"/>
  <c r="AT82" i="21"/>
  <c r="AV82" i="21" s="1"/>
  <c r="AZ82" i="21" s="1"/>
  <c r="BA82" i="21"/>
  <c r="BC61" i="21"/>
  <c r="AW61" i="21" s="1"/>
  <c r="BB61" i="21"/>
  <c r="AG74" i="21"/>
  <c r="AN15" i="21"/>
  <c r="BE15" i="21" s="1"/>
  <c r="S15" i="21"/>
  <c r="U15" i="21" s="1"/>
  <c r="AG53" i="21"/>
  <c r="S103" i="21"/>
  <c r="U103" i="21" s="1"/>
  <c r="AN103" i="21"/>
  <c r="BE103" i="21" s="1"/>
  <c r="AT29" i="21"/>
  <c r="AV29" i="21" s="1"/>
  <c r="AZ29" i="21" s="1"/>
  <c r="AK109" i="21"/>
  <c r="BD109" i="21" s="1"/>
  <c r="AX109" i="21" s="1"/>
  <c r="BB56" i="21"/>
  <c r="AG48" i="21"/>
  <c r="AG37" i="21"/>
  <c r="BC88" i="21"/>
  <c r="AW88" i="21" s="1"/>
  <c r="BB88" i="21"/>
  <c r="BC78" i="21"/>
  <c r="AW78" i="21" s="1"/>
  <c r="BB78" i="21"/>
  <c r="AN74" i="21"/>
  <c r="BE74" i="21" s="1"/>
  <c r="S74" i="21"/>
  <c r="U74" i="21" s="1"/>
  <c r="BA97" i="21"/>
  <c r="AT97" i="21"/>
  <c r="AV97" i="21" s="1"/>
  <c r="AZ97" i="21" s="1"/>
  <c r="AG109" i="21"/>
  <c r="S73" i="21"/>
  <c r="U73" i="21" s="1"/>
  <c r="AN73" i="21"/>
  <c r="BE73" i="21" s="1"/>
  <c r="AN24" i="21"/>
  <c r="BE24" i="21" s="1"/>
  <c r="S24" i="21"/>
  <c r="U24" i="21" s="1"/>
  <c r="BA78" i="21"/>
  <c r="AT78" i="21"/>
  <c r="AV78" i="21" s="1"/>
  <c r="AZ78" i="21" s="1"/>
  <c r="AN62" i="21"/>
  <c r="BE62" i="21" s="1"/>
  <c r="S62" i="21"/>
  <c r="U62" i="21" s="1"/>
  <c r="AT70" i="21"/>
  <c r="AV70" i="21" s="1"/>
  <c r="AZ70" i="21" s="1"/>
  <c r="BA70" i="21"/>
  <c r="S81" i="21"/>
  <c r="U81" i="21" s="1"/>
  <c r="AN81" i="21"/>
  <c r="BE81" i="21" s="1"/>
  <c r="AG13" i="21"/>
  <c r="AT76" i="21"/>
  <c r="AV76" i="21" s="1"/>
  <c r="AZ76" i="21" s="1"/>
  <c r="BA76" i="21"/>
  <c r="BA72" i="21"/>
  <c r="AT72" i="21"/>
  <c r="AV72" i="21" s="1"/>
  <c r="AZ72" i="21" s="1"/>
  <c r="AT41" i="21"/>
  <c r="AV41" i="21" s="1"/>
  <c r="AZ41" i="21" s="1"/>
  <c r="BA41" i="21"/>
  <c r="AK24" i="21"/>
  <c r="BD24" i="21" s="1"/>
  <c r="AX24" i="21" s="1"/>
  <c r="AT46" i="21"/>
  <c r="AV46" i="21" s="1"/>
  <c r="AZ46" i="21" s="1"/>
  <c r="BA46" i="21"/>
  <c r="AN49" i="21"/>
  <c r="BE49" i="21" s="1"/>
  <c r="S49" i="21"/>
  <c r="U49" i="21" s="1"/>
  <c r="BC31" i="21"/>
  <c r="AW31" i="21" s="1"/>
  <c r="BB31" i="21"/>
  <c r="BA14" i="21"/>
  <c r="AT14" i="21"/>
  <c r="AV14" i="21" s="1"/>
  <c r="AZ14" i="21" s="1"/>
  <c r="BC21" i="21"/>
  <c r="AW21" i="21" s="1"/>
  <c r="BB21" i="21"/>
  <c r="BC58" i="21"/>
  <c r="AW58" i="21" s="1"/>
  <c r="BB58" i="21"/>
  <c r="AT31" i="21"/>
  <c r="AV31" i="21" s="1"/>
  <c r="AZ31" i="21" s="1"/>
  <c r="BA31" i="21"/>
  <c r="BA104" i="21"/>
  <c r="AT104" i="21"/>
  <c r="AV104" i="21" s="1"/>
  <c r="AZ104" i="21" s="1"/>
  <c r="AN9" i="21"/>
  <c r="BE9" i="21" s="1"/>
  <c r="S9" i="21"/>
  <c r="U9" i="21" s="1"/>
  <c r="AT39" i="21"/>
  <c r="AV39" i="21" s="1"/>
  <c r="AZ39" i="21" s="1"/>
  <c r="BA39" i="21"/>
  <c r="BC46" i="21"/>
  <c r="AW46" i="21" s="1"/>
  <c r="BB46" i="21"/>
  <c r="BC75" i="21"/>
  <c r="AW75" i="21" s="1"/>
  <c r="BB75" i="21"/>
  <c r="BA36" i="21"/>
  <c r="AT36" i="21"/>
  <c r="AV36" i="21" s="1"/>
  <c r="AZ36" i="21" s="1"/>
  <c r="AG69" i="21"/>
  <c r="AN13" i="21"/>
  <c r="BE13" i="21" s="1"/>
  <c r="S13" i="21"/>
  <c r="U13" i="21" s="1"/>
  <c r="BC57" i="21"/>
  <c r="AW57" i="21" s="1"/>
  <c r="BB57" i="21"/>
  <c r="BA65" i="21"/>
  <c r="AT65" i="21"/>
  <c r="AV65" i="21" s="1"/>
  <c r="AZ65" i="21" s="1"/>
  <c r="AT109" i="23" l="1"/>
  <c r="AV109" i="23" s="1"/>
  <c r="BA109" i="23"/>
  <c r="AT50" i="21"/>
  <c r="AV50" i="21" s="1"/>
  <c r="AZ50" i="21" s="1"/>
  <c r="BA50" i="21"/>
  <c r="BB109" i="23"/>
  <c r="BC109" i="23"/>
  <c r="AW109" i="23" s="1"/>
  <c r="BC50" i="21"/>
  <c r="AW50" i="21" s="1"/>
  <c r="BB50" i="21"/>
  <c r="B248" i="2"/>
  <c r="A376" i="2" s="1"/>
  <c r="C57" i="16"/>
  <c r="D57" i="16" s="1"/>
  <c r="A359" i="2"/>
  <c r="H3" i="23"/>
  <c r="D249" i="2"/>
  <c r="D254" i="2" s="1"/>
  <c r="D238" i="2"/>
  <c r="E378" i="2"/>
  <c r="C48" i="16" s="1"/>
  <c r="D48" i="16" s="1"/>
  <c r="D378" i="2"/>
  <c r="B250" i="2"/>
  <c r="BB71" i="23"/>
  <c r="BA71" i="23"/>
  <c r="AT71" i="23"/>
  <c r="AV71" i="23" s="1"/>
  <c r="AZ71" i="23" s="1"/>
  <c r="BB34" i="23"/>
  <c r="BB108" i="23"/>
  <c r="BB88" i="23"/>
  <c r="BB79" i="23"/>
  <c r="BB98" i="23"/>
  <c r="BB43" i="23"/>
  <c r="BB87" i="23"/>
  <c r="BD44" i="23"/>
  <c r="AX44" i="23" s="1"/>
  <c r="BB44" i="23"/>
  <c r="BA98" i="23"/>
  <c r="AT98" i="23"/>
  <c r="AV98" i="23" s="1"/>
  <c r="AZ98" i="23" s="1"/>
  <c r="BB102" i="23"/>
  <c r="BC108" i="23"/>
  <c r="AW108" i="23" s="1"/>
  <c r="BA87" i="23"/>
  <c r="AT87" i="23"/>
  <c r="AV87" i="23" s="1"/>
  <c r="AZ87" i="23" s="1"/>
  <c r="AT79" i="23"/>
  <c r="AV79" i="23" s="1"/>
  <c r="AZ79" i="23" s="1"/>
  <c r="AT34" i="23"/>
  <c r="AV34" i="23" s="1"/>
  <c r="AZ34" i="23" s="1"/>
  <c r="BA44" i="23"/>
  <c r="AT44" i="23"/>
  <c r="AV44" i="23" s="1"/>
  <c r="AZ44" i="23" s="1"/>
  <c r="BB42" i="23"/>
  <c r="BA102" i="23"/>
  <c r="AT102" i="23"/>
  <c r="AV102" i="23" s="1"/>
  <c r="AZ102" i="23" s="1"/>
  <c r="BB48" i="23"/>
  <c r="BB68" i="23"/>
  <c r="BB38" i="23"/>
  <c r="BC68" i="23"/>
  <c r="AW68" i="23" s="1"/>
  <c r="BB26" i="23"/>
  <c r="BC43" i="23"/>
  <c r="AW43" i="23" s="1"/>
  <c r="BB92" i="23"/>
  <c r="BA74" i="23"/>
  <c r="AT74" i="23"/>
  <c r="AV74" i="23" s="1"/>
  <c r="AZ74" i="23" s="1"/>
  <c r="BA88" i="23"/>
  <c r="AT88" i="23"/>
  <c r="AV88" i="23" s="1"/>
  <c r="AZ88" i="23" s="1"/>
  <c r="BB78" i="23"/>
  <c r="BA92" i="23"/>
  <c r="AT92" i="23"/>
  <c r="AV92" i="23" s="1"/>
  <c r="AZ92" i="23" s="1"/>
  <c r="BB74" i="23"/>
  <c r="BA68" i="23"/>
  <c r="AT68" i="23"/>
  <c r="AV68" i="23" s="1"/>
  <c r="AZ68" i="23" s="1"/>
  <c r="BB18" i="21"/>
  <c r="BA83" i="23"/>
  <c r="AT83" i="23"/>
  <c r="AV83" i="23" s="1"/>
  <c r="AZ83" i="23" s="1"/>
  <c r="BA48" i="23"/>
  <c r="AT48" i="23"/>
  <c r="AV48" i="23" s="1"/>
  <c r="AZ48" i="23" s="1"/>
  <c r="BB83" i="23"/>
  <c r="BA78" i="23"/>
  <c r="AT78" i="23"/>
  <c r="AV78" i="23" s="1"/>
  <c r="AZ78" i="23" s="1"/>
  <c r="BB51" i="23"/>
  <c r="BB89" i="23"/>
  <c r="BB16" i="23"/>
  <c r="BA89" i="23"/>
  <c r="AT89" i="23"/>
  <c r="AV89" i="23" s="1"/>
  <c r="AZ89" i="23" s="1"/>
  <c r="AT16" i="23"/>
  <c r="AV16" i="23" s="1"/>
  <c r="AZ16" i="23" s="1"/>
  <c r="BA47" i="23"/>
  <c r="AT47" i="23"/>
  <c r="AV47" i="23" s="1"/>
  <c r="AZ47" i="23" s="1"/>
  <c r="BB47" i="23"/>
  <c r="BC42" i="23"/>
  <c r="AW42" i="23" s="1"/>
  <c r="BA51" i="23"/>
  <c r="AT51" i="23"/>
  <c r="AV51" i="23" s="1"/>
  <c r="AZ51" i="23" s="1"/>
  <c r="AT43" i="23"/>
  <c r="AV43" i="23" s="1"/>
  <c r="AZ43" i="23" s="1"/>
  <c r="BA26" i="23"/>
  <c r="AT26" i="23"/>
  <c r="AV26" i="23" s="1"/>
  <c r="AZ26" i="23" s="1"/>
  <c r="BA38" i="23"/>
  <c r="AT38" i="23"/>
  <c r="AV38" i="23" s="1"/>
  <c r="AZ38" i="23" s="1"/>
  <c r="BB86" i="23"/>
  <c r="BB67" i="21"/>
  <c r="BB42" i="21"/>
  <c r="BC40" i="23"/>
  <c r="AW40" i="23" s="1"/>
  <c r="BC28" i="23"/>
  <c r="AW28" i="23" s="1"/>
  <c r="BB28" i="23"/>
  <c r="BA106" i="23"/>
  <c r="AT106" i="23"/>
  <c r="AV106" i="23" s="1"/>
  <c r="AZ106" i="23" s="1"/>
  <c r="BB107" i="23"/>
  <c r="BC107" i="23"/>
  <c r="AW107" i="23" s="1"/>
  <c r="AT76" i="23"/>
  <c r="AV76" i="23" s="1"/>
  <c r="AZ76" i="23" s="1"/>
  <c r="BB76" i="23"/>
  <c r="BC76" i="23"/>
  <c r="AW76" i="23" s="1"/>
  <c r="BA67" i="21"/>
  <c r="AT67" i="21"/>
  <c r="AV67" i="21" s="1"/>
  <c r="AZ67" i="21" s="1"/>
  <c r="BC63" i="23"/>
  <c r="AW63" i="23" s="1"/>
  <c r="BB63" i="23"/>
  <c r="BA63" i="23"/>
  <c r="AT63" i="23"/>
  <c r="AV63" i="23" s="1"/>
  <c r="AZ63" i="23" s="1"/>
  <c r="BC49" i="23"/>
  <c r="AW49" i="23" s="1"/>
  <c r="BB49" i="23"/>
  <c r="AZ19" i="23"/>
  <c r="H2" i="23"/>
  <c r="BC75" i="23"/>
  <c r="AW75" i="23" s="1"/>
  <c r="BB75" i="23"/>
  <c r="BA62" i="23"/>
  <c r="AT62" i="23"/>
  <c r="AV62" i="23" s="1"/>
  <c r="AZ62" i="23" s="1"/>
  <c r="BA28" i="23"/>
  <c r="AT28" i="23"/>
  <c r="AV28" i="23" s="1"/>
  <c r="AZ28" i="23" s="1"/>
  <c r="BA108" i="23"/>
  <c r="AT108" i="23"/>
  <c r="AV108" i="23" s="1"/>
  <c r="AZ108" i="23" s="1"/>
  <c r="AT40" i="23"/>
  <c r="AV40" i="23" s="1"/>
  <c r="AZ40" i="23" s="1"/>
  <c r="BA18" i="21"/>
  <c r="AT18" i="21"/>
  <c r="AV18" i="21" s="1"/>
  <c r="AZ18" i="21" s="1"/>
  <c r="BB106" i="23"/>
  <c r="BC106" i="23"/>
  <c r="AW106" i="23" s="1"/>
  <c r="AT107" i="23"/>
  <c r="AV107" i="23" s="1"/>
  <c r="AZ107" i="23" s="1"/>
  <c r="BA107" i="23"/>
  <c r="BA41" i="23"/>
  <c r="AT41" i="23"/>
  <c r="AV41" i="23" s="1"/>
  <c r="AZ41" i="23" s="1"/>
  <c r="AT81" i="23"/>
  <c r="AV81" i="23" s="1"/>
  <c r="AZ81" i="23" s="1"/>
  <c r="BC81" i="23"/>
  <c r="AW81" i="23" s="1"/>
  <c r="BB81" i="23"/>
  <c r="BA42" i="21"/>
  <c r="AT42" i="21"/>
  <c r="AV42" i="21" s="1"/>
  <c r="AZ42" i="21" s="1"/>
  <c r="AT86" i="23"/>
  <c r="AV86" i="23" s="1"/>
  <c r="AZ86" i="23" s="1"/>
  <c r="BC41" i="23"/>
  <c r="AW41" i="23" s="1"/>
  <c r="BB41" i="23"/>
  <c r="BA42" i="23"/>
  <c r="AT42" i="23"/>
  <c r="AV42" i="23" s="1"/>
  <c r="AZ42" i="23" s="1"/>
  <c r="BA49" i="23"/>
  <c r="AT49" i="23"/>
  <c r="AV49" i="23" s="1"/>
  <c r="AZ49" i="23" s="1"/>
  <c r="BB62" i="23"/>
  <c r="BA75" i="23"/>
  <c r="AT75" i="23"/>
  <c r="AV75" i="23" s="1"/>
  <c r="AZ75" i="23" s="1"/>
  <c r="BB87" i="21"/>
  <c r="BC40" i="21"/>
  <c r="AW40" i="21" s="1"/>
  <c r="BA87" i="21"/>
  <c r="AT87" i="21"/>
  <c r="AV87" i="21" s="1"/>
  <c r="AZ87" i="21" s="1"/>
  <c r="BB9" i="21"/>
  <c r="BC98" i="21"/>
  <c r="AW98" i="21" s="1"/>
  <c r="BB79" i="21"/>
  <c r="BC81" i="21"/>
  <c r="AW81" i="21" s="1"/>
  <c r="BA79" i="21"/>
  <c r="AT79" i="21"/>
  <c r="AV79" i="21" s="1"/>
  <c r="AZ79" i="21" s="1"/>
  <c r="AT98" i="21"/>
  <c r="AV98" i="21" s="1"/>
  <c r="AZ98" i="21" s="1"/>
  <c r="BC62" i="21"/>
  <c r="AW62" i="21" s="1"/>
  <c r="BC9" i="21"/>
  <c r="AW9" i="21" s="1"/>
  <c r="BB55" i="21"/>
  <c r="C45" i="16"/>
  <c r="D45" i="16" s="1"/>
  <c r="B249" i="2"/>
  <c r="BB103" i="21"/>
  <c r="BB52" i="21"/>
  <c r="BB63" i="21"/>
  <c r="E64" i="1"/>
  <c r="K4" i="17"/>
  <c r="N4" i="17"/>
  <c r="F5" i="17"/>
  <c r="P626" i="17"/>
  <c r="O628" i="17"/>
  <c r="P623" i="17"/>
  <c r="P628" i="17"/>
  <c r="O626" i="17"/>
  <c r="O623" i="17"/>
  <c r="Q3" i="17"/>
  <c r="F4" i="17"/>
  <c r="J64" i="1"/>
  <c r="K4" i="25"/>
  <c r="P623" i="25"/>
  <c r="N4" i="25"/>
  <c r="P628" i="25"/>
  <c r="F5" i="25"/>
  <c r="O628" i="25"/>
  <c r="O623" i="25"/>
  <c r="P626" i="25"/>
  <c r="O626" i="25"/>
  <c r="Q3" i="25"/>
  <c r="F4" i="25"/>
  <c r="BC52" i="21"/>
  <c r="AW52" i="21" s="1"/>
  <c r="AT73" i="21"/>
  <c r="AV73" i="21" s="1"/>
  <c r="AZ73" i="21" s="1"/>
  <c r="BA73" i="21"/>
  <c r="BC90" i="21"/>
  <c r="AW90" i="21" s="1"/>
  <c r="BB90" i="21"/>
  <c r="BC44" i="21"/>
  <c r="AW44" i="21" s="1"/>
  <c r="BB44" i="21"/>
  <c r="BA43" i="21"/>
  <c r="AT43" i="21"/>
  <c r="AV43" i="21" s="1"/>
  <c r="AZ43" i="21" s="1"/>
  <c r="BB74" i="21"/>
  <c r="BC74" i="21"/>
  <c r="AW74" i="21" s="1"/>
  <c r="BA37" i="21"/>
  <c r="AT37" i="21"/>
  <c r="AV37" i="21" s="1"/>
  <c r="AZ37" i="21" s="1"/>
  <c r="BA52" i="21"/>
  <c r="AT52" i="21"/>
  <c r="AV52" i="21" s="1"/>
  <c r="AZ52" i="21" s="1"/>
  <c r="AT81" i="21"/>
  <c r="AV81" i="21" s="1"/>
  <c r="AZ81" i="21" s="1"/>
  <c r="BA81" i="21"/>
  <c r="AT49" i="21"/>
  <c r="AV49" i="21" s="1"/>
  <c r="AZ49" i="21" s="1"/>
  <c r="BA49" i="21"/>
  <c r="BA62" i="21"/>
  <c r="AT62" i="21"/>
  <c r="AV62" i="21" s="1"/>
  <c r="AZ62" i="21" s="1"/>
  <c r="AT89" i="21"/>
  <c r="AV89" i="21" s="1"/>
  <c r="AZ89" i="21" s="1"/>
  <c r="BA89" i="21"/>
  <c r="BA22" i="21"/>
  <c r="AT22" i="21"/>
  <c r="AV22" i="21" s="1"/>
  <c r="AZ22" i="21" s="1"/>
  <c r="BB43" i="21"/>
  <c r="BA24" i="21"/>
  <c r="AT24" i="21"/>
  <c r="AV24" i="21" s="1"/>
  <c r="AZ24" i="21" s="1"/>
  <c r="BC37" i="21"/>
  <c r="AW37" i="21" s="1"/>
  <c r="BB37" i="21"/>
  <c r="BC89" i="21"/>
  <c r="AW89" i="21" s="1"/>
  <c r="BB89" i="21"/>
  <c r="BB106" i="21"/>
  <c r="BC106" i="21"/>
  <c r="AW106" i="21" s="1"/>
  <c r="AT9" i="21"/>
  <c r="AV9" i="21" s="1"/>
  <c r="AZ9" i="21" s="1"/>
  <c r="BA9" i="21"/>
  <c r="BC48" i="21"/>
  <c r="AW48" i="21" s="1"/>
  <c r="BB48" i="21"/>
  <c r="AT53" i="21"/>
  <c r="AV53" i="21" s="1"/>
  <c r="AZ53" i="21" s="1"/>
  <c r="BA53" i="21"/>
  <c r="BA44" i="21"/>
  <c r="AT44" i="21"/>
  <c r="AV44" i="21" s="1"/>
  <c r="AZ44" i="21" s="1"/>
  <c r="BB92" i="21"/>
  <c r="BB107" i="21"/>
  <c r="BC107" i="21"/>
  <c r="AW107" i="21" s="1"/>
  <c r="BA109" i="21"/>
  <c r="AT109" i="21"/>
  <c r="AV109" i="21" s="1"/>
  <c r="AT13" i="21"/>
  <c r="AV13" i="21" s="1"/>
  <c r="AZ13" i="21" s="1"/>
  <c r="BA13" i="21"/>
  <c r="AZ19" i="21"/>
  <c r="H2" i="21"/>
  <c r="AT90" i="21"/>
  <c r="AV90" i="21" s="1"/>
  <c r="AZ90" i="21" s="1"/>
  <c r="BA90" i="21"/>
  <c r="AT85" i="21"/>
  <c r="AV85" i="21" s="1"/>
  <c r="AZ85" i="21" s="1"/>
  <c r="BA85" i="21"/>
  <c r="BC83" i="21"/>
  <c r="AW83" i="21" s="1"/>
  <c r="BB83" i="21"/>
  <c r="AT83" i="21"/>
  <c r="AV83" i="21" s="1"/>
  <c r="AZ83" i="21" s="1"/>
  <c r="BA83" i="21"/>
  <c r="BC15" i="21"/>
  <c r="AW15" i="21" s="1"/>
  <c r="BB15" i="21"/>
  <c r="BC22" i="21"/>
  <c r="AW22" i="21" s="1"/>
  <c r="BB22" i="21"/>
  <c r="BA25" i="21"/>
  <c r="AT25" i="21"/>
  <c r="AV25" i="21" s="1"/>
  <c r="AZ25" i="21" s="1"/>
  <c r="BA69" i="21"/>
  <c r="AT69" i="21"/>
  <c r="AV69" i="21" s="1"/>
  <c r="AZ69" i="21" s="1"/>
  <c r="BB59" i="21"/>
  <c r="BC59" i="21"/>
  <c r="AW59" i="21" s="1"/>
  <c r="BC73" i="21"/>
  <c r="AW73" i="21" s="1"/>
  <c r="BB73" i="21"/>
  <c r="BC25" i="21"/>
  <c r="AW25" i="21" s="1"/>
  <c r="BB25" i="21"/>
  <c r="BA63" i="21"/>
  <c r="AT63" i="21"/>
  <c r="AV63" i="21" s="1"/>
  <c r="AZ63" i="21" s="1"/>
  <c r="BA59" i="21"/>
  <c r="AT59" i="21"/>
  <c r="AV59" i="21" s="1"/>
  <c r="BA48" i="21"/>
  <c r="AT48" i="21"/>
  <c r="AV48" i="21" s="1"/>
  <c r="AZ48" i="21" s="1"/>
  <c r="BB85" i="21"/>
  <c r="BA103" i="21"/>
  <c r="AT103" i="21"/>
  <c r="AV103" i="21" s="1"/>
  <c r="AZ103" i="21" s="1"/>
  <c r="BC49" i="21"/>
  <c r="AW49" i="21" s="1"/>
  <c r="BB49" i="21"/>
  <c r="BA40" i="21"/>
  <c r="AT40" i="21"/>
  <c r="AV40" i="21" s="1"/>
  <c r="AZ40" i="21" s="1"/>
  <c r="AT107" i="21"/>
  <c r="AV107" i="21" s="1"/>
  <c r="AZ107" i="21" s="1"/>
  <c r="BA107" i="21"/>
  <c r="BC53" i="21"/>
  <c r="AW53" i="21" s="1"/>
  <c r="BB53" i="21"/>
  <c r="BA55" i="21"/>
  <c r="AT55" i="21"/>
  <c r="AV55" i="21" s="1"/>
  <c r="AZ55" i="21" s="1"/>
  <c r="BC69" i="21"/>
  <c r="AW69" i="21" s="1"/>
  <c r="BB69" i="21"/>
  <c r="BC109" i="21"/>
  <c r="AW109" i="21" s="1"/>
  <c r="BB109" i="21"/>
  <c r="AT106" i="21"/>
  <c r="AV106" i="21" s="1"/>
  <c r="AZ106" i="21" s="1"/>
  <c r="BA106" i="21"/>
  <c r="BC13" i="21"/>
  <c r="AW13" i="21" s="1"/>
  <c r="BB13" i="21"/>
  <c r="AT74" i="21"/>
  <c r="AV74" i="21" s="1"/>
  <c r="AZ74" i="21" s="1"/>
  <c r="BA74" i="21"/>
  <c r="BA15" i="21"/>
  <c r="AT15" i="21"/>
  <c r="AV15" i="21" s="1"/>
  <c r="AZ15" i="21" s="1"/>
  <c r="BA92" i="21"/>
  <c r="AT92" i="21"/>
  <c r="AV92" i="21" s="1"/>
  <c r="AZ92" i="21" s="1"/>
  <c r="BC24" i="21"/>
  <c r="AW24" i="21" s="1"/>
  <c r="BB24" i="21"/>
  <c r="F79" i="1" l="1"/>
  <c r="C7" i="25"/>
  <c r="M14" i="25" s="1"/>
  <c r="H4" i="23"/>
  <c r="AZ109" i="23"/>
  <c r="B376" i="2"/>
  <c r="D237" i="2"/>
  <c r="D377" i="2"/>
  <c r="E377" i="2"/>
  <c r="C47" i="16" s="1"/>
  <c r="D47" i="16" s="1"/>
  <c r="D253" i="2"/>
  <c r="C46" i="16"/>
  <c r="D46" i="16" s="1"/>
  <c r="A378" i="2"/>
  <c r="B378" i="2"/>
  <c r="B238" i="2"/>
  <c r="F76" i="1" s="1"/>
  <c r="B377" i="2"/>
  <c r="B253" i="2"/>
  <c r="B237" i="2"/>
  <c r="A377" i="2"/>
  <c r="B254" i="2"/>
  <c r="D610" i="25"/>
  <c r="D601" i="25"/>
  <c r="C595" i="25"/>
  <c r="D595" i="25"/>
  <c r="C568" i="25"/>
  <c r="D565" i="25"/>
  <c r="C555" i="25"/>
  <c r="D580" i="25"/>
  <c r="C569" i="25"/>
  <c r="D539" i="25"/>
  <c r="C550" i="25"/>
  <c r="C521" i="25"/>
  <c r="C489" i="25"/>
  <c r="C519" i="25"/>
  <c r="D484" i="25"/>
  <c r="D497" i="25"/>
  <c r="D469" i="25"/>
  <c r="D436" i="25"/>
  <c r="D404" i="25"/>
  <c r="D467" i="25"/>
  <c r="C436" i="25"/>
  <c r="C463" i="25"/>
  <c r="C431" i="25"/>
  <c r="C410" i="25"/>
  <c r="D413" i="25"/>
  <c r="D417" i="25"/>
  <c r="D381" i="25"/>
  <c r="D380" i="25"/>
  <c r="D345" i="25"/>
  <c r="D313" i="25"/>
  <c r="D281" i="25"/>
  <c r="C373" i="25"/>
  <c r="C384" i="25"/>
  <c r="C350" i="25"/>
  <c r="C317" i="25"/>
  <c r="D276" i="25"/>
  <c r="C351" i="25"/>
  <c r="C307" i="25"/>
  <c r="C270" i="25"/>
  <c r="D354" i="25"/>
  <c r="C318" i="25"/>
  <c r="C275" i="25"/>
  <c r="C243" i="25"/>
  <c r="D271" i="25"/>
  <c r="C225" i="25"/>
  <c r="C193" i="25"/>
  <c r="C161" i="25"/>
  <c r="C129" i="25"/>
  <c r="D257" i="25"/>
  <c r="D326" i="25"/>
  <c r="D244" i="25"/>
  <c r="D207" i="25"/>
  <c r="D175" i="25"/>
  <c r="D143" i="25"/>
  <c r="D111" i="25"/>
  <c r="D79" i="25"/>
  <c r="D47" i="25"/>
  <c r="D230" i="25"/>
  <c r="D162" i="25"/>
  <c r="D104" i="25"/>
  <c r="C59" i="25"/>
  <c r="C186" i="25"/>
  <c r="A622" i="25"/>
  <c r="D599" i="25"/>
  <c r="D593" i="25"/>
  <c r="C592" i="25"/>
  <c r="C566" i="25"/>
  <c r="C603" i="25"/>
  <c r="C553" i="25"/>
  <c r="C573" i="25"/>
  <c r="D564" i="25"/>
  <c r="C534" i="25"/>
  <c r="C542" i="25"/>
  <c r="D520" i="25"/>
  <c r="C487" i="25"/>
  <c r="D518" i="25"/>
  <c r="C556" i="25"/>
  <c r="D495" i="25"/>
  <c r="D468" i="25"/>
  <c r="D434" i="25"/>
  <c r="D402" i="25"/>
  <c r="D466" i="25"/>
  <c r="C434" i="25"/>
  <c r="C461" i="25"/>
  <c r="C429" i="25"/>
  <c r="C409" i="25"/>
  <c r="C408" i="25"/>
  <c r="C412" i="25"/>
  <c r="D379" i="25"/>
  <c r="D375" i="25"/>
  <c r="D343" i="25"/>
  <c r="D311" i="25"/>
  <c r="D279" i="25"/>
  <c r="C371" i="25"/>
  <c r="D382" i="25"/>
  <c r="C348" i="25"/>
  <c r="C316" i="25"/>
  <c r="D274" i="25"/>
  <c r="D348" i="25"/>
  <c r="C306" i="25"/>
  <c r="C268" i="25"/>
  <c r="C353" i="25"/>
  <c r="D316" i="25"/>
  <c r="C273" i="25"/>
  <c r="C241" i="25"/>
  <c r="C260" i="25"/>
  <c r="C223" i="25"/>
  <c r="C191" i="25"/>
  <c r="C159" i="25"/>
  <c r="C127" i="25"/>
  <c r="D256" i="25"/>
  <c r="C313" i="25"/>
  <c r="C238" i="25"/>
  <c r="D205" i="25"/>
  <c r="D173" i="25"/>
  <c r="D141" i="25"/>
  <c r="D109" i="25"/>
  <c r="D77" i="25"/>
  <c r="D45" i="25"/>
  <c r="C224" i="25"/>
  <c r="D158" i="25"/>
  <c r="C99" i="25"/>
  <c r="C50" i="25"/>
  <c r="C612" i="25"/>
  <c r="D597" i="25"/>
  <c r="D591" i="25"/>
  <c r="C590" i="25"/>
  <c r="C564" i="25"/>
  <c r="D586" i="25"/>
  <c r="C551" i="25"/>
  <c r="C565" i="25"/>
  <c r="D563" i="25"/>
  <c r="D533" i="25"/>
  <c r="C536" i="25"/>
  <c r="D519" i="25"/>
  <c r="C485" i="25"/>
  <c r="D517" i="25"/>
  <c r="D528" i="25"/>
  <c r="D493" i="25"/>
  <c r="D464" i="25"/>
  <c r="D432" i="25"/>
  <c r="D536" i="25"/>
  <c r="C464" i="25"/>
  <c r="C432" i="25"/>
  <c r="C459" i="25"/>
  <c r="C508" i="25"/>
  <c r="D407" i="25"/>
  <c r="C407" i="25"/>
  <c r="C411" i="25"/>
  <c r="D377" i="25"/>
  <c r="D373" i="25"/>
  <c r="D341" i="25"/>
  <c r="D309" i="25"/>
  <c r="C482" i="25"/>
  <c r="C369" i="25"/>
  <c r="C377" i="25"/>
  <c r="C346" i="25"/>
  <c r="D314" i="25"/>
  <c r="D272" i="25"/>
  <c r="C347" i="25"/>
  <c r="D304" i="25"/>
  <c r="C266" i="25"/>
  <c r="D350" i="25"/>
  <c r="C311" i="25"/>
  <c r="C271" i="25"/>
  <c r="C239" i="25"/>
  <c r="D259" i="25"/>
  <c r="C221" i="25"/>
  <c r="C189" i="25"/>
  <c r="C157" i="25"/>
  <c r="C125" i="25"/>
  <c r="C250" i="25"/>
  <c r="C312" i="25"/>
  <c r="D237" i="25"/>
  <c r="D203" i="25"/>
  <c r="D171" i="25"/>
  <c r="D139" i="25"/>
  <c r="D107" i="25"/>
  <c r="D75" i="25"/>
  <c r="D43" i="25"/>
  <c r="D218" i="25"/>
  <c r="D154" i="25"/>
  <c r="C98" i="25"/>
  <c r="D48" i="25"/>
  <c r="C178" i="25"/>
  <c r="C610" i="25"/>
  <c r="D611" i="25"/>
  <c r="D589" i="25"/>
  <c r="C588" i="25"/>
  <c r="C562" i="25"/>
  <c r="C579" i="25"/>
  <c r="C549" i="25"/>
  <c r="C561" i="25"/>
  <c r="C557" i="25"/>
  <c r="D532" i="25"/>
  <c r="D535" i="25"/>
  <c r="C513" i="25"/>
  <c r="C483" i="25"/>
  <c r="D510" i="25"/>
  <c r="C523" i="25"/>
  <c r="D491" i="25"/>
  <c r="D462" i="25"/>
  <c r="D430" i="25"/>
  <c r="C530" i="25"/>
  <c r="C462" i="25"/>
  <c r="C430" i="25"/>
  <c r="C457" i="25"/>
  <c r="D472" i="25"/>
  <c r="C402" i="25"/>
  <c r="D405" i="25"/>
  <c r="D409" i="25"/>
  <c r="C484" i="25"/>
  <c r="D371" i="25"/>
  <c r="D339" i="25"/>
  <c r="D307" i="25"/>
  <c r="D463" i="25"/>
  <c r="C367" i="25"/>
  <c r="C376" i="25"/>
  <c r="D392" i="25"/>
  <c r="C309" i="25"/>
  <c r="D270" i="25"/>
  <c r="D344" i="25"/>
  <c r="C299" i="25"/>
  <c r="C492" i="25"/>
  <c r="C349" i="25"/>
  <c r="C310" i="25"/>
  <c r="C269" i="25"/>
  <c r="C237" i="25"/>
  <c r="D258" i="25"/>
  <c r="C219" i="25"/>
  <c r="C187" i="25"/>
  <c r="C155" i="25"/>
  <c r="C123" i="25"/>
  <c r="D249" i="25"/>
  <c r="D294" i="25"/>
  <c r="D236" i="25"/>
  <c r="D201" i="25"/>
  <c r="D169" i="25"/>
  <c r="D137" i="25"/>
  <c r="D105" i="25"/>
  <c r="D73" i="25"/>
  <c r="D41" i="25"/>
  <c r="D214" i="25"/>
  <c r="D150" i="25"/>
  <c r="D96" i="25"/>
  <c r="C27" i="25"/>
  <c r="C174" i="25"/>
  <c r="C112" i="25"/>
  <c r="D70" i="25"/>
  <c r="C264" i="25"/>
  <c r="C176" i="25"/>
  <c r="C116" i="25"/>
  <c r="D74" i="25"/>
  <c r="C29" i="25"/>
  <c r="C613" i="25"/>
  <c r="D609" i="25"/>
  <c r="D587" i="25"/>
  <c r="C586" i="25"/>
  <c r="C560" i="25"/>
  <c r="D578" i="25"/>
  <c r="C547" i="25"/>
  <c r="D560" i="25"/>
  <c r="D555" i="25"/>
  <c r="C526" i="25"/>
  <c r="D534" i="25"/>
  <c r="D512" i="25"/>
  <c r="C481" i="25"/>
  <c r="D508" i="25"/>
  <c r="D522" i="25"/>
  <c r="D489" i="25"/>
  <c r="D460" i="25"/>
  <c r="D428" i="25"/>
  <c r="D524" i="25"/>
  <c r="C460" i="25"/>
  <c r="C428" i="25"/>
  <c r="C455" i="25"/>
  <c r="C466" i="25"/>
  <c r="C401" i="25"/>
  <c r="C500" i="25"/>
  <c r="C404" i="25"/>
  <c r="D455" i="25"/>
  <c r="D369" i="25"/>
  <c r="D337" i="25"/>
  <c r="D305" i="25"/>
  <c r="D431" i="25"/>
  <c r="C365" i="25"/>
  <c r="C374" i="25"/>
  <c r="C379" i="25"/>
  <c r="C308" i="25"/>
  <c r="D268" i="25"/>
  <c r="C339" i="25"/>
  <c r="C298" i="25"/>
  <c r="D439" i="25"/>
  <c r="D346" i="25"/>
  <c r="D308" i="25"/>
  <c r="C267" i="25"/>
  <c r="C235" i="25"/>
  <c r="C252" i="25"/>
  <c r="C217" i="25"/>
  <c r="C185" i="25"/>
  <c r="C153" i="25"/>
  <c r="C121" i="25"/>
  <c r="D248" i="25"/>
  <c r="C281" i="25"/>
  <c r="C230" i="25"/>
  <c r="D199" i="25"/>
  <c r="D167" i="25"/>
  <c r="D135" i="25"/>
  <c r="D103" i="25"/>
  <c r="D71" i="25"/>
  <c r="D39" i="25"/>
  <c r="D210" i="25"/>
  <c r="D146" i="25"/>
  <c r="C91" i="25"/>
  <c r="C320" i="25"/>
  <c r="C170" i="25"/>
  <c r="C611" i="25"/>
  <c r="C608" i="25"/>
  <c r="D585" i="25"/>
  <c r="C584" i="25"/>
  <c r="C558" i="25"/>
  <c r="D576" i="25"/>
  <c r="C545" i="25"/>
  <c r="D559" i="25"/>
  <c r="D553" i="25"/>
  <c r="D525" i="25"/>
  <c r="C528" i="25"/>
  <c r="C511" i="25"/>
  <c r="C479" i="25"/>
  <c r="D506" i="25"/>
  <c r="D521" i="25"/>
  <c r="D487" i="25"/>
  <c r="D458" i="25"/>
  <c r="D426" i="25"/>
  <c r="D523" i="25"/>
  <c r="C458" i="25"/>
  <c r="D529" i="25"/>
  <c r="C453" i="25"/>
  <c r="D465" i="25"/>
  <c r="D515" i="25"/>
  <c r="D480" i="25"/>
  <c r="C403" i="25"/>
  <c r="D419" i="25"/>
  <c r="D367" i="25"/>
  <c r="D335" i="25"/>
  <c r="D303" i="25"/>
  <c r="D411" i="25"/>
  <c r="D481" i="25"/>
  <c r="C372" i="25"/>
  <c r="C378" i="25"/>
  <c r="D306" i="25"/>
  <c r="D266" i="25"/>
  <c r="C338" i="25"/>
  <c r="D296" i="25"/>
  <c r="C422" i="25"/>
  <c r="C345" i="25"/>
  <c r="C303" i="25"/>
  <c r="C265" i="25"/>
  <c r="C233" i="25"/>
  <c r="D251" i="25"/>
  <c r="C215" i="25"/>
  <c r="C183" i="25"/>
  <c r="C151" i="25"/>
  <c r="D372" i="25"/>
  <c r="C242" i="25"/>
  <c r="C280" i="25"/>
  <c r="D229" i="25"/>
  <c r="D197" i="25"/>
  <c r="D165" i="25"/>
  <c r="D133" i="25"/>
  <c r="D101" i="25"/>
  <c r="D69" i="25"/>
  <c r="D37" i="25"/>
  <c r="D206" i="25"/>
  <c r="D142" i="25"/>
  <c r="C90" i="25"/>
  <c r="D254" i="25"/>
  <c r="C609" i="25"/>
  <c r="D607" i="25"/>
  <c r="C601" i="25"/>
  <c r="C582" i="25"/>
  <c r="D590" i="25"/>
  <c r="D574" i="25"/>
  <c r="C543" i="25"/>
  <c r="D556" i="25"/>
  <c r="D551" i="25"/>
  <c r="D557" i="25"/>
  <c r="D527" i="25"/>
  <c r="C509" i="25"/>
  <c r="C477" i="25"/>
  <c r="D504" i="25"/>
  <c r="C515" i="25"/>
  <c r="D485" i="25"/>
  <c r="D456" i="25"/>
  <c r="D424" i="25"/>
  <c r="C517" i="25"/>
  <c r="C456" i="25"/>
  <c r="C510" i="25"/>
  <c r="C451" i="25"/>
  <c r="D459" i="25"/>
  <c r="D461" i="25"/>
  <c r="C474" i="25"/>
  <c r="D401" i="25"/>
  <c r="C406" i="25"/>
  <c r="D365" i="25"/>
  <c r="D333" i="25"/>
  <c r="D301" i="25"/>
  <c r="C397" i="25"/>
  <c r="D447" i="25"/>
  <c r="C370" i="25"/>
  <c r="D368" i="25"/>
  <c r="C301" i="25"/>
  <c r="C421" i="25"/>
  <c r="D336" i="25"/>
  <c r="C291" i="25"/>
  <c r="D403" i="25"/>
  <c r="C343" i="25"/>
  <c r="C302" i="25"/>
  <c r="C263" i="25"/>
  <c r="C231" i="25"/>
  <c r="D250" i="25"/>
  <c r="C213" i="25"/>
  <c r="C181" i="25"/>
  <c r="C149" i="25"/>
  <c r="D342" i="25"/>
  <c r="D241" i="25"/>
  <c r="D277" i="25"/>
  <c r="D228" i="25"/>
  <c r="D195" i="25"/>
  <c r="D163" i="25"/>
  <c r="D131" i="25"/>
  <c r="D99" i="25"/>
  <c r="D67" i="25"/>
  <c r="D35" i="25"/>
  <c r="D202" i="25"/>
  <c r="D138" i="25"/>
  <c r="D88" i="25"/>
  <c r="C607" i="25"/>
  <c r="D606" i="25"/>
  <c r="C594" i="25"/>
  <c r="C580" i="25"/>
  <c r="C583" i="25"/>
  <c r="D572" i="25"/>
  <c r="C541" i="25"/>
  <c r="D554" i="25"/>
  <c r="D549" i="25"/>
  <c r="C554" i="25"/>
  <c r="D526" i="25"/>
  <c r="C507" i="25"/>
  <c r="C475" i="25"/>
  <c r="D502" i="25"/>
  <c r="D514" i="25"/>
  <c r="C548" i="25"/>
  <c r="D454" i="25"/>
  <c r="D422" i="25"/>
  <c r="D516" i="25"/>
  <c r="C454" i="25"/>
  <c r="C502" i="25"/>
  <c r="C449" i="25"/>
  <c r="D451" i="25"/>
  <c r="D453" i="25"/>
  <c r="D473" i="25"/>
  <c r="D399" i="25"/>
  <c r="C405" i="25"/>
  <c r="D363" i="25"/>
  <c r="D331" i="25"/>
  <c r="D299" i="25"/>
  <c r="C396" i="25"/>
  <c r="D427" i="25"/>
  <c r="C368" i="25"/>
  <c r="C341" i="25"/>
  <c r="C300" i="25"/>
  <c r="D384" i="25"/>
  <c r="C331" i="25"/>
  <c r="C290" i="25"/>
  <c r="D400" i="25"/>
  <c r="C342" i="25"/>
  <c r="D300" i="25"/>
  <c r="C261" i="25"/>
  <c r="C229" i="25"/>
  <c r="C244" i="25"/>
  <c r="C211" i="25"/>
  <c r="C179" i="25"/>
  <c r="C147" i="25"/>
  <c r="C329" i="25"/>
  <c r="D240" i="25"/>
  <c r="D269" i="25"/>
  <c r="D225" i="25"/>
  <c r="D193" i="25"/>
  <c r="D161" i="25"/>
  <c r="D129" i="25"/>
  <c r="D97" i="25"/>
  <c r="D65" i="25"/>
  <c r="D33" i="25"/>
  <c r="D198" i="25"/>
  <c r="D134" i="25"/>
  <c r="C83" i="25"/>
  <c r="D613" i="25"/>
  <c r="D604" i="25"/>
  <c r="C593" i="25"/>
  <c r="C578" i="25"/>
  <c r="D582" i="25"/>
  <c r="D570" i="25"/>
  <c r="C539" i="25"/>
  <c r="D552" i="25"/>
  <c r="D547" i="25"/>
  <c r="C546" i="25"/>
  <c r="C524" i="25"/>
  <c r="C505" i="25"/>
  <c r="C473" i="25"/>
  <c r="D500" i="25"/>
  <c r="D513" i="25"/>
  <c r="C504" i="25"/>
  <c r="D452" i="25"/>
  <c r="D420" i="25"/>
  <c r="C506" i="25"/>
  <c r="C452" i="25"/>
  <c r="C494" i="25"/>
  <c r="C447" i="25"/>
  <c r="D443" i="25"/>
  <c r="D445" i="25"/>
  <c r="D457" i="25"/>
  <c r="D397" i="25"/>
  <c r="C399" i="25"/>
  <c r="D361" i="25"/>
  <c r="D329" i="25"/>
  <c r="D297" i="25"/>
  <c r="D394" i="25"/>
  <c r="C414" i="25"/>
  <c r="C366" i="25"/>
  <c r="C340" i="25"/>
  <c r="D298" i="25"/>
  <c r="D370" i="25"/>
  <c r="C330" i="25"/>
  <c r="D288" i="25"/>
  <c r="C387" i="25"/>
  <c r="D340" i="25"/>
  <c r="C295" i="25"/>
  <c r="C259" i="25"/>
  <c r="C227" i="25"/>
  <c r="D243" i="25"/>
  <c r="C209" i="25"/>
  <c r="C177" i="25"/>
  <c r="C145" i="25"/>
  <c r="C328" i="25"/>
  <c r="C234" i="25"/>
  <c r="C262" i="25"/>
  <c r="D223" i="25"/>
  <c r="D191" i="25"/>
  <c r="D159" i="25"/>
  <c r="D127" i="25"/>
  <c r="D95" i="25"/>
  <c r="D63" i="25"/>
  <c r="D31" i="25"/>
  <c r="D194" i="25"/>
  <c r="D130" i="25"/>
  <c r="C82" i="25"/>
  <c r="C218" i="25"/>
  <c r="C606" i="25"/>
  <c r="D602" i="25"/>
  <c r="C591" i="25"/>
  <c r="D588" i="25"/>
  <c r="D581" i="25"/>
  <c r="D568" i="25"/>
  <c r="C537" i="25"/>
  <c r="D550" i="25"/>
  <c r="D545" i="25"/>
  <c r="D538" i="25"/>
  <c r="C522" i="25"/>
  <c r="C503" i="25"/>
  <c r="C471" i="25"/>
  <c r="D498" i="25"/>
  <c r="D511" i="25"/>
  <c r="C496" i="25"/>
  <c r="D450" i="25"/>
  <c r="D418" i="25"/>
  <c r="C498" i="25"/>
  <c r="C450" i="25"/>
  <c r="C486" i="25"/>
  <c r="C445" i="25"/>
  <c r="D435" i="25"/>
  <c r="D437" i="25"/>
  <c r="D449" i="25"/>
  <c r="D395" i="25"/>
  <c r="C398" i="25"/>
  <c r="D359" i="25"/>
  <c r="D327" i="25"/>
  <c r="D295" i="25"/>
  <c r="C389" i="25"/>
  <c r="C413" i="25"/>
  <c r="C364" i="25"/>
  <c r="D338" i="25"/>
  <c r="C293" i="25"/>
  <c r="D364" i="25"/>
  <c r="D328" i="25"/>
  <c r="C283" i="25"/>
  <c r="C386" i="25"/>
  <c r="C335" i="25"/>
  <c r="C294" i="25"/>
  <c r="C257" i="25"/>
  <c r="C394" i="25"/>
  <c r="D242" i="25"/>
  <c r="C207" i="25"/>
  <c r="C175" i="25"/>
  <c r="C143" i="25"/>
  <c r="D310" i="25"/>
  <c r="D233" i="25"/>
  <c r="D261" i="25"/>
  <c r="D221" i="25"/>
  <c r="D189" i="25"/>
  <c r="D157" i="25"/>
  <c r="D125" i="25"/>
  <c r="D93" i="25"/>
  <c r="D61" i="25"/>
  <c r="D29" i="25"/>
  <c r="D190" i="25"/>
  <c r="D126" i="25"/>
  <c r="D80" i="25"/>
  <c r="C214" i="25"/>
  <c r="C604" i="25"/>
  <c r="D600" i="25"/>
  <c r="C589" i="25"/>
  <c r="D584" i="25"/>
  <c r="D577" i="25"/>
  <c r="D566" i="25"/>
  <c r="C535" i="25"/>
  <c r="D548" i="25"/>
  <c r="D543" i="25"/>
  <c r="C532" i="25"/>
  <c r="C520" i="25"/>
  <c r="C501" i="25"/>
  <c r="C469" i="25"/>
  <c r="D496" i="25"/>
  <c r="D509" i="25"/>
  <c r="C488" i="25"/>
  <c r="D448" i="25"/>
  <c r="D416" i="25"/>
  <c r="C490" i="25"/>
  <c r="C448" i="25"/>
  <c r="C480" i="25"/>
  <c r="C443" i="25"/>
  <c r="C426" i="25"/>
  <c r="D429" i="25"/>
  <c r="D441" i="25"/>
  <c r="D393" i="25"/>
  <c r="D396" i="25"/>
  <c r="D357" i="25"/>
  <c r="D325" i="25"/>
  <c r="D293" i="25"/>
  <c r="C388" i="25"/>
  <c r="C400" i="25"/>
  <c r="C362" i="25"/>
  <c r="C333" i="25"/>
  <c r="C292" i="25"/>
  <c r="C363" i="25"/>
  <c r="C323" i="25"/>
  <c r="C282" i="25"/>
  <c r="D374" i="25"/>
  <c r="C334" i="25"/>
  <c r="D292" i="25"/>
  <c r="C255" i="25"/>
  <c r="C337" i="25"/>
  <c r="C236" i="25"/>
  <c r="C205" i="25"/>
  <c r="C173" i="25"/>
  <c r="C141" i="25"/>
  <c r="C297" i="25"/>
  <c r="D232" i="25"/>
  <c r="D260" i="25"/>
  <c r="D219" i="25"/>
  <c r="D187" i="25"/>
  <c r="D155" i="25"/>
  <c r="D123" i="25"/>
  <c r="D91" i="25"/>
  <c r="D59" i="25"/>
  <c r="D376" i="25"/>
  <c r="D186" i="25"/>
  <c r="D122" i="25"/>
  <c r="C75" i="25"/>
  <c r="C210" i="25"/>
  <c r="C602" i="25"/>
  <c r="D598" i="25"/>
  <c r="C587" i="25"/>
  <c r="D583" i="25"/>
  <c r="D575" i="25"/>
  <c r="D592" i="25"/>
  <c r="C533" i="25"/>
  <c r="D546" i="25"/>
  <c r="D541" i="25"/>
  <c r="D531" i="25"/>
  <c r="C518" i="25"/>
  <c r="C499" i="25"/>
  <c r="C467" i="25"/>
  <c r="D494" i="25"/>
  <c r="D507" i="25"/>
  <c r="D483" i="25"/>
  <c r="D446" i="25"/>
  <c r="D414" i="25"/>
  <c r="D482" i="25"/>
  <c r="C446" i="25"/>
  <c r="D479" i="25"/>
  <c r="C441" i="25"/>
  <c r="C425" i="25"/>
  <c r="C424" i="25"/>
  <c r="D433" i="25"/>
  <c r="D391" i="25"/>
  <c r="C391" i="25"/>
  <c r="D355" i="25"/>
  <c r="D323" i="25"/>
  <c r="D291" i="25"/>
  <c r="D386" i="25"/>
  <c r="D398" i="25"/>
  <c r="C360" i="25"/>
  <c r="C332" i="25"/>
  <c r="D290" i="25"/>
  <c r="D360" i="25"/>
  <c r="C322" i="25"/>
  <c r="D280" i="25"/>
  <c r="D366" i="25"/>
  <c r="D332" i="25"/>
  <c r="C287" i="25"/>
  <c r="C253" i="25"/>
  <c r="C336" i="25"/>
  <c r="D235" i="25"/>
  <c r="C203" i="25"/>
  <c r="C171" i="25"/>
  <c r="C139" i="25"/>
  <c r="C296" i="25"/>
  <c r="C226" i="25"/>
  <c r="C254" i="25"/>
  <c r="D217" i="25"/>
  <c r="D185" i="25"/>
  <c r="D153" i="25"/>
  <c r="D121" i="25"/>
  <c r="D89" i="25"/>
  <c r="D57" i="25"/>
  <c r="C289" i="25"/>
  <c r="D182" i="25"/>
  <c r="C115" i="25"/>
  <c r="C74" i="25"/>
  <c r="C206" i="25"/>
  <c r="C600" i="25"/>
  <c r="D596" i="25"/>
  <c r="C585" i="25"/>
  <c r="C576" i="25"/>
  <c r="D573" i="25"/>
  <c r="C571" i="25"/>
  <c r="C531" i="25"/>
  <c r="D544" i="25"/>
  <c r="C559" i="25"/>
  <c r="D530" i="25"/>
  <c r="C516" i="25"/>
  <c r="C497" i="25"/>
  <c r="C465" i="25"/>
  <c r="D492" i="25"/>
  <c r="D505" i="25"/>
  <c r="C478" i="25"/>
  <c r="D444" i="25"/>
  <c r="D412" i="25"/>
  <c r="C476" i="25"/>
  <c r="C444" i="25"/>
  <c r="D478" i="25"/>
  <c r="C439" i="25"/>
  <c r="D423" i="25"/>
  <c r="C423" i="25"/>
  <c r="C427" i="25"/>
  <c r="D389" i="25"/>
  <c r="C390" i="25"/>
  <c r="D353" i="25"/>
  <c r="D321" i="25"/>
  <c r="D289" i="25"/>
  <c r="C381" i="25"/>
  <c r="C393" i="25"/>
  <c r="C358" i="25"/>
  <c r="D330" i="25"/>
  <c r="C285" i="25"/>
  <c r="C359" i="25"/>
  <c r="D320" i="25"/>
  <c r="C278" i="25"/>
  <c r="D362" i="25"/>
  <c r="C327" i="25"/>
  <c r="C286" i="25"/>
  <c r="C251" i="25"/>
  <c r="D318" i="25"/>
  <c r="D234" i="25"/>
  <c r="C201" i="25"/>
  <c r="C169" i="25"/>
  <c r="C137" i="25"/>
  <c r="D273" i="25"/>
  <c r="D224" i="25"/>
  <c r="D253" i="25"/>
  <c r="D215" i="25"/>
  <c r="D183" i="25"/>
  <c r="D151" i="25"/>
  <c r="D119" i="25"/>
  <c r="D87" i="25"/>
  <c r="D55" i="25"/>
  <c r="D275" i="25"/>
  <c r="D178" i="25"/>
  <c r="C114" i="25"/>
  <c r="D72" i="25"/>
  <c r="C202" i="25"/>
  <c r="C138" i="25"/>
  <c r="C88" i="25"/>
  <c r="D46" i="25"/>
  <c r="C204" i="25"/>
  <c r="C140" i="25"/>
  <c r="C92" i="25"/>
  <c r="D50" i="25"/>
  <c r="C598" i="25"/>
  <c r="D594" i="25"/>
  <c r="D608" i="25"/>
  <c r="C574" i="25"/>
  <c r="D571" i="25"/>
  <c r="C563" i="25"/>
  <c r="C529" i="25"/>
  <c r="D542" i="25"/>
  <c r="D558" i="25"/>
  <c r="C525" i="25"/>
  <c r="C514" i="25"/>
  <c r="C495" i="25"/>
  <c r="C540" i="25"/>
  <c r="D490" i="25"/>
  <c r="D503" i="25"/>
  <c r="D477" i="25"/>
  <c r="D442" i="25"/>
  <c r="D410" i="25"/>
  <c r="D475" i="25"/>
  <c r="C442" i="25"/>
  <c r="C472" i="25"/>
  <c r="C437" i="25"/>
  <c r="C418" i="25"/>
  <c r="D421" i="25"/>
  <c r="D425" i="25"/>
  <c r="D387" i="25"/>
  <c r="D388" i="25"/>
  <c r="D351" i="25"/>
  <c r="D319" i="25"/>
  <c r="D287" i="25"/>
  <c r="C380" i="25"/>
  <c r="C392" i="25"/>
  <c r="C356" i="25"/>
  <c r="C325" i="25"/>
  <c r="C284" i="25"/>
  <c r="D356" i="25"/>
  <c r="C315" i="25"/>
  <c r="C276" i="25"/>
  <c r="C361" i="25"/>
  <c r="C326" i="25"/>
  <c r="D284" i="25"/>
  <c r="C249" i="25"/>
  <c r="C305" i="25"/>
  <c r="C228" i="25"/>
  <c r="C199" i="25"/>
  <c r="C167" i="25"/>
  <c r="C135" i="25"/>
  <c r="D265" i="25"/>
  <c r="D222" i="25"/>
  <c r="D252" i="25"/>
  <c r="D213" i="25"/>
  <c r="D181" i="25"/>
  <c r="D149" i="25"/>
  <c r="D117" i="25"/>
  <c r="D85" i="25"/>
  <c r="D53" i="25"/>
  <c r="D262" i="25"/>
  <c r="D174" i="25"/>
  <c r="D112" i="25"/>
  <c r="C67" i="25"/>
  <c r="C198" i="25"/>
  <c r="C134" i="25"/>
  <c r="C632" i="25"/>
  <c r="D605" i="25"/>
  <c r="C599" i="25"/>
  <c r="C605" i="25"/>
  <c r="C572" i="25"/>
  <c r="D569" i="25"/>
  <c r="D562" i="25"/>
  <c r="C527" i="25"/>
  <c r="D540" i="25"/>
  <c r="C552" i="25"/>
  <c r="D579" i="25"/>
  <c r="C512" i="25"/>
  <c r="C493" i="25"/>
  <c r="C538" i="25"/>
  <c r="D488" i="25"/>
  <c r="D501" i="25"/>
  <c r="D476" i="25"/>
  <c r="D440" i="25"/>
  <c r="D408" i="25"/>
  <c r="D474" i="25"/>
  <c r="C440" i="25"/>
  <c r="D471" i="25"/>
  <c r="C435" i="25"/>
  <c r="C417" i="25"/>
  <c r="C416" i="25"/>
  <c r="C420" i="25"/>
  <c r="D385" i="25"/>
  <c r="C383" i="25"/>
  <c r="D349" i="25"/>
  <c r="D317" i="25"/>
  <c r="D285" i="25"/>
  <c r="D378" i="25"/>
  <c r="D390" i="25"/>
  <c r="C354" i="25"/>
  <c r="C324" i="25"/>
  <c r="D282" i="25"/>
  <c r="C355" i="25"/>
  <c r="C314" i="25"/>
  <c r="C274" i="25"/>
  <c r="D358" i="25"/>
  <c r="D324" i="25"/>
  <c r="C279" i="25"/>
  <c r="C247" i="25"/>
  <c r="C304" i="25"/>
  <c r="D227" i="25"/>
  <c r="C197" i="25"/>
  <c r="C165" i="25"/>
  <c r="C133" i="25"/>
  <c r="D264" i="25"/>
  <c r="D220" i="25"/>
  <c r="C246" i="25"/>
  <c r="D211" i="25"/>
  <c r="D179" i="25"/>
  <c r="D147" i="25"/>
  <c r="D115" i="25"/>
  <c r="D83" i="25"/>
  <c r="D51" i="25"/>
  <c r="C256" i="25"/>
  <c r="D170" i="25"/>
  <c r="C107" i="25"/>
  <c r="C66" i="25"/>
  <c r="C194" i="25"/>
  <c r="D612" i="25"/>
  <c r="D603" i="25"/>
  <c r="C596" i="25"/>
  <c r="C597" i="25"/>
  <c r="C570" i="25"/>
  <c r="D567" i="25"/>
  <c r="D561" i="25"/>
  <c r="C581" i="25"/>
  <c r="C577" i="25"/>
  <c r="C544" i="25"/>
  <c r="C575" i="25"/>
  <c r="C567" i="25"/>
  <c r="C491" i="25"/>
  <c r="D537" i="25"/>
  <c r="D486" i="25"/>
  <c r="D499" i="25"/>
  <c r="C470" i="25"/>
  <c r="D438" i="25"/>
  <c r="D406" i="25"/>
  <c r="C468" i="25"/>
  <c r="C438" i="25"/>
  <c r="D470" i="25"/>
  <c r="C433" i="25"/>
  <c r="D415" i="25"/>
  <c r="C415" i="25"/>
  <c r="C419" i="25"/>
  <c r="D383" i="25"/>
  <c r="C382" i="25"/>
  <c r="D347" i="25"/>
  <c r="D315" i="25"/>
  <c r="D283" i="25"/>
  <c r="C375" i="25"/>
  <c r="C385" i="25"/>
  <c r="C352" i="25"/>
  <c r="D322" i="25"/>
  <c r="D278" i="25"/>
  <c r="D352" i="25"/>
  <c r="D312" i="25"/>
  <c r="C272" i="25"/>
  <c r="C357" i="25"/>
  <c r="C319" i="25"/>
  <c r="C277" i="25"/>
  <c r="C245" i="25"/>
  <c r="D286" i="25"/>
  <c r="D226" i="25"/>
  <c r="C195" i="25"/>
  <c r="C163" i="25"/>
  <c r="C131" i="25"/>
  <c r="C258" i="25"/>
  <c r="C344" i="25"/>
  <c r="D245" i="25"/>
  <c r="D209" i="25"/>
  <c r="D177" i="25"/>
  <c r="D145" i="25"/>
  <c r="D113" i="25"/>
  <c r="D81" i="25"/>
  <c r="D49" i="25"/>
  <c r="D255" i="25"/>
  <c r="D166" i="25"/>
  <c r="C106" i="25"/>
  <c r="D64" i="25"/>
  <c r="C190" i="25"/>
  <c r="C130" i="25"/>
  <c r="D78" i="25"/>
  <c r="D267" i="25"/>
  <c r="C168" i="25"/>
  <c r="D106" i="25"/>
  <c r="D58" i="25"/>
  <c r="D13" i="25"/>
  <c r="D136" i="25"/>
  <c r="D14" i="25"/>
  <c r="C110" i="25"/>
  <c r="D192" i="25"/>
  <c r="D108" i="25"/>
  <c r="C16" i="25"/>
  <c r="C126" i="25"/>
  <c r="C73" i="25"/>
  <c r="D263" i="25"/>
  <c r="C164" i="25"/>
  <c r="C101" i="25"/>
  <c r="C53" i="25"/>
  <c r="C58" i="25"/>
  <c r="D120" i="25"/>
  <c r="D128" i="25"/>
  <c r="D92" i="25"/>
  <c r="D176" i="25"/>
  <c r="C95" i="25"/>
  <c r="C14" i="25"/>
  <c r="C122" i="25"/>
  <c r="C72" i="25"/>
  <c r="D238" i="25"/>
  <c r="C160" i="25"/>
  <c r="C100" i="25"/>
  <c r="C52" i="25"/>
  <c r="D56" i="25"/>
  <c r="C119" i="25"/>
  <c r="D116" i="25"/>
  <c r="C79" i="25"/>
  <c r="D160" i="25"/>
  <c r="C94" i="25"/>
  <c r="D208" i="25"/>
  <c r="D118" i="25"/>
  <c r="C65" i="25"/>
  <c r="C232" i="25"/>
  <c r="C156" i="25"/>
  <c r="D98" i="25"/>
  <c r="C45" i="25"/>
  <c r="C51" i="25"/>
  <c r="C118" i="25"/>
  <c r="D84" i="25"/>
  <c r="C78" i="25"/>
  <c r="D144" i="25"/>
  <c r="D76" i="25"/>
  <c r="C102" i="25"/>
  <c r="C113" i="25"/>
  <c r="C64" i="25"/>
  <c r="D231" i="25"/>
  <c r="C152" i="25"/>
  <c r="C93" i="25"/>
  <c r="C44" i="25"/>
  <c r="C43" i="25"/>
  <c r="D100" i="25"/>
  <c r="C70" i="25"/>
  <c r="D60" i="25"/>
  <c r="C103" i="25"/>
  <c r="C63" i="25"/>
  <c r="D52" i="25"/>
  <c r="D110" i="25"/>
  <c r="D62" i="25"/>
  <c r="C222" i="25"/>
  <c r="C148" i="25"/>
  <c r="D90" i="25"/>
  <c r="D42" i="25"/>
  <c r="C42" i="25"/>
  <c r="C87" i="25"/>
  <c r="C38" i="25"/>
  <c r="C47" i="25"/>
  <c r="C71" i="25"/>
  <c r="C62" i="25"/>
  <c r="C32" i="25"/>
  <c r="C248" i="25"/>
  <c r="C105" i="25"/>
  <c r="C57" i="25"/>
  <c r="C216" i="25"/>
  <c r="C144" i="25"/>
  <c r="C85" i="25"/>
  <c r="C37" i="25"/>
  <c r="D40" i="25"/>
  <c r="C86" i="25"/>
  <c r="C13" i="25"/>
  <c r="C46" i="25"/>
  <c r="C21" i="25"/>
  <c r="D44" i="25"/>
  <c r="C28" i="25"/>
  <c r="D247" i="25"/>
  <c r="C104" i="25"/>
  <c r="C56" i="25"/>
  <c r="C212" i="25"/>
  <c r="C136" i="25"/>
  <c r="C84" i="25"/>
  <c r="C36" i="25"/>
  <c r="C35" i="25"/>
  <c r="D68" i="25"/>
  <c r="D246" i="25"/>
  <c r="C39" i="25"/>
  <c r="C20" i="25"/>
  <c r="C33" i="25"/>
  <c r="C182" i="25"/>
  <c r="D102" i="25"/>
  <c r="D54" i="25"/>
  <c r="C208" i="25"/>
  <c r="C132" i="25"/>
  <c r="D82" i="25"/>
  <c r="D34" i="25"/>
  <c r="C34" i="25"/>
  <c r="C55" i="25"/>
  <c r="C240" i="25"/>
  <c r="D38" i="25"/>
  <c r="D18" i="25"/>
  <c r="C31" i="25"/>
  <c r="C166" i="25"/>
  <c r="C97" i="25"/>
  <c r="C49" i="25"/>
  <c r="C200" i="25"/>
  <c r="C128" i="25"/>
  <c r="C77" i="25"/>
  <c r="D27" i="25"/>
  <c r="D32" i="25"/>
  <c r="C54" i="25"/>
  <c r="D204" i="25"/>
  <c r="D28" i="25"/>
  <c r="D239" i="25"/>
  <c r="D30" i="25"/>
  <c r="C162" i="25"/>
  <c r="C96" i="25"/>
  <c r="C48" i="25"/>
  <c r="C196" i="25"/>
  <c r="C124" i="25"/>
  <c r="C76" i="25"/>
  <c r="D25" i="25"/>
  <c r="D334" i="25"/>
  <c r="D36" i="25"/>
  <c r="D188" i="25"/>
  <c r="C23" i="25"/>
  <c r="D212" i="25"/>
  <c r="D26" i="25"/>
  <c r="C628" i="25"/>
  <c r="C158" i="25"/>
  <c r="D94" i="25"/>
  <c r="C41" i="25"/>
  <c r="C192" i="25"/>
  <c r="C120" i="25"/>
  <c r="C69" i="25"/>
  <c r="D23" i="25"/>
  <c r="D216" i="25"/>
  <c r="C30" i="25"/>
  <c r="D172" i="25"/>
  <c r="C22" i="25"/>
  <c r="D196" i="25"/>
  <c r="D24" i="25"/>
  <c r="C154" i="25"/>
  <c r="C89" i="25"/>
  <c r="C40" i="25"/>
  <c r="C188" i="25"/>
  <c r="C117" i="25"/>
  <c r="C68" i="25"/>
  <c r="D21" i="25"/>
  <c r="D200" i="25"/>
  <c r="C26" i="25"/>
  <c r="D156" i="25"/>
  <c r="D20" i="25"/>
  <c r="D180" i="25"/>
  <c r="C19" i="25"/>
  <c r="D628" i="25"/>
  <c r="C150" i="25"/>
  <c r="D86" i="25"/>
  <c r="C395" i="25"/>
  <c r="C184" i="25"/>
  <c r="D114" i="25"/>
  <c r="D66" i="25"/>
  <c r="D19" i="25"/>
  <c r="D184" i="25"/>
  <c r="C25" i="25"/>
  <c r="D140" i="25"/>
  <c r="C15" i="25"/>
  <c r="D164" i="25"/>
  <c r="C18" i="25"/>
  <c r="C623" i="25"/>
  <c r="C146" i="25"/>
  <c r="C81" i="25"/>
  <c r="C321" i="25"/>
  <c r="C180" i="25"/>
  <c r="C109" i="25"/>
  <c r="C61" i="25"/>
  <c r="D17" i="25"/>
  <c r="D168" i="25"/>
  <c r="C24" i="25"/>
  <c r="D124" i="25"/>
  <c r="C288" i="25"/>
  <c r="D148" i="25"/>
  <c r="D16" i="25"/>
  <c r="C142" i="25"/>
  <c r="C80" i="25"/>
  <c r="D302" i="25"/>
  <c r="C172" i="25"/>
  <c r="C108" i="25"/>
  <c r="C60" i="25"/>
  <c r="D15" i="25"/>
  <c r="D152" i="25"/>
  <c r="D22" i="25"/>
  <c r="C111" i="25"/>
  <c r="C220" i="25"/>
  <c r="D132" i="25"/>
  <c r="C17" i="25"/>
  <c r="D623" i="25"/>
  <c r="C626" i="25"/>
  <c r="D626" i="25"/>
  <c r="O606" i="17"/>
  <c r="O339" i="17"/>
  <c r="O338" i="17"/>
  <c r="O414" i="17"/>
  <c r="O240" i="17"/>
  <c r="O576" i="17"/>
  <c r="O437" i="17"/>
  <c r="O244" i="17"/>
  <c r="O306" i="17"/>
  <c r="O95" i="17"/>
  <c r="O296" i="17"/>
  <c r="O141" i="17"/>
  <c r="O42" i="17"/>
  <c r="O355" i="17"/>
  <c r="O207" i="17"/>
  <c r="P96" i="17"/>
  <c r="O438" i="17"/>
  <c r="O590" i="17"/>
  <c r="O81" i="17"/>
  <c r="O369" i="17"/>
  <c r="O181" i="17"/>
  <c r="O403" i="17"/>
  <c r="O237" i="17"/>
  <c r="P49" i="17"/>
  <c r="O412" i="17"/>
  <c r="O545" i="17"/>
  <c r="O415" i="17"/>
  <c r="O475" i="17"/>
  <c r="O300" i="17"/>
  <c r="P573" i="17"/>
  <c r="O248" i="17"/>
  <c r="O322" i="17"/>
  <c r="O319" i="17"/>
  <c r="O242" i="17"/>
  <c r="P62" i="17"/>
  <c r="O34" i="17"/>
  <c r="O208" i="17"/>
  <c r="O77" i="17"/>
  <c r="O101" i="17"/>
  <c r="O252" i="17"/>
  <c r="O213" i="17"/>
  <c r="O386" i="17"/>
  <c r="O526" i="17"/>
  <c r="O482" i="17"/>
  <c r="O155" i="17"/>
  <c r="O396" i="17"/>
  <c r="O172" i="17"/>
  <c r="O217" i="17"/>
  <c r="O454" i="17"/>
  <c r="O312" i="17"/>
  <c r="O256" i="17"/>
  <c r="O514" i="17"/>
  <c r="O126" i="17"/>
  <c r="O302" i="17"/>
  <c r="O102" i="17"/>
  <c r="O383" i="17"/>
  <c r="O173" i="17"/>
  <c r="O462" i="17"/>
  <c r="O331" i="17"/>
  <c r="O176" i="17"/>
  <c r="O267" i="17"/>
  <c r="O463" i="17"/>
  <c r="O505" i="17"/>
  <c r="O334" i="17"/>
  <c r="O233" i="17"/>
  <c r="O204" i="17"/>
  <c r="O253" i="17"/>
  <c r="O249" i="17"/>
  <c r="O332" i="17"/>
  <c r="O597" i="17"/>
  <c r="O295" i="17"/>
  <c r="O483" i="17"/>
  <c r="O200" i="17"/>
  <c r="O65" i="17"/>
  <c r="O180" i="17"/>
  <c r="O228" i="17"/>
  <c r="O57" i="17"/>
  <c r="O313" i="17"/>
  <c r="O595" i="17"/>
  <c r="O493" i="17"/>
  <c r="O543" i="17"/>
  <c r="O53" i="17"/>
  <c r="O309" i="17"/>
  <c r="O132" i="17"/>
  <c r="O487" i="17"/>
  <c r="O112" i="17"/>
  <c r="O371" i="17"/>
  <c r="O103" i="17"/>
  <c r="P86" i="17"/>
  <c r="O23" i="17"/>
  <c r="O152" i="17"/>
  <c r="O391" i="17"/>
  <c r="O85" i="17"/>
  <c r="P80" i="17"/>
  <c r="O292" i="17"/>
  <c r="O94" i="17"/>
  <c r="O377" i="17"/>
  <c r="O241" i="17"/>
  <c r="O266" i="17"/>
  <c r="O284" i="17"/>
  <c r="O411" i="17"/>
  <c r="O121" i="17"/>
  <c r="O114" i="17"/>
  <c r="O519" i="17"/>
  <c r="O29" i="17"/>
  <c r="O579" i="17"/>
  <c r="O605" i="17"/>
  <c r="O184" i="17"/>
  <c r="O185" i="17"/>
  <c r="O86" i="17"/>
  <c r="O26" i="17"/>
  <c r="O492" i="17"/>
  <c r="O32" i="17"/>
  <c r="O120" i="17"/>
  <c r="P109" i="17"/>
  <c r="O365" i="17"/>
  <c r="O395" i="17"/>
  <c r="O116" i="17"/>
  <c r="O78" i="17"/>
  <c r="O70" i="17"/>
  <c r="O106" i="17"/>
  <c r="O178" i="17"/>
  <c r="O220" i="17"/>
  <c r="O134" i="17"/>
  <c r="O554" i="17"/>
  <c r="O446" i="17"/>
  <c r="O304" i="17"/>
  <c r="O272" i="17"/>
  <c r="O160" i="17"/>
  <c r="O49" i="17"/>
  <c r="O168" i="17"/>
  <c r="O422" i="17"/>
  <c r="O561" i="17"/>
  <c r="P64" i="17"/>
  <c r="O96" i="17"/>
  <c r="O318" i="17"/>
  <c r="O350" i="17"/>
  <c r="O73" i="17"/>
  <c r="O41" i="17"/>
  <c r="O363" i="17"/>
  <c r="O89" i="17"/>
  <c r="O456" i="17"/>
  <c r="O303" i="17"/>
  <c r="O301" i="17"/>
  <c r="P48" i="17"/>
  <c r="O443" i="17"/>
  <c r="O219" i="17"/>
  <c r="O109" i="17"/>
  <c r="P89" i="17"/>
  <c r="O534" i="17"/>
  <c r="O598" i="17"/>
  <c r="O165" i="17"/>
  <c r="O426" i="17"/>
  <c r="P132" i="17"/>
  <c r="O74" i="17"/>
  <c r="O379" i="17"/>
  <c r="P99" i="17"/>
  <c r="O544" i="17"/>
  <c r="O245" i="17"/>
  <c r="O164" i="17"/>
  <c r="O48" i="17"/>
  <c r="P31" i="17"/>
  <c r="O105" i="17"/>
  <c r="O287" i="17"/>
  <c r="O601" i="17"/>
  <c r="P20" i="17"/>
  <c r="P16" i="17"/>
  <c r="O203" i="17"/>
  <c r="O502" i="17"/>
  <c r="O441" i="17"/>
  <c r="P43" i="17"/>
  <c r="P608" i="17"/>
  <c r="P514" i="17"/>
  <c r="P414" i="17"/>
  <c r="P587" i="17"/>
  <c r="O187" i="17"/>
  <c r="P152" i="17"/>
  <c r="P207" i="17"/>
  <c r="P377" i="17"/>
  <c r="P274" i="17"/>
  <c r="P601" i="17"/>
  <c r="P177" i="17"/>
  <c r="P170" i="17"/>
  <c r="P339" i="17"/>
  <c r="P401" i="17"/>
  <c r="P603" i="17"/>
  <c r="P307" i="17"/>
  <c r="P188" i="17"/>
  <c r="P437" i="17"/>
  <c r="P303" i="17"/>
  <c r="P116" i="17"/>
  <c r="O521" i="17"/>
  <c r="P102" i="17"/>
  <c r="P565" i="17"/>
  <c r="P319" i="17"/>
  <c r="O195" i="17"/>
  <c r="O68" i="17"/>
  <c r="P168" i="17"/>
  <c r="P556" i="17"/>
  <c r="P460" i="17"/>
  <c r="O531" i="17"/>
  <c r="O596" i="17"/>
  <c r="P129" i="17"/>
  <c r="P284" i="17"/>
  <c r="P239" i="17"/>
  <c r="P574" i="17"/>
  <c r="P388" i="17"/>
  <c r="P442" i="17"/>
  <c r="P85" i="17"/>
  <c r="P595" i="17"/>
  <c r="P246" i="17"/>
  <c r="O538" i="17"/>
  <c r="O317" i="17"/>
  <c r="O398" i="17"/>
  <c r="O199" i="17"/>
  <c r="O419" i="17"/>
  <c r="O119" i="17"/>
  <c r="O280" i="17"/>
  <c r="O37" i="17"/>
  <c r="O424" i="17"/>
  <c r="O281" i="17"/>
  <c r="O224" i="17"/>
  <c r="O91" i="17"/>
  <c r="O79" i="17"/>
  <c r="O93" i="17"/>
  <c r="O455" i="17"/>
  <c r="O321" i="17"/>
  <c r="O539" i="17"/>
  <c r="O188" i="17"/>
  <c r="O421" i="17"/>
  <c r="P46" i="17"/>
  <c r="O19" i="17"/>
  <c r="O274" i="17"/>
  <c r="O497" i="17"/>
  <c r="O231" i="17"/>
  <c r="P108" i="17"/>
  <c r="P44" i="17"/>
  <c r="P355" i="17"/>
  <c r="P312" i="17"/>
  <c r="P582" i="17"/>
  <c r="P213" i="17"/>
  <c r="O376" i="17"/>
  <c r="P453" i="17"/>
  <c r="P314" i="17"/>
  <c r="P138" i="17"/>
  <c r="P511" i="17"/>
  <c r="O66" i="17"/>
  <c r="P491" i="17"/>
  <c r="P375" i="17"/>
  <c r="P220" i="17"/>
  <c r="P538" i="17"/>
  <c r="P370" i="17"/>
  <c r="P518" i="17"/>
  <c r="P409" i="17"/>
  <c r="P262" i="17"/>
  <c r="P119" i="17"/>
  <c r="P372" i="17"/>
  <c r="P148" i="17"/>
  <c r="P371" i="17"/>
  <c r="P123" i="17"/>
  <c r="P167" i="17"/>
  <c r="O432" i="17"/>
  <c r="O310" i="17"/>
  <c r="P373" i="17"/>
  <c r="P322" i="17"/>
  <c r="P242" i="17"/>
  <c r="O44" i="17"/>
  <c r="O585" i="17"/>
  <c r="P470" i="17"/>
  <c r="P324" i="17"/>
  <c r="P292" i="17"/>
  <c r="O563" i="17"/>
  <c r="P151" i="17"/>
  <c r="P424" i="17"/>
  <c r="P331" i="17"/>
  <c r="P487" i="17"/>
  <c r="P141" i="17"/>
  <c r="O158" i="17"/>
  <c r="O581" i="17"/>
  <c r="O546" i="17"/>
  <c r="O264" i="17"/>
  <c r="O340" i="17"/>
  <c r="O179" i="17"/>
  <c r="O324" i="17"/>
  <c r="O347" i="17"/>
  <c r="P35" i="17"/>
  <c r="O471" i="17"/>
  <c r="O402" i="17"/>
  <c r="O157" i="17"/>
  <c r="O600" i="17"/>
  <c r="O353" i="17"/>
  <c r="O255" i="17"/>
  <c r="O223" i="17"/>
  <c r="O587" i="17"/>
  <c r="P101" i="17"/>
  <c r="O22" i="17"/>
  <c r="P78" i="17"/>
  <c r="O235" i="17"/>
  <c r="O238" i="17"/>
  <c r="O268" i="17"/>
  <c r="O549" i="17"/>
  <c r="O429" i="17"/>
  <c r="O479" i="17"/>
  <c r="O511" i="17"/>
  <c r="P252" i="17"/>
  <c r="P421" i="17"/>
  <c r="P452" i="17"/>
  <c r="P543" i="17"/>
  <c r="P107" i="17"/>
  <c r="P150" i="17"/>
  <c r="P566" i="17"/>
  <c r="P343" i="17"/>
  <c r="P544" i="17"/>
  <c r="O251" i="17"/>
  <c r="P216" i="17"/>
  <c r="P368" i="17"/>
  <c r="P473" i="17"/>
  <c r="P133" i="17"/>
  <c r="O518" i="17"/>
  <c r="P241" i="17"/>
  <c r="P234" i="17"/>
  <c r="P403" i="17"/>
  <c r="P433" i="17"/>
  <c r="P94" i="17"/>
  <c r="P340" i="17"/>
  <c r="P268" i="17"/>
  <c r="P501" i="17"/>
  <c r="P393" i="17"/>
  <c r="P180" i="17"/>
  <c r="O530" i="17"/>
  <c r="P166" i="17"/>
  <c r="P554" i="17"/>
  <c r="P383" i="17"/>
  <c r="O259" i="17"/>
  <c r="O67" i="17"/>
  <c r="P232" i="17"/>
  <c r="P110" i="17"/>
  <c r="P353" i="17"/>
  <c r="O393" i="17"/>
  <c r="O118" i="17"/>
  <c r="P256" i="17"/>
  <c r="P285" i="17"/>
  <c r="P350" i="17"/>
  <c r="P194" i="17"/>
  <c r="P59" i="17"/>
  <c r="O154" i="17"/>
  <c r="O602" i="17"/>
  <c r="O133" i="17"/>
  <c r="P54" i="17"/>
  <c r="P66" i="17"/>
  <c r="O236" i="17"/>
  <c r="O54" i="17"/>
  <c r="O27" i="17"/>
  <c r="O15" i="17"/>
  <c r="O366" i="17"/>
  <c r="O362" i="17"/>
  <c r="P32" i="17"/>
  <c r="O555" i="17"/>
  <c r="O90" i="17"/>
  <c r="O460" i="17"/>
  <c r="P47" i="17"/>
  <c r="O60" i="17"/>
  <c r="P81" i="17"/>
  <c r="O139" i="17"/>
  <c r="P91" i="17"/>
  <c r="O480" i="17"/>
  <c r="O276" i="17"/>
  <c r="O39" i="17"/>
  <c r="P22" i="17"/>
  <c r="O88" i="17"/>
  <c r="O151" i="17"/>
  <c r="P356" i="17"/>
  <c r="P310" i="17"/>
  <c r="P205" i="17"/>
  <c r="P258" i="17"/>
  <c r="O357" i="17"/>
  <c r="P451" i="17"/>
  <c r="P171" i="17"/>
  <c r="P143" i="17"/>
  <c r="P277" i="17"/>
  <c r="O448" i="17"/>
  <c r="P517" i="17"/>
  <c r="P173" i="17"/>
  <c r="P202" i="17"/>
  <c r="P474" i="17"/>
  <c r="O129" i="17"/>
  <c r="P454" i="17"/>
  <c r="P471" i="17"/>
  <c r="P300" i="17"/>
  <c r="P571" i="17"/>
  <c r="P363" i="17"/>
  <c r="P551" i="17"/>
  <c r="P441" i="17"/>
  <c r="P121" i="17"/>
  <c r="P183" i="17"/>
  <c r="P365" i="17"/>
  <c r="P128" i="17"/>
  <c r="P467" i="17"/>
  <c r="P187" i="17"/>
  <c r="P231" i="17"/>
  <c r="O496" i="17"/>
  <c r="O341" i="17"/>
  <c r="P469" i="17"/>
  <c r="P386" i="17"/>
  <c r="P306" i="17"/>
  <c r="P567" i="17"/>
  <c r="O163" i="17"/>
  <c r="P494" i="17"/>
  <c r="P524" i="17"/>
  <c r="P476" i="17"/>
  <c r="P25" i="17"/>
  <c r="O525" i="17"/>
  <c r="O552" i="17"/>
  <c r="O216" i="17"/>
  <c r="O177" i="17"/>
  <c r="O392" i="17"/>
  <c r="O370" i="17"/>
  <c r="O61" i="17"/>
  <c r="O586" i="17"/>
  <c r="O258" i="17"/>
  <c r="O390" i="17"/>
  <c r="O494" i="17"/>
  <c r="O290" i="17"/>
  <c r="O523" i="17"/>
  <c r="O378" i="17"/>
  <c r="P14" i="17"/>
  <c r="O171" i="17"/>
  <c r="O206" i="17"/>
  <c r="O210" i="17"/>
  <c r="O465" i="17"/>
  <c r="O167" i="17"/>
  <c r="P74" i="17"/>
  <c r="O30" i="17"/>
  <c r="O314" i="17"/>
  <c r="O113" i="17"/>
  <c r="P39" i="17"/>
  <c r="O356" i="17"/>
  <c r="P525" i="17"/>
  <c r="P419" i="17"/>
  <c r="P276" i="17"/>
  <c r="P399" i="17"/>
  <c r="O584" i="17"/>
  <c r="P164" i="17"/>
  <c r="P485" i="17"/>
  <c r="P579" i="17"/>
  <c r="P605" i="17"/>
  <c r="P26" i="17"/>
  <c r="P214" i="17"/>
  <c r="P610" i="17"/>
  <c r="P407" i="17"/>
  <c r="P607" i="17"/>
  <c r="O174" i="17"/>
  <c r="P280" i="17"/>
  <c r="P457" i="17"/>
  <c r="P468" i="17"/>
  <c r="P197" i="17"/>
  <c r="O577" i="17"/>
  <c r="P305" i="17"/>
  <c r="P298" i="17"/>
  <c r="P435" i="17"/>
  <c r="P497" i="17"/>
  <c r="P158" i="17"/>
  <c r="P404" i="17"/>
  <c r="P127" i="17"/>
  <c r="P464" i="17"/>
  <c r="P484" i="17"/>
  <c r="P160" i="17"/>
  <c r="O594" i="17"/>
  <c r="P230" i="17"/>
  <c r="P196" i="17"/>
  <c r="P479" i="17"/>
  <c r="P387" i="17"/>
  <c r="P296" i="17"/>
  <c r="P348" i="17"/>
  <c r="P449" i="17"/>
  <c r="O569" i="17"/>
  <c r="O135" i="17"/>
  <c r="O458" i="17"/>
  <c r="O87" i="17"/>
  <c r="O315" i="17"/>
  <c r="O294" i="17"/>
  <c r="O510" i="17"/>
  <c r="O358" i="17"/>
  <c r="O399" i="17"/>
  <c r="P97" i="17"/>
  <c r="O542" i="17"/>
  <c r="O14" i="17"/>
  <c r="O159" i="17"/>
  <c r="O574" i="17"/>
  <c r="P69" i="17"/>
  <c r="O297" i="17"/>
  <c r="O107" i="17"/>
  <c r="P27" i="17"/>
  <c r="O408" i="17"/>
  <c r="O571" i="17"/>
  <c r="O568" i="17"/>
  <c r="O468" i="17"/>
  <c r="O416" i="17"/>
  <c r="O97" i="17"/>
  <c r="O566" i="17"/>
  <c r="O262" i="17"/>
  <c r="O572" i="17"/>
  <c r="P71" i="17"/>
  <c r="P257" i="17"/>
  <c r="P176" i="17"/>
  <c r="P420" i="17"/>
  <c r="O202" i="17"/>
  <c r="O215" i="17"/>
  <c r="P349" i="17"/>
  <c r="P169" i="17"/>
  <c r="P269" i="17"/>
  <c r="P117" i="17"/>
  <c r="O320" i="17"/>
  <c r="P515" i="17"/>
  <c r="P235" i="17"/>
  <c r="P271" i="17"/>
  <c r="P374" i="17"/>
  <c r="O512" i="17"/>
  <c r="P480" i="17"/>
  <c r="P237" i="17"/>
  <c r="P266" i="17"/>
  <c r="P536" i="17"/>
  <c r="O193" i="17"/>
  <c r="P519" i="17"/>
  <c r="P434" i="17"/>
  <c r="P159" i="17"/>
  <c r="P529" i="17"/>
  <c r="P459" i="17"/>
  <c r="P572" i="17"/>
  <c r="P505" i="17"/>
  <c r="P185" i="17"/>
  <c r="P247" i="17"/>
  <c r="P461" i="17"/>
  <c r="P192" i="17"/>
  <c r="P430" i="17"/>
  <c r="P251" i="17"/>
  <c r="P295" i="17"/>
  <c r="P577" i="17"/>
  <c r="P174" i="17"/>
  <c r="P328" i="17"/>
  <c r="O51" i="17"/>
  <c r="P362" i="17"/>
  <c r="O409" i="17"/>
  <c r="O115" i="17"/>
  <c r="O361" i="17"/>
  <c r="O124" i="17"/>
  <c r="O52" i="17"/>
  <c r="O80" i="17"/>
  <c r="O289" i="17"/>
  <c r="O478" i="17"/>
  <c r="O226" i="17"/>
  <c r="O491" i="17"/>
  <c r="O191" i="17"/>
  <c r="O364" i="17"/>
  <c r="O564" i="17"/>
  <c r="O21" i="17"/>
  <c r="P17" i="17"/>
  <c r="O433" i="17"/>
  <c r="O71" i="17"/>
  <c r="P42" i="17"/>
  <c r="O212" i="17"/>
  <c r="O104" i="17"/>
  <c r="P87" i="17"/>
  <c r="O24" i="17"/>
  <c r="O293" i="17"/>
  <c r="P45" i="17"/>
  <c r="O59" i="17"/>
  <c r="O209" i="17"/>
  <c r="P61" i="17"/>
  <c r="P523" i="17"/>
  <c r="P317" i="17"/>
  <c r="P215" i="17"/>
  <c r="P103" i="17"/>
  <c r="O452" i="17"/>
  <c r="P588" i="17"/>
  <c r="P483" i="17"/>
  <c r="P135" i="17"/>
  <c r="P431" i="17"/>
  <c r="O565" i="17"/>
  <c r="P144" i="17"/>
  <c r="P448" i="17"/>
  <c r="P568" i="17"/>
  <c r="P385" i="17"/>
  <c r="P58" i="17"/>
  <c r="P278" i="17"/>
  <c r="P244" i="17"/>
  <c r="P439" i="17"/>
  <c r="P98" i="17"/>
  <c r="O190" i="17"/>
  <c r="P139" i="17"/>
  <c r="P516" i="17"/>
  <c r="P530" i="17"/>
  <c r="P261" i="17"/>
  <c r="P21" i="17"/>
  <c r="P338" i="17"/>
  <c r="P157" i="17"/>
  <c r="P499" i="17"/>
  <c r="P428" i="17"/>
  <c r="P222" i="17"/>
  <c r="P333" i="17"/>
  <c r="P191" i="17"/>
  <c r="P526" i="17"/>
  <c r="P599" i="17"/>
  <c r="P335" i="17"/>
  <c r="P417" i="17"/>
  <c r="P286" i="17"/>
  <c r="P212" i="17"/>
  <c r="P248" i="17"/>
  <c r="P55" i="17"/>
  <c r="P67" i="17"/>
  <c r="O69" i="17"/>
  <c r="O46" i="17"/>
  <c r="O522" i="17"/>
  <c r="O194" i="17"/>
  <c r="O127" i="17"/>
  <c r="O63" i="17"/>
  <c r="O469" i="17"/>
  <c r="P37" i="17"/>
  <c r="O407" i="17"/>
  <c r="P79" i="17"/>
  <c r="O108" i="17"/>
  <c r="O142" i="17"/>
  <c r="O558" i="17"/>
  <c r="O536" i="17"/>
  <c r="O372" i="17"/>
  <c r="O352" i="17"/>
  <c r="O305" i="17"/>
  <c r="O282" i="17"/>
  <c r="P77" i="17"/>
  <c r="O170" i="17"/>
  <c r="O148" i="17"/>
  <c r="O275" i="17"/>
  <c r="O513" i="17"/>
  <c r="O214" i="17"/>
  <c r="O227" i="17"/>
  <c r="P155" i="17"/>
  <c r="P238" i="17"/>
  <c r="P481" i="17"/>
  <c r="O553" i="17"/>
  <c r="P70" i="17"/>
  <c r="P354" i="17"/>
  <c r="P240" i="17"/>
  <c r="P537" i="17"/>
  <c r="O420" i="17"/>
  <c r="O279" i="17"/>
  <c r="P413" i="17"/>
  <c r="P233" i="17"/>
  <c r="P398" i="17"/>
  <c r="P181" i="17"/>
  <c r="O384" i="17"/>
  <c r="P478" i="17"/>
  <c r="P299" i="17"/>
  <c r="P336" i="17"/>
  <c r="P367" i="17"/>
  <c r="O473" i="17"/>
  <c r="P542" i="17"/>
  <c r="P301" i="17"/>
  <c r="P125" i="17"/>
  <c r="P527" i="17"/>
  <c r="O257" i="17"/>
  <c r="P581" i="17"/>
  <c r="P498" i="17"/>
  <c r="P223" i="17"/>
  <c r="P592" i="17"/>
  <c r="P422" i="17"/>
  <c r="P126" i="17"/>
  <c r="P436" i="17"/>
  <c r="P249" i="17"/>
  <c r="P311" i="17"/>
  <c r="O540" i="17"/>
  <c r="O457" i="17"/>
  <c r="P397" i="17"/>
  <c r="P550" i="17"/>
  <c r="P593" i="17"/>
  <c r="O50" i="17"/>
  <c r="O328" i="17"/>
  <c r="O326" i="17"/>
  <c r="O335" i="17"/>
  <c r="P33" i="17"/>
  <c r="O533" i="17"/>
  <c r="O149" i="17"/>
  <c r="O401" i="17"/>
  <c r="O459" i="17"/>
  <c r="O225" i="17"/>
  <c r="O394" i="17"/>
  <c r="O75" i="17"/>
  <c r="O583" i="17"/>
  <c r="O344" i="17"/>
  <c r="O351" i="17"/>
  <c r="O40" i="17"/>
  <c r="P23" i="17"/>
  <c r="P72" i="17"/>
  <c r="O33" i="17"/>
  <c r="O461" i="17"/>
  <c r="O198" i="17"/>
  <c r="O232" i="17"/>
  <c r="O406" i="17"/>
  <c r="O507" i="17"/>
  <c r="P65" i="17"/>
  <c r="O562" i="17"/>
  <c r="O368" i="17"/>
  <c r="P496" i="17"/>
  <c r="P379" i="17"/>
  <c r="P229" i="17"/>
  <c r="O100" i="17"/>
  <c r="P60" i="17"/>
  <c r="P586" i="17"/>
  <c r="P381" i="17"/>
  <c r="P279" i="17"/>
  <c r="P38" i="17"/>
  <c r="O516" i="17"/>
  <c r="P600" i="17"/>
  <c r="P446" i="17"/>
  <c r="P199" i="17"/>
  <c r="P495" i="17"/>
  <c r="P41" i="17"/>
  <c r="P208" i="17"/>
  <c r="P512" i="17"/>
  <c r="P612" i="17"/>
  <c r="P522" i="17"/>
  <c r="P90" i="17"/>
  <c r="P137" i="17"/>
  <c r="P140" i="17"/>
  <c r="P503" i="17"/>
  <c r="P162" i="17"/>
  <c r="O222" i="17"/>
  <c r="P203" i="17"/>
  <c r="P547" i="17"/>
  <c r="P563" i="17"/>
  <c r="P358" i="17"/>
  <c r="P53" i="17"/>
  <c r="P402" i="17"/>
  <c r="P221" i="17"/>
  <c r="P462" i="17"/>
  <c r="P492" i="17"/>
  <c r="O609" i="17"/>
  <c r="O405" i="17"/>
  <c r="P255" i="17"/>
  <c r="P320" i="17"/>
  <c r="P149" i="17"/>
  <c r="O230" i="17"/>
  <c r="O567" i="17"/>
  <c r="O423" i="17"/>
  <c r="O382" i="17"/>
  <c r="O130" i="17"/>
  <c r="O427" i="17"/>
  <c r="O359" i="17"/>
  <c r="P15" i="17"/>
  <c r="O36" i="17"/>
  <c r="O110" i="17"/>
  <c r="O560" i="17"/>
  <c r="O504" i="17"/>
  <c r="O72" i="17"/>
  <c r="P75" i="17"/>
  <c r="O265" i="17"/>
  <c r="O218" i="17"/>
  <c r="P13" i="17"/>
  <c r="O311" i="17"/>
  <c r="O261" i="17"/>
  <c r="O588" i="17"/>
  <c r="O20" i="17"/>
  <c r="O136" i="17"/>
  <c r="O25" i="17"/>
  <c r="O360" i="17"/>
  <c r="O239" i="17"/>
  <c r="P288" i="17"/>
  <c r="P19" i="17"/>
  <c r="P153" i="17"/>
  <c r="P156" i="17"/>
  <c r="P506" i="17"/>
  <c r="O278" i="17"/>
  <c r="O291" i="17"/>
  <c r="P219" i="17"/>
  <c r="P302" i="17"/>
  <c r="P508" i="17"/>
  <c r="P29" i="17"/>
  <c r="O410" i="17"/>
  <c r="P347" i="17"/>
  <c r="P304" i="17"/>
  <c r="P366" i="17"/>
  <c r="O484" i="17"/>
  <c r="O138" i="17"/>
  <c r="P445" i="17"/>
  <c r="P297" i="17"/>
  <c r="P327" i="17"/>
  <c r="P245" i="17"/>
  <c r="O537" i="17"/>
  <c r="P540" i="17"/>
  <c r="P332" i="17"/>
  <c r="P400" i="17"/>
  <c r="P463" i="17"/>
  <c r="O529" i="17"/>
  <c r="P575" i="17"/>
  <c r="P334" i="17"/>
  <c r="P189" i="17"/>
  <c r="P590" i="17"/>
  <c r="O92" i="17"/>
  <c r="P570" i="17"/>
  <c r="P561" i="17"/>
  <c r="P287" i="17"/>
  <c r="P604" i="17"/>
  <c r="P193" i="17"/>
  <c r="P432" i="17"/>
  <c r="P559" i="17"/>
  <c r="P146" i="17"/>
  <c r="O447" i="17"/>
  <c r="P36" i="17"/>
  <c r="O16" i="17"/>
  <c r="O31" i="17"/>
  <c r="O64" i="17"/>
  <c r="O508" i="17"/>
  <c r="O607" i="17"/>
  <c r="O330" i="17"/>
  <c r="O43" i="17"/>
  <c r="O551" i="17"/>
  <c r="O413" i="17"/>
  <c r="O517" i="17"/>
  <c r="O527" i="17"/>
  <c r="O345" i="17"/>
  <c r="O389" i="17"/>
  <c r="O470" i="17"/>
  <c r="O500" i="17"/>
  <c r="O166" i="17"/>
  <c r="O38" i="17"/>
  <c r="O346" i="17"/>
  <c r="O211" i="17"/>
  <c r="O449" i="17"/>
  <c r="O189" i="17"/>
  <c r="O144" i="17"/>
  <c r="O535" i="17"/>
  <c r="O476" i="17"/>
  <c r="P488" i="17"/>
  <c r="P115" i="17"/>
  <c r="P557" i="17"/>
  <c r="P412" i="17"/>
  <c r="P392" i="17"/>
  <c r="O575" i="17"/>
  <c r="O464" i="17"/>
  <c r="P591" i="17"/>
  <c r="P475" i="17"/>
  <c r="P293" i="17"/>
  <c r="O35" i="17"/>
  <c r="O18" i="17"/>
  <c r="P598" i="17"/>
  <c r="P477" i="17"/>
  <c r="P376" i="17"/>
  <c r="O474" i="17"/>
  <c r="O477" i="17"/>
  <c r="P142" i="17"/>
  <c r="P510" i="17"/>
  <c r="P263" i="17"/>
  <c r="P458" i="17"/>
  <c r="P105" i="17"/>
  <c r="P272" i="17"/>
  <c r="P564" i="17"/>
  <c r="P154" i="17"/>
  <c r="P555" i="17"/>
  <c r="P124" i="17"/>
  <c r="P201" i="17"/>
  <c r="P120" i="17"/>
  <c r="P466" i="17"/>
  <c r="P226" i="17"/>
  <c r="O254" i="17"/>
  <c r="P267" i="17"/>
  <c r="P122" i="17"/>
  <c r="P521" i="17"/>
  <c r="P351" i="17"/>
  <c r="P112" i="17"/>
  <c r="P315" i="17"/>
  <c r="P455" i="17"/>
  <c r="O286" i="17"/>
  <c r="P606" i="17"/>
  <c r="O481" i="17"/>
  <c r="O162" i="17"/>
  <c r="O308" i="17"/>
  <c r="O337" i="17"/>
  <c r="O498" i="17"/>
  <c r="O161" i="17"/>
  <c r="O528" i="17"/>
  <c r="O472" i="17"/>
  <c r="P56" i="17"/>
  <c r="O613" i="17"/>
  <c r="O128" i="17"/>
  <c r="P88" i="17"/>
  <c r="O612" i="17"/>
  <c r="P73" i="17"/>
  <c r="O229" i="17"/>
  <c r="O451" i="17"/>
  <c r="P68" i="17"/>
  <c r="O62" i="17"/>
  <c r="O374" i="17"/>
  <c r="P100" i="17"/>
  <c r="O603" i="17"/>
  <c r="O387" i="17"/>
  <c r="O260" i="17"/>
  <c r="O143" i="17"/>
  <c r="P30" i="17"/>
  <c r="P145" i="17"/>
  <c r="P429" i="17"/>
  <c r="P352" i="17"/>
  <c r="P580" i="17"/>
  <c r="P482" i="17"/>
  <c r="P147" i="17"/>
  <c r="P83" i="17"/>
  <c r="P217" i="17"/>
  <c r="P136" i="17"/>
  <c r="P569" i="17"/>
  <c r="O373" i="17"/>
  <c r="O150" i="17"/>
  <c r="P283" i="17"/>
  <c r="P161" i="17"/>
  <c r="P560" i="17"/>
  <c r="P93" i="17"/>
  <c r="O442" i="17"/>
  <c r="P411" i="17"/>
  <c r="P163" i="17"/>
  <c r="P418" i="17"/>
  <c r="O445" i="17"/>
  <c r="O234" i="17"/>
  <c r="P509" i="17"/>
  <c r="P330" i="17"/>
  <c r="P391" i="17"/>
  <c r="P309" i="17"/>
  <c r="O486" i="17"/>
  <c r="P531" i="17"/>
  <c r="P396" i="17"/>
  <c r="P361" i="17"/>
  <c r="P426" i="17"/>
  <c r="O578" i="17"/>
  <c r="P533" i="17"/>
  <c r="P359" i="17"/>
  <c r="P253" i="17"/>
  <c r="P602" i="17"/>
  <c r="P329" i="17"/>
  <c r="P165" i="17"/>
  <c r="P486" i="17"/>
  <c r="P364" i="17"/>
  <c r="P389" i="17"/>
  <c r="O557" i="17"/>
  <c r="O501" i="17"/>
  <c r="O117" i="17"/>
  <c r="O604" i="17"/>
  <c r="O532" i="17"/>
  <c r="O283" i="17"/>
  <c r="O453" i="17"/>
  <c r="O495" i="17"/>
  <c r="O250" i="17"/>
  <c r="O325" i="17"/>
  <c r="O201" i="17"/>
  <c r="O122" i="17"/>
  <c r="O556" i="17"/>
  <c r="O247" i="17"/>
  <c r="O375" i="17"/>
  <c r="O147" i="17"/>
  <c r="O417" i="17"/>
  <c r="O277" i="17"/>
  <c r="O430" i="17"/>
  <c r="O397" i="17"/>
  <c r="O175" i="17"/>
  <c r="O58" i="17"/>
  <c r="O573" i="17"/>
  <c r="O348" i="17"/>
  <c r="O580" i="17"/>
  <c r="P549" i="17"/>
  <c r="P254" i="17"/>
  <c r="P552" i="17"/>
  <c r="P346" i="17"/>
  <c r="P408" i="17"/>
  <c r="P583" i="17"/>
  <c r="P179" i="17"/>
  <c r="P546" i="17"/>
  <c r="P341" i="17"/>
  <c r="P321" i="17"/>
  <c r="P51" i="17"/>
  <c r="O425" i="17"/>
  <c r="P548" i="17"/>
  <c r="P438" i="17"/>
  <c r="P326" i="17"/>
  <c r="O99" i="17"/>
  <c r="O145" i="17"/>
  <c r="P228" i="17"/>
  <c r="P440" i="17"/>
  <c r="P369" i="17"/>
  <c r="O435" i="17"/>
  <c r="O541" i="17"/>
  <c r="P206" i="17"/>
  <c r="P562" i="17"/>
  <c r="P360" i="17"/>
  <c r="P520" i="17"/>
  <c r="P40" i="17"/>
  <c r="P131" i="17"/>
  <c r="P118" i="17"/>
  <c r="P218" i="17"/>
  <c r="P576" i="17"/>
  <c r="O515" i="17"/>
  <c r="P265" i="17"/>
  <c r="P184" i="17"/>
  <c r="P528" i="17"/>
  <c r="P290" i="17"/>
  <c r="O13" i="17"/>
  <c r="P224" i="17"/>
  <c r="P190" i="17"/>
  <c r="P186" i="17"/>
  <c r="P489" i="17"/>
  <c r="O271" i="17"/>
  <c r="O466" i="17"/>
  <c r="O327" i="17"/>
  <c r="O76" i="17"/>
  <c r="O570" i="17"/>
  <c r="O381" i="17"/>
  <c r="O205" i="17"/>
  <c r="P24" i="17"/>
  <c r="O547" i="17"/>
  <c r="O611" i="17"/>
  <c r="O156" i="17"/>
  <c r="O436" i="17"/>
  <c r="O307" i="17"/>
  <c r="O140" i="17"/>
  <c r="O342" i="17"/>
  <c r="P34" i="17"/>
  <c r="O589" i="17"/>
  <c r="O125" i="17"/>
  <c r="O285" i="17"/>
  <c r="O503" i="17"/>
  <c r="O380" i="17"/>
  <c r="O45" i="17"/>
  <c r="O146" i="17"/>
  <c r="P63" i="17"/>
  <c r="P84" i="17"/>
  <c r="P52" i="17"/>
  <c r="P395" i="17"/>
  <c r="P318" i="17"/>
  <c r="P589" i="17"/>
  <c r="P513" i="17"/>
  <c r="P209" i="17"/>
  <c r="P493" i="17"/>
  <c r="P416" i="17"/>
  <c r="P134" i="17"/>
  <c r="P535" i="17"/>
  <c r="P211" i="17"/>
  <c r="P18" i="17"/>
  <c r="P281" i="17"/>
  <c r="P200" i="17"/>
  <c r="P558" i="17"/>
  <c r="O336" i="17"/>
  <c r="O182" i="17"/>
  <c r="P316" i="17"/>
  <c r="P225" i="17"/>
  <c r="P114" i="17"/>
  <c r="P28" i="17"/>
  <c r="O506" i="17"/>
  <c r="P443" i="17"/>
  <c r="P227" i="17"/>
  <c r="P545" i="17"/>
  <c r="O509" i="17"/>
  <c r="O298" i="17"/>
  <c r="P472" i="17"/>
  <c r="P394" i="17"/>
  <c r="P423" i="17"/>
  <c r="P342" i="17"/>
  <c r="O520" i="17"/>
  <c r="P594" i="17"/>
  <c r="P325" i="17"/>
  <c r="P425" i="17"/>
  <c r="P490" i="17"/>
  <c r="O82" i="17"/>
  <c r="O608" i="17"/>
  <c r="P500" i="17"/>
  <c r="P584" i="17"/>
  <c r="P553" i="17"/>
  <c r="O444" i="17"/>
  <c r="O610" i="17"/>
  <c r="O367" i="17"/>
  <c r="O440" i="17"/>
  <c r="P57" i="17"/>
  <c r="O559" i="17"/>
  <c r="O137" i="17"/>
  <c r="O263" i="17"/>
  <c r="O524" i="17"/>
  <c r="O183" i="17"/>
  <c r="O197" i="17"/>
  <c r="O490" i="17"/>
  <c r="O593" i="17"/>
  <c r="O153" i="17"/>
  <c r="O288" i="17"/>
  <c r="O333" i="17"/>
  <c r="O111" i="17"/>
  <c r="O323" i="17"/>
  <c r="O196" i="17"/>
  <c r="O47" i="17"/>
  <c r="P95" i="17"/>
  <c r="O269" i="17"/>
  <c r="O485" i="17"/>
  <c r="O418" i="17"/>
  <c r="O83" i="17"/>
  <c r="O123" i="17"/>
  <c r="P172" i="17"/>
  <c r="P613" i="17"/>
  <c r="P384" i="17"/>
  <c r="P210" i="17"/>
  <c r="P539" i="17"/>
  <c r="P113" i="17"/>
  <c r="P106" i="17"/>
  <c r="P410" i="17"/>
  <c r="P337" i="17"/>
  <c r="P541" i="17"/>
  <c r="P243" i="17"/>
  <c r="P609" i="17"/>
  <c r="P405" i="17"/>
  <c r="P175" i="17"/>
  <c r="P50" i="17"/>
  <c r="O489" i="17"/>
  <c r="P611" i="17"/>
  <c r="P502" i="17"/>
  <c r="P390" i="17"/>
  <c r="O131" i="17"/>
  <c r="O273" i="17"/>
  <c r="P104" i="17"/>
  <c r="P504" i="17"/>
  <c r="P465" i="17"/>
  <c r="O499" i="17"/>
  <c r="O582" i="17"/>
  <c r="P270" i="17"/>
  <c r="P204" i="17"/>
  <c r="P111" i="17"/>
  <c r="P585" i="17"/>
  <c r="O56" i="17"/>
  <c r="P195" i="17"/>
  <c r="P182" i="17"/>
  <c r="P282" i="17"/>
  <c r="P130" i="17"/>
  <c r="O599" i="17"/>
  <c r="P294" i="17"/>
  <c r="P313" i="17"/>
  <c r="P415" i="17"/>
  <c r="O55" i="17"/>
  <c r="O434" i="17"/>
  <c r="O98" i="17"/>
  <c r="O428" i="17"/>
  <c r="O431" i="17"/>
  <c r="O186" i="17"/>
  <c r="P76" i="17"/>
  <c r="O354" i="17"/>
  <c r="O404" i="17"/>
  <c r="O243" i="17"/>
  <c r="O388" i="17"/>
  <c r="O343" i="17"/>
  <c r="O84" i="17"/>
  <c r="O488" i="17"/>
  <c r="O169" i="17"/>
  <c r="O221" i="17"/>
  <c r="O439" i="17"/>
  <c r="O316" i="17"/>
  <c r="O17" i="17"/>
  <c r="O592" i="17"/>
  <c r="O385" i="17"/>
  <c r="O548" i="17"/>
  <c r="O192" i="17"/>
  <c r="O450" i="17"/>
  <c r="O299" i="17"/>
  <c r="O270" i="17"/>
  <c r="O349" i="17"/>
  <c r="P357" i="17"/>
  <c r="P250" i="17"/>
  <c r="P596" i="17"/>
  <c r="P447" i="17"/>
  <c r="O28" i="17"/>
  <c r="P427" i="17"/>
  <c r="P382" i="17"/>
  <c r="P578" i="17"/>
  <c r="P444" i="17"/>
  <c r="P273" i="17"/>
  <c r="P456" i="17"/>
  <c r="P345" i="17"/>
  <c r="P198" i="17"/>
  <c r="P236" i="17"/>
  <c r="P275" i="17"/>
  <c r="P82" i="17"/>
  <c r="P378" i="17"/>
  <c r="P264" i="17"/>
  <c r="P308" i="17"/>
  <c r="O400" i="17"/>
  <c r="O246" i="17"/>
  <c r="P380" i="17"/>
  <c r="P289" i="17"/>
  <c r="P178" i="17"/>
  <c r="P92" i="17"/>
  <c r="O467" i="17"/>
  <c r="P507" i="17"/>
  <c r="P291" i="17"/>
  <c r="P597" i="17"/>
  <c r="O550" i="17"/>
  <c r="O329" i="17"/>
  <c r="P534" i="17"/>
  <c r="P323" i="17"/>
  <c r="P450" i="17"/>
  <c r="P406" i="17"/>
  <c r="P532" i="17"/>
  <c r="P260" i="17"/>
  <c r="P344" i="17"/>
  <c r="O591" i="17"/>
  <c r="P259" i="17"/>
  <c r="C270" i="17"/>
  <c r="C142" i="17"/>
  <c r="C219" i="17"/>
  <c r="C32" i="17"/>
  <c r="D62" i="17"/>
  <c r="C196" i="17"/>
  <c r="D272" i="17"/>
  <c r="C106" i="17"/>
  <c r="D76" i="17"/>
  <c r="C497" i="17"/>
  <c r="D538" i="17"/>
  <c r="D460" i="17"/>
  <c r="C409" i="17"/>
  <c r="D249" i="17"/>
  <c r="D189" i="17"/>
  <c r="C333" i="17"/>
  <c r="C177" i="17"/>
  <c r="D560" i="17"/>
  <c r="C462" i="17"/>
  <c r="C472" i="17"/>
  <c r="C373" i="17"/>
  <c r="D226" i="17"/>
  <c r="C295" i="17"/>
  <c r="C280" i="17"/>
  <c r="D415" i="17"/>
  <c r="D88" i="17"/>
  <c r="C567" i="17"/>
  <c r="D193" i="17"/>
  <c r="D139" i="17"/>
  <c r="D403" i="17"/>
  <c r="C552" i="17"/>
  <c r="C431" i="17"/>
  <c r="D148" i="17"/>
  <c r="D197" i="17"/>
  <c r="D203" i="17"/>
  <c r="C429" i="17"/>
  <c r="D68" i="17"/>
  <c r="C623" i="17"/>
  <c r="C526" i="17"/>
  <c r="D82" i="17"/>
  <c r="D421" i="17"/>
  <c r="D166" i="17"/>
  <c r="D579" i="17"/>
  <c r="C584" i="17"/>
  <c r="C420" i="17"/>
  <c r="C232" i="17"/>
  <c r="D153" i="17"/>
  <c r="D179" i="17"/>
  <c r="D446" i="17"/>
  <c r="D331" i="17"/>
  <c r="D574" i="17"/>
  <c r="D429" i="17"/>
  <c r="D93" i="17"/>
  <c r="C613" i="17"/>
  <c r="D540" i="17"/>
  <c r="C349" i="17"/>
  <c r="D532" i="17"/>
  <c r="D444" i="17"/>
  <c r="D55" i="17"/>
  <c r="D27" i="17"/>
  <c r="C475" i="17"/>
  <c r="D205" i="17"/>
  <c r="D248" i="17"/>
  <c r="D358" i="17"/>
  <c r="C140" i="17"/>
  <c r="C495" i="17"/>
  <c r="D544" i="17"/>
  <c r="D433" i="17"/>
  <c r="D67" i="17"/>
  <c r="D556" i="17"/>
  <c r="C286" i="17"/>
  <c r="C170" i="17"/>
  <c r="D149" i="17"/>
  <c r="D118" i="17"/>
  <c r="C130" i="17"/>
  <c r="D628" i="17"/>
  <c r="C378" i="17"/>
  <c r="C208" i="17"/>
  <c r="D336" i="17"/>
  <c r="D361" i="17"/>
  <c r="D489" i="17"/>
  <c r="D190" i="17"/>
  <c r="D61" i="17"/>
  <c r="D172" i="17"/>
  <c r="D79" i="17"/>
  <c r="C109" i="17"/>
  <c r="C433" i="17"/>
  <c r="D471" i="17"/>
  <c r="D407" i="17"/>
  <c r="D343" i="17"/>
  <c r="C316" i="17"/>
  <c r="C440" i="17"/>
  <c r="D195" i="17"/>
  <c r="D136" i="17"/>
  <c r="D377" i="17"/>
  <c r="C315" i="17"/>
  <c r="D236" i="17"/>
  <c r="C290" i="17"/>
  <c r="C104" i="17"/>
  <c r="C299" i="17"/>
  <c r="C338" i="17"/>
  <c r="D411" i="17"/>
  <c r="C220" i="17"/>
  <c r="D108" i="17"/>
  <c r="C278" i="17"/>
  <c r="C322" i="17"/>
  <c r="D280" i="17"/>
  <c r="C401" i="17"/>
  <c r="D276" i="17"/>
  <c r="D558" i="17"/>
  <c r="C214" i="17"/>
  <c r="C320" i="17"/>
  <c r="D247" i="17"/>
  <c r="C204" i="17"/>
  <c r="D267" i="17"/>
  <c r="D80" i="17"/>
  <c r="D162" i="17"/>
  <c r="D103" i="17"/>
  <c r="C273" i="17"/>
  <c r="C341" i="17"/>
  <c r="C145" i="17"/>
  <c r="C581" i="17"/>
  <c r="C512" i="17"/>
  <c r="D255" i="17"/>
  <c r="D578" i="17"/>
  <c r="C285" i="17"/>
  <c r="C112" i="17"/>
  <c r="D525" i="17"/>
  <c r="D115" i="17"/>
  <c r="C447" i="17"/>
  <c r="C527" i="17"/>
  <c r="D87" i="17"/>
  <c r="D99" i="17"/>
  <c r="C604" i="17"/>
  <c r="D373" i="17"/>
  <c r="D405" i="17"/>
  <c r="D542" i="17"/>
  <c r="D531" i="17"/>
  <c r="C583" i="17"/>
  <c r="D292" i="17"/>
  <c r="D485" i="17"/>
  <c r="D588" i="17"/>
  <c r="D441" i="17"/>
  <c r="D419" i="17"/>
  <c r="D516" i="17"/>
  <c r="C26" i="17"/>
  <c r="D85" i="17"/>
  <c r="D370" i="17"/>
  <c r="D457" i="17"/>
  <c r="C354" i="17"/>
  <c r="D133" i="17"/>
  <c r="C609" i="17"/>
  <c r="D527" i="17"/>
  <c r="C443" i="17"/>
  <c r="D473" i="17"/>
  <c r="D409" i="17"/>
  <c r="D573" i="17"/>
  <c r="D221" i="17"/>
  <c r="D75" i="17"/>
  <c r="C585" i="17"/>
  <c r="C408" i="17"/>
  <c r="C125" i="17"/>
  <c r="C253" i="17"/>
  <c r="C176" i="17"/>
  <c r="D329" i="17"/>
  <c r="D482" i="17"/>
  <c r="D483" i="17"/>
  <c r="C554" i="17"/>
  <c r="D96" i="17"/>
  <c r="C277" i="17"/>
  <c r="D150" i="17"/>
  <c r="C288" i="17"/>
  <c r="C453" i="17"/>
  <c r="C197" i="17"/>
  <c r="C17" i="17"/>
  <c r="C518" i="17"/>
  <c r="C47" i="17"/>
  <c r="D57" i="17"/>
  <c r="C33" i="17"/>
  <c r="D54" i="17"/>
  <c r="D111" i="17"/>
  <c r="C461" i="17"/>
  <c r="D490" i="17"/>
  <c r="D481" i="17"/>
  <c r="D204" i="17"/>
  <c r="D262" i="17"/>
  <c r="C551" i="17"/>
  <c r="C543" i="17"/>
  <c r="D234" i="17"/>
  <c r="C150" i="17"/>
  <c r="C522" i="17"/>
  <c r="D607" i="17"/>
  <c r="C200" i="17"/>
  <c r="C556" i="17"/>
  <c r="C332" i="17"/>
  <c r="D536" i="17"/>
  <c r="C151" i="17"/>
  <c r="D454" i="17"/>
  <c r="C276" i="17"/>
  <c r="C187" i="17"/>
  <c r="D264" i="17"/>
  <c r="D511" i="17"/>
  <c r="C179" i="17"/>
  <c r="D503" i="17"/>
  <c r="C49" i="17"/>
  <c r="C198" i="17"/>
  <c r="D437" i="17"/>
  <c r="C560" i="17"/>
  <c r="C422" i="17"/>
  <c r="D186" i="17"/>
  <c r="C492" i="17"/>
  <c r="C184" i="17"/>
  <c r="C250" i="17"/>
  <c r="C96" i="17"/>
  <c r="D396" i="17"/>
  <c r="D434" i="17"/>
  <c r="D252" i="17"/>
  <c r="C195" i="17"/>
  <c r="D402" i="17"/>
  <c r="D413" i="17"/>
  <c r="C211" i="17"/>
  <c r="C233" i="17"/>
  <c r="D499" i="17"/>
  <c r="C470" i="17"/>
  <c r="C73" i="17"/>
  <c r="C428" i="17"/>
  <c r="C61" i="17"/>
  <c r="D95" i="17"/>
  <c r="D31" i="17"/>
  <c r="D156" i="17"/>
  <c r="D220" i="17"/>
  <c r="D345" i="17"/>
  <c r="D384" i="17"/>
  <c r="C256" i="17"/>
  <c r="C192" i="17"/>
  <c r="C128" i="17"/>
  <c r="D599" i="17"/>
  <c r="D547" i="17"/>
  <c r="C442" i="17"/>
  <c r="C317" i="17"/>
  <c r="C602" i="17"/>
  <c r="C127" i="17"/>
  <c r="C398" i="17"/>
  <c r="C485" i="17"/>
  <c r="C595" i="17"/>
  <c r="C216" i="17"/>
  <c r="D351" i="17"/>
  <c r="D395" i="17"/>
  <c r="C582" i="17"/>
  <c r="D83" i="17"/>
  <c r="C311" i="17"/>
  <c r="D339" i="17"/>
  <c r="D176" i="17"/>
  <c r="D380" i="17"/>
  <c r="D180" i="17"/>
  <c r="D229" i="17"/>
  <c r="D545" i="17"/>
  <c r="C489" i="17"/>
  <c r="C611" i="17"/>
  <c r="D455" i="17"/>
  <c r="D116" i="17"/>
  <c r="D165" i="17"/>
  <c r="D235" i="17"/>
  <c r="C493" i="17"/>
  <c r="D198" i="17"/>
  <c r="C600" i="17"/>
  <c r="D121" i="17"/>
  <c r="D543" i="17"/>
  <c r="D590" i="17"/>
  <c r="C353" i="17"/>
  <c r="C221" i="17"/>
  <c r="C337" i="17"/>
  <c r="D15" i="17"/>
  <c r="C612" i="17"/>
  <c r="D243" i="17"/>
  <c r="C81" i="17"/>
  <c r="D464" i="17"/>
  <c r="C86" i="17"/>
  <c r="C548" i="17"/>
  <c r="D208" i="17"/>
  <c r="D23" i="17"/>
  <c r="C92" i="17"/>
  <c r="C599" i="17"/>
  <c r="D328" i="17"/>
  <c r="D475" i="17"/>
  <c r="D124" i="17"/>
  <c r="C34" i="17"/>
  <c r="D478" i="17"/>
  <c r="C324" i="17"/>
  <c r="D592" i="17"/>
  <c r="C334" i="17"/>
  <c r="C411" i="17"/>
  <c r="C415" i="17"/>
  <c r="C218" i="17"/>
  <c r="C466" i="17"/>
  <c r="D273" i="17"/>
  <c r="C191" i="17"/>
  <c r="C435" i="17"/>
  <c r="D102" i="17"/>
  <c r="C231" i="17"/>
  <c r="C336" i="17"/>
  <c r="C267" i="17"/>
  <c r="C126" i="17"/>
  <c r="C190" i="17"/>
  <c r="C254" i="17"/>
  <c r="D318" i="17"/>
  <c r="C107" i="17"/>
  <c r="C43" i="17"/>
  <c r="D13" i="17"/>
  <c r="D174" i="17"/>
  <c r="D238" i="17"/>
  <c r="C269" i="17"/>
  <c r="C205" i="17"/>
  <c r="C141" i="17"/>
  <c r="C46" i="17"/>
  <c r="C558" i="17"/>
  <c r="D106" i="17"/>
  <c r="D126" i="17"/>
  <c r="D443" i="17"/>
  <c r="C40" i="17"/>
  <c r="C18" i="17"/>
  <c r="D265" i="17"/>
  <c r="D386" i="17"/>
  <c r="C25" i="17"/>
  <c r="D601" i="17"/>
  <c r="C310" i="17"/>
  <c r="D241" i="17"/>
  <c r="C501" i="17"/>
  <c r="C426" i="17"/>
  <c r="C245" i="17"/>
  <c r="C368" i="17"/>
  <c r="D570" i="17"/>
  <c r="C303" i="17"/>
  <c r="C202" i="17"/>
  <c r="C260" i="17"/>
  <c r="D308" i="17"/>
  <c r="C370" i="17"/>
  <c r="C182" i="17"/>
  <c r="C418" i="17"/>
  <c r="D71" i="17"/>
  <c r="C305" i="17"/>
  <c r="D610" i="17"/>
  <c r="D501" i="17"/>
  <c r="C532" i="17"/>
  <c r="C225" i="17"/>
  <c r="D327" i="17"/>
  <c r="C68" i="17"/>
  <c r="D383" i="17"/>
  <c r="C243" i="17"/>
  <c r="D528" i="17"/>
  <c r="D19" i="17"/>
  <c r="C262" i="17"/>
  <c r="D237" i="17"/>
  <c r="D46" i="17"/>
  <c r="C307" i="17"/>
  <c r="C427" i="17"/>
  <c r="D48" i="17"/>
  <c r="C413" i="17"/>
  <c r="C226" i="17"/>
  <c r="C399" i="17"/>
  <c r="D123" i="17"/>
  <c r="C39" i="17"/>
  <c r="D355" i="17"/>
  <c r="D269" i="17"/>
  <c r="C15" i="17"/>
  <c r="D36" i="17"/>
  <c r="D613" i="17"/>
  <c r="C223" i="17"/>
  <c r="D181" i="17"/>
  <c r="C115" i="17"/>
  <c r="D626" i="17"/>
  <c r="C458" i="17"/>
  <c r="C500" i="17"/>
  <c r="D436" i="17"/>
  <c r="C289" i="17"/>
  <c r="D69" i="17"/>
  <c r="D520" i="17"/>
  <c r="D84" i="17"/>
  <c r="D52" i="17"/>
  <c r="D20" i="17"/>
  <c r="C58" i="17"/>
  <c r="D374" i="17"/>
  <c r="D406" i="17"/>
  <c r="D367" i="17"/>
  <c r="D399" i="17"/>
  <c r="D431" i="17"/>
  <c r="D78" i="17"/>
  <c r="D14" i="17"/>
  <c r="C48" i="17"/>
  <c r="C139" i="17"/>
  <c r="D282" i="17"/>
  <c r="C268" i="17"/>
  <c r="D416" i="17"/>
  <c r="C28" i="17"/>
  <c r="C133" i="17"/>
  <c r="C215" i="17"/>
  <c r="C486" i="17"/>
  <c r="D100" i="17"/>
  <c r="D43" i="17"/>
  <c r="D593" i="17"/>
  <c r="D22" i="17"/>
  <c r="D175" i="17"/>
  <c r="D435" i="17"/>
  <c r="D502" i="17"/>
  <c r="D449" i="17"/>
  <c r="C302" i="17"/>
  <c r="C155" i="17"/>
  <c r="C291" i="17"/>
  <c r="D296" i="17"/>
  <c r="C403" i="17"/>
  <c r="D513" i="17"/>
  <c r="D285" i="17"/>
  <c r="D230" i="17"/>
  <c r="C580" i="17"/>
  <c r="C168" i="17"/>
  <c r="D506" i="17"/>
  <c r="D30" i="17"/>
  <c r="D295" i="17"/>
  <c r="D254" i="17"/>
  <c r="D548" i="17"/>
  <c r="C371" i="17"/>
  <c r="D200" i="17"/>
  <c r="C502" i="17"/>
  <c r="C85" i="17"/>
  <c r="C275" i="17"/>
  <c r="D26" i="17"/>
  <c r="D164" i="17"/>
  <c r="C284" i="17"/>
  <c r="D340" i="17"/>
  <c r="D178" i="17"/>
  <c r="D363" i="17"/>
  <c r="D557" i="17"/>
  <c r="C53" i="17"/>
  <c r="D152" i="17"/>
  <c r="C628" i="17"/>
  <c r="C22" i="17"/>
  <c r="C393" i="17"/>
  <c r="D569" i="17"/>
  <c r="D40" i="17"/>
  <c r="D612" i="17"/>
  <c r="C294" i="17"/>
  <c r="C175" i="17"/>
  <c r="C456" i="17"/>
  <c r="D320" i="17"/>
  <c r="D497" i="17"/>
  <c r="D202" i="17"/>
  <c r="C478" i="17"/>
  <c r="D365" i="17"/>
  <c r="C119" i="17"/>
  <c r="D400" i="17"/>
  <c r="D209" i="17"/>
  <c r="C423" i="17"/>
  <c r="C487" i="17"/>
  <c r="C568" i="17"/>
  <c r="C545" i="17"/>
  <c r="D609" i="17"/>
  <c r="C129" i="17"/>
  <c r="C193" i="17"/>
  <c r="C116" i="17"/>
  <c r="C180" i="17"/>
  <c r="C244" i="17"/>
  <c r="D463" i="17"/>
  <c r="D495" i="17"/>
  <c r="C425" i="17"/>
  <c r="C457" i="17"/>
  <c r="C507" i="17"/>
  <c r="D112" i="17"/>
  <c r="D390" i="17"/>
  <c r="C242" i="17"/>
  <c r="C410" i="17"/>
  <c r="C95" i="17"/>
  <c r="C279" i="17"/>
  <c r="D378" i="17"/>
  <c r="C146" i="17"/>
  <c r="C124" i="17"/>
  <c r="D212" i="17"/>
  <c r="D261" i="17"/>
  <c r="C283" i="17"/>
  <c r="D335" i="17"/>
  <c r="D529" i="17"/>
  <c r="D28" i="17"/>
  <c r="C222" i="17"/>
  <c r="C536" i="17"/>
  <c r="C234" i="17"/>
  <c r="C257" i="17"/>
  <c r="C319" i="17"/>
  <c r="C238" i="17"/>
  <c r="D39" i="17"/>
  <c r="C405" i="17"/>
  <c r="D522" i="17"/>
  <c r="D462" i="17"/>
  <c r="C481" i="17"/>
  <c r="C138" i="17"/>
  <c r="D350" i="17"/>
  <c r="D306" i="17"/>
  <c r="C42" i="17"/>
  <c r="D232" i="17"/>
  <c r="D326" i="17"/>
  <c r="C313" i="17"/>
  <c r="D206" i="17"/>
  <c r="D364" i="17"/>
  <c r="D465" i="17"/>
  <c r="D379" i="17"/>
  <c r="C397" i="17"/>
  <c r="C384" i="17"/>
  <c r="C247" i="17"/>
  <c r="D352" i="17"/>
  <c r="D32" i="17"/>
  <c r="C515" i="17"/>
  <c r="D424" i="17"/>
  <c r="D97" i="17"/>
  <c r="C521" i="17"/>
  <c r="C248" i="17"/>
  <c r="D316" i="17"/>
  <c r="D215" i="17"/>
  <c r="C152" i="17"/>
  <c r="D257" i="17"/>
  <c r="C540" i="17"/>
  <c r="C16" i="17"/>
  <c r="C477" i="17"/>
  <c r="C490" i="17"/>
  <c r="C148" i="17"/>
  <c r="C19" i="17"/>
  <c r="C121" i="17"/>
  <c r="D432" i="17"/>
  <c r="D258" i="17"/>
  <c r="D194" i="17"/>
  <c r="C598" i="17"/>
  <c r="D606" i="17"/>
  <c r="C174" i="17"/>
  <c r="D291" i="17"/>
  <c r="D423" i="17"/>
  <c r="C309" i="17"/>
  <c r="D169" i="17"/>
  <c r="D297" i="17"/>
  <c r="C377" i="17"/>
  <c r="C402" i="17"/>
  <c r="C308" i="17"/>
  <c r="D372" i="17"/>
  <c r="D333" i="17"/>
  <c r="D397" i="17"/>
  <c r="C158" i="17"/>
  <c r="D90" i="17"/>
  <c r="D137" i="17"/>
  <c r="C258" i="17"/>
  <c r="D98" i="17"/>
  <c r="D338" i="17"/>
  <c r="D342" i="17"/>
  <c r="D113" i="17"/>
  <c r="D347" i="17"/>
  <c r="D452" i="17"/>
  <c r="C213" i="17"/>
  <c r="D555" i="17"/>
  <c r="D284" i="17"/>
  <c r="C452" i="17"/>
  <c r="C156" i="17"/>
  <c r="D523" i="17"/>
  <c r="C406" i="17"/>
  <c r="D313" i="17"/>
  <c r="D389" i="17"/>
  <c r="C523" i="17"/>
  <c r="D507" i="17"/>
  <c r="D44" i="17"/>
  <c r="C136" i="17"/>
  <c r="D233" i="17"/>
  <c r="C482" i="17"/>
  <c r="C531" i="17"/>
  <c r="C396" i="17"/>
  <c r="D33" i="17"/>
  <c r="C438" i="17"/>
  <c r="C21" i="17"/>
  <c r="D577" i="17"/>
  <c r="C306" i="17"/>
  <c r="D228" i="17"/>
  <c r="D549" i="17"/>
  <c r="C212" i="17"/>
  <c r="D73" i="17"/>
  <c r="C509" i="17"/>
  <c r="C517" i="17"/>
  <c r="D608" i="17"/>
  <c r="C199" i="17"/>
  <c r="D59" i="17"/>
  <c r="C574" i="17"/>
  <c r="C66" i="17"/>
  <c r="D587" i="17"/>
  <c r="C572" i="17"/>
  <c r="D315" i="17"/>
  <c r="D319" i="17"/>
  <c r="D218" i="17"/>
  <c r="D442" i="17"/>
  <c r="C417" i="17"/>
  <c r="C55" i="17"/>
  <c r="C360" i="17"/>
  <c r="D142" i="17"/>
  <c r="C163" i="17"/>
  <c r="C274" i="17"/>
  <c r="C27" i="17"/>
  <c r="C147" i="17"/>
  <c r="D278" i="17"/>
  <c r="D524" i="17"/>
  <c r="D214" i="17"/>
  <c r="C154" i="17"/>
  <c r="D561" i="17"/>
  <c r="D381" i="17"/>
  <c r="C449" i="17"/>
  <c r="C123" i="17"/>
  <c r="C30" i="17"/>
  <c r="D60" i="17"/>
  <c r="C524" i="17"/>
  <c r="C446" i="17"/>
  <c r="C228" i="17"/>
  <c r="D222" i="17"/>
  <c r="D567" i="17"/>
  <c r="D428" i="17"/>
  <c r="C566" i="17"/>
  <c r="C608" i="17"/>
  <c r="C559" i="17"/>
  <c r="C520" i="17"/>
  <c r="C207" i="17"/>
  <c r="C454" i="17"/>
  <c r="D216" i="17"/>
  <c r="D453" i="17"/>
  <c r="C569" i="17"/>
  <c r="C88" i="17"/>
  <c r="D239" i="17"/>
  <c r="D410" i="17"/>
  <c r="C240" i="17"/>
  <c r="D417" i="17"/>
  <c r="C74" i="17"/>
  <c r="D414" i="17"/>
  <c r="C350" i="17"/>
  <c r="D427" i="17"/>
  <c r="C29" i="17"/>
  <c r="D584" i="17"/>
  <c r="C304" i="17"/>
  <c r="D41" i="17"/>
  <c r="D217" i="17"/>
  <c r="C82" i="17"/>
  <c r="D534" i="17"/>
  <c r="C459" i="17"/>
  <c r="D487" i="17"/>
  <c r="D508" i="17"/>
  <c r="C206" i="17"/>
  <c r="C132" i="17"/>
  <c r="C31" i="17"/>
  <c r="D550" i="17"/>
  <c r="C549" i="17"/>
  <c r="D45" i="17"/>
  <c r="D491" i="17"/>
  <c r="D401" i="17"/>
  <c r="C321" i="17"/>
  <c r="C365" i="17"/>
  <c r="C386" i="17"/>
  <c r="C298" i="17"/>
  <c r="C108" i="17"/>
  <c r="C395" i="17"/>
  <c r="C188" i="17"/>
  <c r="C359" i="17"/>
  <c r="D196" i="17"/>
  <c r="C201" i="17"/>
  <c r="C542" i="17"/>
  <c r="D360" i="17"/>
  <c r="C98" i="17"/>
  <c r="D187" i="17"/>
  <c r="D242" i="17"/>
  <c r="D468" i="17"/>
  <c r="C356" i="17"/>
  <c r="C236" i="17"/>
  <c r="C591" i="17"/>
  <c r="C134" i="17"/>
  <c r="C504" i="17"/>
  <c r="D346" i="17"/>
  <c r="C603" i="17"/>
  <c r="D146" i="17"/>
  <c r="D74" i="17"/>
  <c r="C348" i="17"/>
  <c r="D596" i="17"/>
  <c r="C589" i="17"/>
  <c r="D281" i="17"/>
  <c r="D509" i="17"/>
  <c r="D304" i="17"/>
  <c r="C513" i="17"/>
  <c r="D359" i="17"/>
  <c r="D594" i="17"/>
  <c r="C541" i="17"/>
  <c r="C594" i="17"/>
  <c r="C546" i="17"/>
  <c r="C380" i="17"/>
  <c r="D562" i="17"/>
  <c r="C484" i="17"/>
  <c r="D418" i="17"/>
  <c r="D163" i="17"/>
  <c r="C510" i="17"/>
  <c r="C390" i="17"/>
  <c r="D35" i="17"/>
  <c r="D611" i="17"/>
  <c r="C314" i="17"/>
  <c r="C105" i="17"/>
  <c r="C50" i="17"/>
  <c r="D244" i="17"/>
  <c r="D293" i="17"/>
  <c r="D207" i="17"/>
  <c r="C203" i="17"/>
  <c r="D552" i="17"/>
  <c r="C292" i="17"/>
  <c r="C171" i="17"/>
  <c r="C460" i="17"/>
  <c r="D362" i="17"/>
  <c r="D183" i="17"/>
  <c r="C67" i="17"/>
  <c r="C14" i="17"/>
  <c r="D58" i="17"/>
  <c r="D458" i="17"/>
  <c r="D310" i="17"/>
  <c r="D461" i="17"/>
  <c r="C488" i="17"/>
  <c r="C241" i="17"/>
  <c r="D394" i="17"/>
  <c r="D298" i="17"/>
  <c r="C297" i="17"/>
  <c r="D24" i="17"/>
  <c r="C99" i="17"/>
  <c r="D563" i="17"/>
  <c r="D288" i="17"/>
  <c r="C103" i="17"/>
  <c r="D145" i="17"/>
  <c r="D25" i="17"/>
  <c r="C596" i="17"/>
  <c r="C135" i="17"/>
  <c r="D210" i="17"/>
  <c r="D294" i="17"/>
  <c r="C227" i="17"/>
  <c r="C578" i="17"/>
  <c r="D583" i="17"/>
  <c r="C352" i="17"/>
  <c r="D530" i="17"/>
  <c r="C626" i="17"/>
  <c r="D128" i="17"/>
  <c r="D271" i="17"/>
  <c r="C165" i="17"/>
  <c r="D604" i="17"/>
  <c r="D283" i="17"/>
  <c r="C346" i="17"/>
  <c r="D138" i="17"/>
  <c r="D539" i="17"/>
  <c r="D173" i="17"/>
  <c r="D144" i="17"/>
  <c r="D117" i="17"/>
  <c r="C72" i="17"/>
  <c r="C300" i="17"/>
  <c r="C394" i="17"/>
  <c r="D493" i="17"/>
  <c r="D105" i="17"/>
  <c r="D505" i="17"/>
  <c r="D474" i="17"/>
  <c r="D575" i="17"/>
  <c r="C480" i="17"/>
  <c r="C404" i="17"/>
  <c r="C387" i="17"/>
  <c r="C251" i="17"/>
  <c r="D29" i="17"/>
  <c r="D368" i="17"/>
  <c r="C610" i="17"/>
  <c r="D546" i="17"/>
  <c r="D227" i="17"/>
  <c r="D585" i="17"/>
  <c r="C535" i="17"/>
  <c r="C382" i="17"/>
  <c r="C77" i="17"/>
  <c r="C547" i="17"/>
  <c r="C186" i="17"/>
  <c r="D348" i="17"/>
  <c r="C553" i="17"/>
  <c r="C194" i="17"/>
  <c r="C530" i="17"/>
  <c r="C181" i="17"/>
  <c r="D231" i="17"/>
  <c r="D94" i="17"/>
  <c r="D602" i="17"/>
  <c r="D526" i="17"/>
  <c r="C434" i="17"/>
  <c r="C342" i="17"/>
  <c r="C538" i="17"/>
  <c r="C514" i="17"/>
  <c r="D219" i="17"/>
  <c r="D408" i="17"/>
  <c r="C441" i="17"/>
  <c r="C479" i="17"/>
  <c r="C605" i="17"/>
  <c r="C100" i="17"/>
  <c r="D356" i="17"/>
  <c r="D199" i="17"/>
  <c r="C464" i="17"/>
  <c r="D34" i="17"/>
  <c r="C374" i="17"/>
  <c r="C75" i="17"/>
  <c r="D286" i="17"/>
  <c r="D337" i="17"/>
  <c r="C63" i="17"/>
  <c r="C544" i="17"/>
  <c r="D129" i="17"/>
  <c r="D451" i="17"/>
  <c r="D114" i="17"/>
  <c r="C363" i="17"/>
  <c r="C265" i="17"/>
  <c r="D325" i="17"/>
  <c r="C424" i="17"/>
  <c r="D53" i="17"/>
  <c r="D420" i="17"/>
  <c r="C326" i="17"/>
  <c r="C159" i="17"/>
  <c r="D300" i="17"/>
  <c r="C266" i="17"/>
  <c r="C263" i="17"/>
  <c r="D375" i="17"/>
  <c r="D537" i="17"/>
  <c r="D450" i="17"/>
  <c r="C312" i="17"/>
  <c r="D517" i="17"/>
  <c r="D309" i="17"/>
  <c r="C230" i="17"/>
  <c r="D65" i="17"/>
  <c r="C392" i="17"/>
  <c r="D603" i="17"/>
  <c r="C491" i="17"/>
  <c r="D50" i="17"/>
  <c r="D466" i="17"/>
  <c r="C83" i="17"/>
  <c r="C301" i="17"/>
  <c r="D496" i="17"/>
  <c r="C293" i="17"/>
  <c r="C471" i="17"/>
  <c r="D317" i="17"/>
  <c r="C164" i="17"/>
  <c r="C113" i="17"/>
  <c r="D259" i="17"/>
  <c r="D131" i="17"/>
  <c r="D600" i="17"/>
  <c r="C590" i="17"/>
  <c r="D440" i="17"/>
  <c r="C570" i="17"/>
  <c r="D494" i="17"/>
  <c r="D430" i="17"/>
  <c r="C468" i="17"/>
  <c r="C506" i="17"/>
  <c r="C388" i="17"/>
  <c r="D469" i="17"/>
  <c r="C56" i="17"/>
  <c r="D303" i="17"/>
  <c r="C282" i="17"/>
  <c r="D391" i="17"/>
  <c r="D385" i="17"/>
  <c r="C593" i="17"/>
  <c r="C465" i="17"/>
  <c r="D504" i="17"/>
  <c r="D225" i="17"/>
  <c r="C173" i="17"/>
  <c r="C340" i="17"/>
  <c r="C189" i="17"/>
  <c r="D42" i="17"/>
  <c r="D246" i="17"/>
  <c r="D498" i="17"/>
  <c r="D521" i="17"/>
  <c r="D72" i="17"/>
  <c r="D157" i="17"/>
  <c r="D192" i="17"/>
  <c r="D445" i="17"/>
  <c r="C445" i="17"/>
  <c r="D388" i="17"/>
  <c r="D122" i="17"/>
  <c r="C372" i="17"/>
  <c r="C161" i="17"/>
  <c r="D160" i="17"/>
  <c r="C327" i="17"/>
  <c r="D459" i="17"/>
  <c r="D564" i="17"/>
  <c r="C52" i="17"/>
  <c r="C162" i="17"/>
  <c r="C167" i="17"/>
  <c r="C259" i="17"/>
  <c r="C416" i="17"/>
  <c r="D49" i="17"/>
  <c r="C592" i="17"/>
  <c r="C101" i="17"/>
  <c r="D589" i="17"/>
  <c r="C70" i="17"/>
  <c r="D270" i="17"/>
  <c r="C563" i="17"/>
  <c r="D107" i="17"/>
  <c r="C483" i="17"/>
  <c r="D541" i="17"/>
  <c r="C111" i="17"/>
  <c r="D447" i="17"/>
  <c r="D51" i="17"/>
  <c r="D341" i="17"/>
  <c r="C571" i="17"/>
  <c r="D369" i="17"/>
  <c r="C97" i="17"/>
  <c r="C271" i="17"/>
  <c r="C235" i="17"/>
  <c r="D323" i="17"/>
  <c r="C362" i="17"/>
  <c r="D404" i="17"/>
  <c r="D354" i="17"/>
  <c r="C597" i="17"/>
  <c r="D260" i="17"/>
  <c r="D597" i="17"/>
  <c r="D598" i="17"/>
  <c r="D586" i="17"/>
  <c r="D554" i="17"/>
  <c r="D551" i="17"/>
  <c r="D92" i="17"/>
  <c r="D519" i="17"/>
  <c r="D366" i="17"/>
  <c r="D314" i="17"/>
  <c r="C64" i="17"/>
  <c r="C414" i="17"/>
  <c r="C389" i="17"/>
  <c r="C343" i="17"/>
  <c r="D576" i="17"/>
  <c r="D510" i="17"/>
  <c r="C131" i="17"/>
  <c r="C328" i="17"/>
  <c r="D104" i="17"/>
  <c r="C325" i="17"/>
  <c r="C335" i="17"/>
  <c r="D77" i="17"/>
  <c r="D500" i="17"/>
  <c r="D565" i="17"/>
  <c r="D110" i="17"/>
  <c r="D422" i="17"/>
  <c r="D387" i="17"/>
  <c r="D595" i="17"/>
  <c r="D101" i="17"/>
  <c r="C237" i="17"/>
  <c r="D161" i="17"/>
  <c r="C120" i="17"/>
  <c r="D289" i="17"/>
  <c r="D480" i="17"/>
  <c r="D17" i="17"/>
  <c r="C93" i="17"/>
  <c r="D56" i="17"/>
  <c r="C528" i="17"/>
  <c r="C183" i="17"/>
  <c r="D425" i="17"/>
  <c r="D581" i="17"/>
  <c r="C35" i="17"/>
  <c r="C400" i="17"/>
  <c r="C511" i="17"/>
  <c r="C185" i="17"/>
  <c r="D224" i="17"/>
  <c r="C331" i="17"/>
  <c r="C137" i="17"/>
  <c r="C421" i="17"/>
  <c r="D623" i="17"/>
  <c r="D21" i="17"/>
  <c r="D484" i="17"/>
  <c r="D476" i="17"/>
  <c r="C516" i="17"/>
  <c r="C296" i="17"/>
  <c r="C419" i="17"/>
  <c r="C23" i="17"/>
  <c r="D167" i="17"/>
  <c r="D132" i="17"/>
  <c r="C252" i="17"/>
  <c r="D439" i="17"/>
  <c r="D321" i="17"/>
  <c r="D332" i="17"/>
  <c r="D251" i="17"/>
  <c r="C143" i="17"/>
  <c r="C355" i="17"/>
  <c r="D125" i="17"/>
  <c r="C169" i="17"/>
  <c r="D568" i="17"/>
  <c r="C80" i="17"/>
  <c r="C24" i="17"/>
  <c r="D240" i="17"/>
  <c r="C62" i="17"/>
  <c r="D182" i="17"/>
  <c r="C44" i="17"/>
  <c r="C94" i="17"/>
  <c r="D191" i="17"/>
  <c r="D426" i="17"/>
  <c r="D566" i="17"/>
  <c r="D514" i="17"/>
  <c r="C496" i="17"/>
  <c r="C444" i="17"/>
  <c r="C586" i="17"/>
  <c r="C533" i="17"/>
  <c r="D470" i="17"/>
  <c r="D438" i="17"/>
  <c r="C508" i="17"/>
  <c r="D158" i="17"/>
  <c r="D268" i="17"/>
  <c r="C13" i="17"/>
  <c r="C157" i="17"/>
  <c r="C537" i="17"/>
  <c r="C51" i="17"/>
  <c r="C330" i="17"/>
  <c r="C149" i="17"/>
  <c r="C451" i="17"/>
  <c r="C467" i="17"/>
  <c r="C59" i="17"/>
  <c r="C450" i="17"/>
  <c r="C432" i="17"/>
  <c r="C381" i="17"/>
  <c r="D279" i="17"/>
  <c r="D312" i="17"/>
  <c r="D155" i="17"/>
  <c r="D344" i="17"/>
  <c r="D479" i="17"/>
  <c r="C172" i="17"/>
  <c r="C344" i="17"/>
  <c r="C217" i="17"/>
  <c r="D171" i="17"/>
  <c r="D467" i="17"/>
  <c r="C505" i="17"/>
  <c r="C361" i="17"/>
  <c r="C439" i="17"/>
  <c r="D250" i="17"/>
  <c r="D188" i="17"/>
  <c r="D130" i="17"/>
  <c r="D376" i="17"/>
  <c r="D571" i="17"/>
  <c r="D18" i="17"/>
  <c r="C469" i="17"/>
  <c r="C84" i="17"/>
  <c r="D290" i="17"/>
  <c r="D263" i="17"/>
  <c r="C79" i="17"/>
  <c r="C557" i="17"/>
  <c r="C69" i="17"/>
  <c r="C573" i="17"/>
  <c r="D213" i="17"/>
  <c r="C91" i="17"/>
  <c r="D141" i="17"/>
  <c r="C323" i="17"/>
  <c r="C65" i="17"/>
  <c r="C555" i="17"/>
  <c r="C448" i="17"/>
  <c r="D518" i="17"/>
  <c r="D580" i="17"/>
  <c r="C539" i="17"/>
  <c r="D143" i="17"/>
  <c r="C229" i="17"/>
  <c r="C391" i="17"/>
  <c r="C565" i="17"/>
  <c r="D127" i="17"/>
  <c r="C529" i="17"/>
  <c r="D185" i="17"/>
  <c r="D274" i="17"/>
  <c r="D412" i="17"/>
  <c r="D371" i="17"/>
  <c r="D311" i="17"/>
  <c r="D223" i="17"/>
  <c r="C369" i="17"/>
  <c r="C577" i="17"/>
  <c r="C178" i="17"/>
  <c r="D572" i="17"/>
  <c r="C534" i="17"/>
  <c r="C519" i="17"/>
  <c r="D456" i="17"/>
  <c r="C494" i="17"/>
  <c r="C412" i="17"/>
  <c r="C364" i="17"/>
  <c r="C339" i="17"/>
  <c r="D275" i="17"/>
  <c r="D211" i="17"/>
  <c r="C476" i="17"/>
  <c r="C606" i="17"/>
  <c r="D591" i="17"/>
  <c r="C562" i="17"/>
  <c r="D393" i="17"/>
  <c r="C38" i="17"/>
  <c r="C345" i="17"/>
  <c r="D353" i="17"/>
  <c r="C357" i="17"/>
  <c r="C209" i="17"/>
  <c r="D533" i="17"/>
  <c r="D302" i="17"/>
  <c r="C224" i="17"/>
  <c r="C379" i="17"/>
  <c r="C45" i="17"/>
  <c r="C239" i="17"/>
  <c r="D70" i="17"/>
  <c r="C351" i="17"/>
  <c r="D492" i="17"/>
  <c r="C437" i="17"/>
  <c r="D64" i="17"/>
  <c r="C60" i="17"/>
  <c r="C246" i="17"/>
  <c r="C564" i="17"/>
  <c r="D119" i="17"/>
  <c r="C153" i="17"/>
  <c r="C272" i="17"/>
  <c r="C89" i="17"/>
  <c r="C90" i="17"/>
  <c r="D91" i="17"/>
  <c r="C376" i="17"/>
  <c r="D299" i="17"/>
  <c r="D16" i="17"/>
  <c r="C114" i="17"/>
  <c r="D135" i="17"/>
  <c r="D134" i="17"/>
  <c r="C550" i="17"/>
  <c r="D177" i="17"/>
  <c r="D472" i="17"/>
  <c r="C264" i="17"/>
  <c r="D398" i="17"/>
  <c r="C588" i="17"/>
  <c r="D47" i="17"/>
  <c r="D159" i="17"/>
  <c r="A622" i="17"/>
  <c r="D535" i="17"/>
  <c r="C358" i="17"/>
  <c r="C36" i="17"/>
  <c r="C78" i="17"/>
  <c r="C54" i="17"/>
  <c r="C122" i="17"/>
  <c r="D334" i="17"/>
  <c r="D330" i="17"/>
  <c r="D488" i="17"/>
  <c r="C347" i="17"/>
  <c r="D287" i="17"/>
  <c r="D266" i="17"/>
  <c r="D201" i="17"/>
  <c r="D301" i="17"/>
  <c r="D89" i="17"/>
  <c r="C499" i="17"/>
  <c r="D38" i="17"/>
  <c r="C255" i="17"/>
  <c r="D140" i="17"/>
  <c r="C102" i="17"/>
  <c r="C57" i="17"/>
  <c r="C561" i="17"/>
  <c r="C503" i="17"/>
  <c r="D477" i="17"/>
  <c r="D349" i="17"/>
  <c r="D324" i="17"/>
  <c r="C430" i="17"/>
  <c r="C366" i="17"/>
  <c r="D582" i="17"/>
  <c r="C407" i="17"/>
  <c r="D151" i="17"/>
  <c r="D147" i="17"/>
  <c r="C287" i="17"/>
  <c r="C587" i="17"/>
  <c r="D553" i="17"/>
  <c r="D559" i="17"/>
  <c r="D392" i="17"/>
  <c r="C110" i="17"/>
  <c r="C474" i="17"/>
  <c r="C498" i="17"/>
  <c r="D109" i="17"/>
  <c r="D486" i="17"/>
  <c r="D515" i="17"/>
  <c r="C329" i="17"/>
  <c r="D37" i="17"/>
  <c r="C160" i="17"/>
  <c r="C87" i="17"/>
  <c r="C261" i="17"/>
  <c r="C76" i="17"/>
  <c r="D448" i="17"/>
  <c r="D81" i="17"/>
  <c r="D66" i="17"/>
  <c r="D120" i="17"/>
  <c r="D86" i="17"/>
  <c r="C632" i="17"/>
  <c r="D512" i="17"/>
  <c r="D170" i="17"/>
  <c r="D63" i="17"/>
  <c r="C41" i="17"/>
  <c r="C375" i="17"/>
  <c r="D357" i="17"/>
  <c r="C249" i="17"/>
  <c r="C118" i="17"/>
  <c r="C575" i="17"/>
  <c r="D184" i="17"/>
  <c r="C601" i="17"/>
  <c r="C37" i="17"/>
  <c r="D605" i="17"/>
  <c r="D277" i="17"/>
  <c r="D382" i="17"/>
  <c r="C281" i="17"/>
  <c r="C436" i="17"/>
  <c r="D253" i="17"/>
  <c r="C525" i="17"/>
  <c r="C463" i="17"/>
  <c r="C383" i="17"/>
  <c r="D307" i="17"/>
  <c r="C117" i="17"/>
  <c r="D322" i="17"/>
  <c r="C607" i="17"/>
  <c r="D154" i="17"/>
  <c r="C144" i="17"/>
  <c r="C579" i="17"/>
  <c r="C71" i="17"/>
  <c r="C473" i="17"/>
  <c r="C576" i="17"/>
  <c r="C210" i="17"/>
  <c r="D245" i="17"/>
  <c r="C166" i="17"/>
  <c r="D168" i="17"/>
  <c r="C367" i="17"/>
  <c r="C318" i="17"/>
  <c r="C385" i="17"/>
  <c r="C20" i="17"/>
  <c r="C455" i="17"/>
  <c r="D256" i="17"/>
  <c r="D305" i="17"/>
  <c r="P607" i="25"/>
  <c r="P604" i="25"/>
  <c r="P589" i="25"/>
  <c r="P590" i="25"/>
  <c r="P567" i="25"/>
  <c r="P572" i="25"/>
  <c r="P556" i="25"/>
  <c r="P540" i="25"/>
  <c r="P549" i="25"/>
  <c r="P529" i="25"/>
  <c r="P531" i="25"/>
  <c r="P514" i="25"/>
  <c r="P496" i="25"/>
  <c r="P534" i="25"/>
  <c r="P503" i="25"/>
  <c r="P487" i="25"/>
  <c r="P460" i="25"/>
  <c r="P444" i="25"/>
  <c r="P428" i="25"/>
  <c r="P412" i="25"/>
  <c r="P483" i="25"/>
  <c r="P476" i="25"/>
  <c r="P443" i="25"/>
  <c r="P461" i="25"/>
  <c r="P403" i="25"/>
  <c r="P407" i="25"/>
  <c r="P385" i="25"/>
  <c r="P394" i="25"/>
  <c r="P363" i="25"/>
  <c r="P347" i="25"/>
  <c r="P331" i="25"/>
  <c r="P315" i="25"/>
  <c r="P299" i="25"/>
  <c r="P283" i="25"/>
  <c r="P439" i="25"/>
  <c r="P368" i="25"/>
  <c r="P320" i="25"/>
  <c r="P274" i="25"/>
  <c r="P342" i="25"/>
  <c r="P431" i="25"/>
  <c r="P306" i="25"/>
  <c r="P271" i="25"/>
  <c r="P232" i="25"/>
  <c r="P262" i="25"/>
  <c r="P230" i="25"/>
  <c r="P277" i="25"/>
  <c r="P234" i="25"/>
  <c r="P215" i="25"/>
  <c r="P199" i="25"/>
  <c r="P183" i="25"/>
  <c r="P167" i="25"/>
  <c r="P151" i="25"/>
  <c r="P135" i="25"/>
  <c r="P119" i="25"/>
  <c r="P103" i="25"/>
  <c r="P87" i="25"/>
  <c r="P71" i="25"/>
  <c r="P55" i="25"/>
  <c r="P39" i="25"/>
  <c r="P236" i="25"/>
  <c r="P192" i="25"/>
  <c r="P160" i="25"/>
  <c r="P128" i="25"/>
  <c r="P78" i="25"/>
  <c r="P227" i="25"/>
  <c r="P60" i="25"/>
  <c r="P112" i="25"/>
  <c r="P48" i="25"/>
  <c r="P17" i="25"/>
  <c r="P182" i="25"/>
  <c r="P24" i="25"/>
  <c r="P605" i="25"/>
  <c r="P602" i="25"/>
  <c r="P587" i="25"/>
  <c r="P584" i="25"/>
  <c r="P565" i="25"/>
  <c r="P570" i="25"/>
  <c r="P554" i="25"/>
  <c r="P538" i="25"/>
  <c r="P547" i="25"/>
  <c r="P563" i="25"/>
  <c r="P526" i="25"/>
  <c r="P510" i="25"/>
  <c r="P494" i="25"/>
  <c r="P533" i="25"/>
  <c r="P501" i="25"/>
  <c r="P485" i="25"/>
  <c r="P458" i="25"/>
  <c r="P442" i="25"/>
  <c r="P426" i="25"/>
  <c r="P410" i="25"/>
  <c r="P480" i="25"/>
  <c r="P475" i="25"/>
  <c r="P435" i="25"/>
  <c r="P453" i="25"/>
  <c r="P521" i="25"/>
  <c r="P399" i="25"/>
  <c r="P383" i="25"/>
  <c r="P386" i="25"/>
  <c r="P361" i="25"/>
  <c r="P345" i="25"/>
  <c r="P329" i="25"/>
  <c r="P313" i="25"/>
  <c r="P297" i="25"/>
  <c r="P281" i="25"/>
  <c r="P425" i="25"/>
  <c r="P362" i="25"/>
  <c r="P312" i="25"/>
  <c r="P272" i="25"/>
  <c r="P334" i="25"/>
  <c r="P398" i="25"/>
  <c r="P298" i="25"/>
  <c r="P263" i="25"/>
  <c r="P231" i="25"/>
  <c r="P261" i="25"/>
  <c r="P229" i="25"/>
  <c r="P269" i="25"/>
  <c r="P233" i="25"/>
  <c r="P213" i="25"/>
  <c r="P197" i="25"/>
  <c r="P181" i="25"/>
  <c r="P165" i="25"/>
  <c r="P149" i="25"/>
  <c r="P133" i="25"/>
  <c r="P117" i="25"/>
  <c r="P101" i="25"/>
  <c r="P85" i="25"/>
  <c r="P69" i="25"/>
  <c r="P53" i="25"/>
  <c r="P37" i="25"/>
  <c r="P235" i="25"/>
  <c r="P188" i="25"/>
  <c r="P156" i="25"/>
  <c r="P124" i="25"/>
  <c r="P70" i="25"/>
  <c r="P116" i="25"/>
  <c r="P52" i="25"/>
  <c r="P104" i="25"/>
  <c r="P40" i="25"/>
  <c r="P15" i="25"/>
  <c r="P166" i="25"/>
  <c r="P251" i="25"/>
  <c r="P603" i="25"/>
  <c r="P600" i="25"/>
  <c r="P585" i="25"/>
  <c r="P579" i="25"/>
  <c r="P595" i="25"/>
  <c r="P568" i="25"/>
  <c r="P552" i="25"/>
  <c r="P577" i="25"/>
  <c r="P545" i="25"/>
  <c r="P562" i="25"/>
  <c r="P525" i="25"/>
  <c r="P508" i="25"/>
  <c r="P492" i="25"/>
  <c r="P519" i="25"/>
  <c r="P499" i="25"/>
  <c r="P481" i="25"/>
  <c r="P456" i="25"/>
  <c r="P440" i="25"/>
  <c r="P424" i="25"/>
  <c r="P408" i="25"/>
  <c r="P479" i="25"/>
  <c r="P468" i="25"/>
  <c r="P421" i="25"/>
  <c r="P445" i="25"/>
  <c r="P457" i="25"/>
  <c r="P397" i="25"/>
  <c r="P381" i="25"/>
  <c r="P378" i="25"/>
  <c r="P359" i="25"/>
  <c r="P343" i="25"/>
  <c r="P327" i="25"/>
  <c r="P311" i="25"/>
  <c r="P295" i="25"/>
  <c r="P279" i="25"/>
  <c r="P396" i="25"/>
  <c r="P358" i="25"/>
  <c r="P304" i="25"/>
  <c r="P270" i="25"/>
  <c r="P326" i="25"/>
  <c r="P374" i="25"/>
  <c r="P290" i="25"/>
  <c r="P256" i="25"/>
  <c r="P364" i="25"/>
  <c r="P254" i="25"/>
  <c r="P224" i="25"/>
  <c r="P258" i="25"/>
  <c r="P226" i="25"/>
  <c r="P211" i="25"/>
  <c r="P195" i="25"/>
  <c r="P179" i="25"/>
  <c r="P163" i="25"/>
  <c r="P147" i="25"/>
  <c r="P131" i="25"/>
  <c r="P115" i="25"/>
  <c r="P99" i="25"/>
  <c r="P83" i="25"/>
  <c r="P67" i="25"/>
  <c r="P51" i="25"/>
  <c r="P35" i="25"/>
  <c r="P216" i="25"/>
  <c r="P184" i="25"/>
  <c r="P152" i="25"/>
  <c r="P120" i="25"/>
  <c r="P62" i="25"/>
  <c r="P108" i="25"/>
  <c r="P44" i="25"/>
  <c r="P96" i="25"/>
  <c r="P32" i="25"/>
  <c r="P13" i="25"/>
  <c r="P150" i="25"/>
  <c r="P218" i="25"/>
  <c r="P601" i="25"/>
  <c r="P598" i="25"/>
  <c r="P609" i="25"/>
  <c r="P578" i="25"/>
  <c r="P586" i="25"/>
  <c r="P566" i="25"/>
  <c r="P550" i="25"/>
  <c r="P561" i="25"/>
  <c r="P543" i="25"/>
  <c r="P536" i="25"/>
  <c r="P517" i="25"/>
  <c r="P506" i="25"/>
  <c r="P490" i="25"/>
  <c r="P518" i="25"/>
  <c r="P497" i="25"/>
  <c r="P474" i="25"/>
  <c r="P454" i="25"/>
  <c r="P438" i="25"/>
  <c r="P422" i="25"/>
  <c r="P406" i="25"/>
  <c r="P472" i="25"/>
  <c r="P467" i="25"/>
  <c r="P413" i="25"/>
  <c r="P437" i="25"/>
  <c r="P449" i="25"/>
  <c r="P395" i="25"/>
  <c r="P379" i="25"/>
  <c r="P373" i="25"/>
  <c r="P357" i="25"/>
  <c r="P341" i="25"/>
  <c r="P325" i="25"/>
  <c r="P309" i="25"/>
  <c r="P293" i="25"/>
  <c r="P455" i="25"/>
  <c r="P388" i="25"/>
  <c r="P354" i="25"/>
  <c r="P296" i="25"/>
  <c r="P268" i="25"/>
  <c r="P318" i="25"/>
  <c r="P366" i="25"/>
  <c r="P282" i="25"/>
  <c r="P255" i="25"/>
  <c r="P348" i="25"/>
  <c r="P253" i="25"/>
  <c r="P222" i="25"/>
  <c r="P257" i="25"/>
  <c r="P225" i="25"/>
  <c r="P209" i="25"/>
  <c r="P193" i="25"/>
  <c r="P177" i="25"/>
  <c r="P161" i="25"/>
  <c r="P145" i="25"/>
  <c r="P129" i="25"/>
  <c r="P113" i="25"/>
  <c r="P97" i="25"/>
  <c r="P81" i="25"/>
  <c r="P65" i="25"/>
  <c r="P49" i="25"/>
  <c r="P33" i="25"/>
  <c r="P212" i="25"/>
  <c r="P180" i="25"/>
  <c r="P148" i="25"/>
  <c r="P118" i="25"/>
  <c r="P54" i="25"/>
  <c r="P100" i="25"/>
  <c r="P372" i="25"/>
  <c r="P88" i="25"/>
  <c r="P27" i="25"/>
  <c r="P46" i="25"/>
  <c r="P134" i="25"/>
  <c r="P612" i="25"/>
  <c r="P599" i="25"/>
  <c r="P596" i="25"/>
  <c r="P593" i="25"/>
  <c r="P575" i="25"/>
  <c r="P583" i="25"/>
  <c r="P559" i="25"/>
  <c r="P548" i="25"/>
  <c r="P560" i="25"/>
  <c r="P541" i="25"/>
  <c r="P535" i="25"/>
  <c r="P516" i="25"/>
  <c r="P504" i="25"/>
  <c r="P488" i="25"/>
  <c r="P511" i="25"/>
  <c r="P495" i="25"/>
  <c r="P473" i="25"/>
  <c r="P452" i="25"/>
  <c r="P436" i="25"/>
  <c r="P420" i="25"/>
  <c r="P404" i="25"/>
  <c r="P471" i="25"/>
  <c r="P478" i="25"/>
  <c r="P405" i="25"/>
  <c r="P429" i="25"/>
  <c r="P441" i="25"/>
  <c r="P393" i="25"/>
  <c r="P377" i="25"/>
  <c r="P371" i="25"/>
  <c r="P355" i="25"/>
  <c r="P339" i="25"/>
  <c r="P323" i="25"/>
  <c r="P307" i="25"/>
  <c r="P291" i="25"/>
  <c r="P409" i="25"/>
  <c r="P380" i="25"/>
  <c r="P350" i="25"/>
  <c r="P288" i="25"/>
  <c r="P266" i="25"/>
  <c r="P310" i="25"/>
  <c r="P338" i="25"/>
  <c r="P360" i="25"/>
  <c r="P248" i="25"/>
  <c r="P340" i="25"/>
  <c r="P246" i="25"/>
  <c r="P220" i="25"/>
  <c r="P250" i="25"/>
  <c r="P223" i="25"/>
  <c r="P207" i="25"/>
  <c r="P191" i="25"/>
  <c r="P175" i="25"/>
  <c r="P159" i="25"/>
  <c r="P143" i="25"/>
  <c r="P127" i="25"/>
  <c r="P111" i="25"/>
  <c r="P95" i="25"/>
  <c r="P79" i="25"/>
  <c r="P63" i="25"/>
  <c r="P47" i="25"/>
  <c r="P31" i="25"/>
  <c r="P208" i="25"/>
  <c r="P176" i="25"/>
  <c r="P144" i="25"/>
  <c r="P110" i="25"/>
  <c r="P275" i="25"/>
  <c r="P92" i="25"/>
  <c r="P352" i="25"/>
  <c r="P80" i="25"/>
  <c r="P25" i="25"/>
  <c r="P38" i="25"/>
  <c r="P98" i="25"/>
  <c r="P610" i="25"/>
  <c r="P597" i="25"/>
  <c r="P594" i="25"/>
  <c r="P588" i="25"/>
  <c r="P573" i="25"/>
  <c r="P582" i="25"/>
  <c r="P558" i="25"/>
  <c r="P546" i="25"/>
  <c r="P555" i="25"/>
  <c r="P539" i="25"/>
  <c r="P528" i="25"/>
  <c r="P524" i="25"/>
  <c r="P502" i="25"/>
  <c r="P486" i="25"/>
  <c r="P509" i="25"/>
  <c r="P493" i="25"/>
  <c r="P466" i="25"/>
  <c r="P450" i="25"/>
  <c r="P434" i="25"/>
  <c r="P418" i="25"/>
  <c r="P402" i="25"/>
  <c r="P464" i="25"/>
  <c r="P477" i="25"/>
  <c r="P520" i="25"/>
  <c r="P427" i="25"/>
  <c r="P433" i="25"/>
  <c r="P391" i="25"/>
  <c r="P375" i="25"/>
  <c r="P369" i="25"/>
  <c r="P353" i="25"/>
  <c r="P337" i="25"/>
  <c r="P321" i="25"/>
  <c r="P305" i="25"/>
  <c r="P289" i="25"/>
  <c r="P392" i="25"/>
  <c r="P463" i="25"/>
  <c r="P346" i="25"/>
  <c r="P280" i="25"/>
  <c r="P264" i="25"/>
  <c r="P302" i="25"/>
  <c r="P330" i="25"/>
  <c r="P344" i="25"/>
  <c r="P247" i="25"/>
  <c r="P308" i="25"/>
  <c r="P245" i="25"/>
  <c r="P356" i="25"/>
  <c r="P249" i="25"/>
  <c r="P221" i="25"/>
  <c r="P205" i="25"/>
  <c r="P189" i="25"/>
  <c r="P173" i="25"/>
  <c r="P157" i="25"/>
  <c r="P141" i="25"/>
  <c r="P125" i="25"/>
  <c r="P109" i="25"/>
  <c r="P93" i="25"/>
  <c r="P77" i="25"/>
  <c r="P61" i="25"/>
  <c r="P45" i="25"/>
  <c r="P29" i="25"/>
  <c r="P204" i="25"/>
  <c r="P172" i="25"/>
  <c r="P140" i="25"/>
  <c r="P102" i="25"/>
  <c r="P260" i="25"/>
  <c r="P84" i="25"/>
  <c r="P332" i="25"/>
  <c r="P72" i="25"/>
  <c r="P23" i="25"/>
  <c r="P30" i="25"/>
  <c r="P66" i="25"/>
  <c r="P613" i="25"/>
  <c r="P611" i="25"/>
  <c r="P592" i="25"/>
  <c r="P581" i="25"/>
  <c r="P571" i="25"/>
  <c r="P576" i="25"/>
  <c r="P564" i="25"/>
  <c r="P544" i="25"/>
  <c r="P553" i="25"/>
  <c r="P537" i="25"/>
  <c r="P527" i="25"/>
  <c r="P522" i="25"/>
  <c r="P500" i="25"/>
  <c r="P484" i="25"/>
  <c r="P507" i="25"/>
  <c r="P491" i="25"/>
  <c r="P465" i="25"/>
  <c r="P448" i="25"/>
  <c r="P432" i="25"/>
  <c r="P416" i="25"/>
  <c r="P400" i="25"/>
  <c r="P513" i="25"/>
  <c r="P459" i="25"/>
  <c r="P470" i="25"/>
  <c r="P419" i="25"/>
  <c r="P423" i="25"/>
  <c r="P389" i="25"/>
  <c r="P447" i="25"/>
  <c r="P367" i="25"/>
  <c r="P351" i="25"/>
  <c r="P335" i="25"/>
  <c r="P319" i="25"/>
  <c r="P303" i="25"/>
  <c r="P287" i="25"/>
  <c r="P384" i="25"/>
  <c r="P401" i="25"/>
  <c r="P336" i="25"/>
  <c r="P278" i="25"/>
  <c r="P382" i="25"/>
  <c r="P294" i="25"/>
  <c r="P322" i="25"/>
  <c r="P316" i="25"/>
  <c r="P240" i="25"/>
  <c r="P273" i="25"/>
  <c r="P238" i="25"/>
  <c r="P324" i="25"/>
  <c r="P242" i="25"/>
  <c r="P219" i="25"/>
  <c r="P203" i="25"/>
  <c r="P187" i="25"/>
  <c r="P171" i="25"/>
  <c r="P155" i="25"/>
  <c r="P139" i="25"/>
  <c r="P123" i="25"/>
  <c r="P107" i="25"/>
  <c r="P91" i="25"/>
  <c r="P75" i="25"/>
  <c r="P59" i="25"/>
  <c r="P43" i="25"/>
  <c r="P300" i="25"/>
  <c r="P200" i="25"/>
  <c r="P168" i="25"/>
  <c r="P136" i="25"/>
  <c r="P94" i="25"/>
  <c r="P259" i="25"/>
  <c r="P76" i="25"/>
  <c r="P244" i="25"/>
  <c r="P64" i="25"/>
  <c r="P21" i="25"/>
  <c r="P214" i="25"/>
  <c r="P174" i="25"/>
  <c r="P608" i="25"/>
  <c r="P606" i="25"/>
  <c r="P591" i="25"/>
  <c r="P580" i="25"/>
  <c r="P569" i="25"/>
  <c r="P574" i="25"/>
  <c r="P557" i="25"/>
  <c r="P542" i="25"/>
  <c r="P551" i="25"/>
  <c r="P530" i="25"/>
  <c r="P532" i="25"/>
  <c r="P515" i="25"/>
  <c r="P498" i="25"/>
  <c r="P482" i="25"/>
  <c r="P505" i="25"/>
  <c r="P489" i="25"/>
  <c r="P462" i="25"/>
  <c r="P446" i="25"/>
  <c r="P430" i="25"/>
  <c r="P414" i="25"/>
  <c r="P523" i="25"/>
  <c r="P512" i="25"/>
  <c r="P451" i="25"/>
  <c r="P469" i="25"/>
  <c r="P411" i="25"/>
  <c r="P415" i="25"/>
  <c r="P387" i="25"/>
  <c r="P417" i="25"/>
  <c r="P365" i="25"/>
  <c r="P349" i="25"/>
  <c r="P333" i="25"/>
  <c r="P317" i="25"/>
  <c r="P301" i="25"/>
  <c r="P285" i="25"/>
  <c r="P376" i="25"/>
  <c r="P390" i="25"/>
  <c r="P328" i="25"/>
  <c r="P276" i="25"/>
  <c r="P370" i="25"/>
  <c r="P286" i="25"/>
  <c r="P314" i="25"/>
  <c r="P284" i="25"/>
  <c r="P239" i="25"/>
  <c r="P265" i="25"/>
  <c r="P237" i="25"/>
  <c r="P292" i="25"/>
  <c r="P241" i="25"/>
  <c r="P217" i="25"/>
  <c r="P201" i="25"/>
  <c r="P185" i="25"/>
  <c r="P169" i="25"/>
  <c r="P153" i="25"/>
  <c r="P137" i="25"/>
  <c r="P121" i="25"/>
  <c r="P105" i="25"/>
  <c r="P89" i="25"/>
  <c r="P73" i="25"/>
  <c r="P57" i="25"/>
  <c r="P41" i="25"/>
  <c r="P267" i="25"/>
  <c r="P196" i="25"/>
  <c r="P164" i="25"/>
  <c r="P132" i="25"/>
  <c r="P86" i="25"/>
  <c r="P228" i="25"/>
  <c r="P68" i="25"/>
  <c r="P243" i="25"/>
  <c r="P56" i="25"/>
  <c r="P19" i="25"/>
  <c r="P198" i="25"/>
  <c r="P158" i="25"/>
  <c r="P154" i="25"/>
  <c r="P190" i="25"/>
  <c r="P162" i="25"/>
  <c r="P14" i="25"/>
  <c r="P138" i="25"/>
  <c r="P142" i="25"/>
  <c r="P146" i="25"/>
  <c r="P20" i="25"/>
  <c r="P122" i="25"/>
  <c r="P126" i="25"/>
  <c r="P130" i="25"/>
  <c r="P206" i="25"/>
  <c r="P90" i="25"/>
  <c r="P16" i="25"/>
  <c r="P106" i="25"/>
  <c r="P114" i="25"/>
  <c r="P58" i="25"/>
  <c r="P252" i="25"/>
  <c r="P74" i="25"/>
  <c r="P82" i="25"/>
  <c r="P202" i="25"/>
  <c r="P36" i="25"/>
  <c r="P210" i="25"/>
  <c r="P42" i="25"/>
  <c r="P50" i="25"/>
  <c r="P186" i="25"/>
  <c r="P26" i="25"/>
  <c r="P194" i="25"/>
  <c r="P28" i="25"/>
  <c r="P34" i="25"/>
  <c r="P170" i="25"/>
  <c r="P18" i="25"/>
  <c r="P178" i="25"/>
  <c r="P22" i="25"/>
  <c r="O237" i="25"/>
  <c r="O588" i="25"/>
  <c r="O610" i="25"/>
  <c r="O528" i="25"/>
  <c r="O40" i="25"/>
  <c r="O147" i="25"/>
  <c r="O343" i="25"/>
  <c r="O303" i="25"/>
  <c r="O363" i="25"/>
  <c r="O531" i="25"/>
  <c r="O358" i="25"/>
  <c r="O33" i="25"/>
  <c r="O359" i="25"/>
  <c r="O58" i="25"/>
  <c r="O191" i="25"/>
  <c r="O475" i="25"/>
  <c r="O182" i="25"/>
  <c r="O552" i="25"/>
  <c r="O198" i="25"/>
  <c r="O129" i="25"/>
  <c r="O353" i="25"/>
  <c r="O314" i="25"/>
  <c r="O286" i="25"/>
  <c r="O491" i="25"/>
  <c r="O263" i="25"/>
  <c r="O158" i="25"/>
  <c r="O122" i="25"/>
  <c r="O18" i="25"/>
  <c r="O219" i="25"/>
  <c r="O308" i="25"/>
  <c r="O95" i="25"/>
  <c r="O589" i="25"/>
  <c r="O63" i="25"/>
  <c r="O525" i="25"/>
  <c r="O433" i="25"/>
  <c r="O407" i="25"/>
  <c r="O338" i="25"/>
  <c r="O350" i="25"/>
  <c r="O563" i="25"/>
  <c r="O538" i="25"/>
  <c r="O443" i="25"/>
  <c r="O139" i="25"/>
  <c r="O483" i="25"/>
  <c r="O351" i="25"/>
  <c r="O226" i="25"/>
  <c r="O32" i="25"/>
  <c r="O602" i="25"/>
  <c r="O450" i="25"/>
  <c r="O83" i="25"/>
  <c r="O35" i="25"/>
  <c r="O16" i="25"/>
  <c r="O247" i="25"/>
  <c r="O592" i="25"/>
  <c r="O594" i="25"/>
  <c r="O474" i="25"/>
  <c r="O116" i="25"/>
  <c r="O399" i="25"/>
  <c r="O288" i="25"/>
  <c r="O268" i="25"/>
  <c r="O224" i="25"/>
  <c r="O553" i="25"/>
  <c r="O462" i="25"/>
  <c r="O30" i="25"/>
  <c r="O36" i="25"/>
  <c r="O99" i="25"/>
  <c r="O241" i="25"/>
  <c r="O547" i="25"/>
  <c r="O26" i="25"/>
  <c r="O542" i="25"/>
  <c r="O113" i="25"/>
  <c r="O582" i="25"/>
  <c r="O410" i="25"/>
  <c r="O369" i="25"/>
  <c r="O279" i="25"/>
  <c r="O434" i="25"/>
  <c r="O498" i="25"/>
  <c r="O486" i="25"/>
  <c r="O419" i="25"/>
  <c r="O229" i="25"/>
  <c r="O153" i="25"/>
  <c r="O302" i="25"/>
  <c r="O96" i="25"/>
  <c r="O85" i="25"/>
  <c r="O243" i="25"/>
  <c r="O541" i="25"/>
  <c r="O161" i="25"/>
  <c r="O361" i="25"/>
  <c r="O468" i="25"/>
  <c r="O417" i="25"/>
  <c r="O567" i="25"/>
  <c r="O517" i="25"/>
  <c r="O415" i="25"/>
  <c r="O187" i="25"/>
  <c r="O560" i="25"/>
  <c r="O375" i="25"/>
  <c r="O232" i="25"/>
  <c r="O180" i="25"/>
  <c r="O66" i="25"/>
  <c r="O479" i="25"/>
  <c r="O70" i="25"/>
  <c r="O482" i="25"/>
  <c r="O577" i="25"/>
  <c r="O348" i="25"/>
  <c r="O581" i="25"/>
  <c r="O579" i="25"/>
  <c r="O459" i="25"/>
  <c r="O169" i="25"/>
  <c r="O90" i="25"/>
  <c r="O305" i="25"/>
  <c r="O336" i="25"/>
  <c r="O341" i="25"/>
  <c r="O576" i="25"/>
  <c r="O472" i="25"/>
  <c r="O421" i="25"/>
  <c r="O322" i="25"/>
  <c r="O346" i="25"/>
  <c r="O135" i="25"/>
  <c r="O192" i="25"/>
  <c r="O156" i="25"/>
  <c r="O130" i="25"/>
  <c r="O442" i="25"/>
  <c r="O606" i="25"/>
  <c r="O484" i="25"/>
  <c r="O216" i="25"/>
  <c r="O367" i="25"/>
  <c r="O503" i="25"/>
  <c r="O470" i="25"/>
  <c r="O447" i="25"/>
  <c r="O373" i="25"/>
  <c r="O239" i="25"/>
  <c r="O34" i="25"/>
  <c r="O87" i="25"/>
  <c r="O47" i="25"/>
  <c r="O210" i="25"/>
  <c r="O249" i="25"/>
  <c r="O545" i="25"/>
  <c r="O98" i="25"/>
  <c r="O274" i="25"/>
  <c r="O437" i="25"/>
  <c r="O477" i="25"/>
  <c r="O521" i="25"/>
  <c r="O490" i="25"/>
  <c r="O536" i="25"/>
  <c r="O293" i="25"/>
  <c r="O430" i="25"/>
  <c r="O339" i="25"/>
  <c r="O318" i="25"/>
  <c r="O72" i="25"/>
  <c r="O580" i="25"/>
  <c r="O385" i="25"/>
  <c r="O397" i="25"/>
  <c r="O272" i="25"/>
  <c r="O493" i="25"/>
  <c r="O316" i="25"/>
  <c r="O222" i="25"/>
  <c r="O186" i="25"/>
  <c r="O52" i="25"/>
  <c r="O78" i="25"/>
  <c r="O179" i="25"/>
  <c r="O280" i="25"/>
  <c r="O86" i="25"/>
  <c r="O225" i="25"/>
  <c r="O529" i="25"/>
  <c r="O412" i="25"/>
  <c r="O400" i="25"/>
  <c r="O384" i="25"/>
  <c r="O454" i="25"/>
  <c r="O183" i="25"/>
  <c r="O144" i="25"/>
  <c r="O101" i="25"/>
  <c r="O41" i="25"/>
  <c r="O551" i="25"/>
  <c r="O82" i="25"/>
  <c r="O404" i="25"/>
  <c r="O214" i="25"/>
  <c r="O312" i="25"/>
  <c r="O505" i="25"/>
  <c r="O441" i="25"/>
  <c r="O423" i="25"/>
  <c r="O357" i="25"/>
  <c r="O233" i="25"/>
  <c r="O25" i="25"/>
  <c r="O347" i="25"/>
  <c r="O262" i="25"/>
  <c r="O132" i="25"/>
  <c r="O235" i="25"/>
  <c r="O289" i="25"/>
  <c r="O319" i="25"/>
  <c r="O248" i="25"/>
  <c r="O549" i="25"/>
  <c r="O390" i="25"/>
  <c r="O65" i="25"/>
  <c r="O67" i="25"/>
  <c r="O43" i="25"/>
  <c r="O175" i="25"/>
  <c r="O452" i="25"/>
  <c r="O334" i="25"/>
  <c r="O569" i="25"/>
  <c r="O61" i="25"/>
  <c r="O28" i="25"/>
  <c r="O403" i="25"/>
  <c r="O330" i="25"/>
  <c r="O283" i="25"/>
  <c r="O495" i="25"/>
  <c r="O231" i="25"/>
  <c r="O174" i="25"/>
  <c r="O138" i="25"/>
  <c r="O84" i="25"/>
  <c r="O223" i="25"/>
  <c r="O255" i="25"/>
  <c r="O236" i="25"/>
  <c r="O593" i="25"/>
  <c r="O79" i="25"/>
  <c r="O574" i="25"/>
  <c r="O395" i="25"/>
  <c r="O378" i="25"/>
  <c r="O295" i="25"/>
  <c r="O344" i="25"/>
  <c r="O292" i="25"/>
  <c r="O333" i="25"/>
  <c r="O188" i="25"/>
  <c r="O162" i="25"/>
  <c r="O123" i="25"/>
  <c r="O509" i="25"/>
  <c r="O307" i="25"/>
  <c r="O258" i="25"/>
  <c r="O56" i="25"/>
  <c r="O586" i="25"/>
  <c r="O460" i="25"/>
  <c r="O14" i="25"/>
  <c r="O145" i="25"/>
  <c r="O106" i="25"/>
  <c r="O398" i="25"/>
  <c r="O612" i="25"/>
  <c r="O585" i="25"/>
  <c r="O506" i="25"/>
  <c r="O23" i="25"/>
  <c r="O284" i="25"/>
  <c r="O304" i="25"/>
  <c r="O276" i="25"/>
  <c r="O228" i="25"/>
  <c r="O568" i="25"/>
  <c r="O382" i="25"/>
  <c r="O21" i="25"/>
  <c r="O19" i="25"/>
  <c r="O383" i="25"/>
  <c r="O259" i="25"/>
  <c r="O514" i="25"/>
  <c r="O301" i="25"/>
  <c r="O523" i="25"/>
  <c r="O134" i="25"/>
  <c r="O201" i="25"/>
  <c r="O321" i="25"/>
  <c r="O282" i="25"/>
  <c r="O402" i="25"/>
  <c r="O456" i="25"/>
  <c r="O396" i="25"/>
  <c r="O77" i="25"/>
  <c r="O218" i="25"/>
  <c r="O115" i="25"/>
  <c r="O265" i="25"/>
  <c r="O102" i="25"/>
  <c r="O252" i="25"/>
  <c r="O112" i="25"/>
  <c r="O117" i="25"/>
  <c r="O205" i="25"/>
  <c r="O522" i="25"/>
  <c r="O50" i="25"/>
  <c r="O377" i="25"/>
  <c r="O556" i="25"/>
  <c r="O372" i="25"/>
  <c r="O546" i="25"/>
  <c r="O526" i="25"/>
  <c r="O500" i="25"/>
  <c r="O171" i="25"/>
  <c r="O516" i="25"/>
  <c r="O234" i="25"/>
  <c r="O309" i="25"/>
  <c r="O196" i="25"/>
  <c r="O59" i="25"/>
  <c r="O487" i="25"/>
  <c r="O75" i="25"/>
  <c r="O548" i="25"/>
  <c r="O608" i="25"/>
  <c r="O391" i="25"/>
  <c r="O597" i="25"/>
  <c r="O573" i="25"/>
  <c r="O478" i="25"/>
  <c r="O42" i="25"/>
  <c r="O354" i="25"/>
  <c r="O270" i="25"/>
  <c r="O299" i="25"/>
  <c r="O88" i="25"/>
  <c r="O497" i="25"/>
  <c r="O426" i="25"/>
  <c r="O126" i="25"/>
  <c r="O57" i="25"/>
  <c r="O121" i="25"/>
  <c r="O360" i="25"/>
  <c r="O271" i="25"/>
  <c r="O208" i="25"/>
  <c r="O172" i="25"/>
  <c r="O146" i="25"/>
  <c r="O446" i="25"/>
  <c r="O578" i="25"/>
  <c r="O504" i="25"/>
  <c r="O111" i="25"/>
  <c r="O393" i="25"/>
  <c r="O467" i="25"/>
  <c r="O494" i="25"/>
  <c r="O455" i="25"/>
  <c r="O386" i="25"/>
  <c r="O332" i="25"/>
  <c r="O125" i="25"/>
  <c r="O103" i="25"/>
  <c r="O64" i="25"/>
  <c r="O238" i="25"/>
  <c r="O195" i="25"/>
  <c r="O555" i="25"/>
  <c r="O197" i="25"/>
  <c r="O335" i="25"/>
  <c r="O461" i="25"/>
  <c r="O432" i="25"/>
  <c r="O511" i="25"/>
  <c r="O476" i="25"/>
  <c r="O413" i="25"/>
  <c r="O227" i="25"/>
  <c r="O94" i="25"/>
  <c r="O240" i="25"/>
  <c r="O244" i="25"/>
  <c r="O148" i="25"/>
  <c r="O566" i="25"/>
  <c r="O448" i="25"/>
  <c r="O51" i="25"/>
  <c r="O13" i="25"/>
  <c r="O54" i="25"/>
  <c r="O436" i="25"/>
  <c r="O257" i="25"/>
  <c r="O46" i="25"/>
  <c r="O202" i="25"/>
  <c r="O60" i="25"/>
  <c r="O189" i="25"/>
  <c r="O163" i="25"/>
  <c r="O281" i="25"/>
  <c r="O220" i="25"/>
  <c r="O250" i="25"/>
  <c r="O539" i="25"/>
  <c r="O464" i="25"/>
  <c r="O480" i="25"/>
  <c r="O290" i="25"/>
  <c r="O364" i="25"/>
  <c r="O167" i="25"/>
  <c r="O160" i="25"/>
  <c r="O124" i="25"/>
  <c r="O73" i="25"/>
  <c r="O533" i="25"/>
  <c r="O17" i="25"/>
  <c r="O429" i="25"/>
  <c r="O93" i="25"/>
  <c r="O297" i="25"/>
  <c r="O473" i="25"/>
  <c r="O449" i="25"/>
  <c r="O431" i="25"/>
  <c r="O381" i="25"/>
  <c r="O340" i="25"/>
  <c r="O181" i="25"/>
  <c r="O55" i="25"/>
  <c r="O204" i="25"/>
  <c r="O178" i="25"/>
  <c r="O74" i="25"/>
  <c r="O489" i="25"/>
  <c r="O24" i="25"/>
  <c r="O406" i="25"/>
  <c r="O575" i="25"/>
  <c r="O524" i="25"/>
  <c r="O356" i="25"/>
  <c r="O97" i="25"/>
  <c r="O48" i="25"/>
  <c r="O177" i="25"/>
  <c r="O159" i="25"/>
  <c r="O440" i="25"/>
  <c r="O120" i="25"/>
  <c r="O571" i="25"/>
  <c r="O136" i="25"/>
  <c r="O609" i="25"/>
  <c r="O427" i="25"/>
  <c r="O349" i="25"/>
  <c r="O315" i="25"/>
  <c r="O512" i="25"/>
  <c r="O300" i="25"/>
  <c r="O190" i="25"/>
  <c r="O154" i="25"/>
  <c r="O15" i="25"/>
  <c r="O213" i="25"/>
  <c r="O245" i="25"/>
  <c r="O256" i="25"/>
  <c r="O133" i="25"/>
  <c r="O230" i="25"/>
  <c r="O595" i="25"/>
  <c r="O408" i="25"/>
  <c r="O394" i="25"/>
  <c r="O311" i="25"/>
  <c r="O438" i="25"/>
  <c r="O215" i="25"/>
  <c r="O109" i="25"/>
  <c r="O45" i="25"/>
  <c r="O22" i="25"/>
  <c r="O352" i="25"/>
  <c r="O564" i="25"/>
  <c r="O557" i="25"/>
  <c r="O342" i="25"/>
  <c r="O420" i="25"/>
  <c r="O572" i="25"/>
  <c r="O428" i="25"/>
  <c r="O76" i="25"/>
  <c r="O29" i="25"/>
  <c r="O221" i="25"/>
  <c r="O269" i="25"/>
  <c r="O613" i="25"/>
  <c r="O601" i="25"/>
  <c r="O496" i="25"/>
  <c r="O91" i="25"/>
  <c r="O211" i="25"/>
  <c r="O320" i="25"/>
  <c r="O287" i="25"/>
  <c r="O260" i="25"/>
  <c r="O535" i="25"/>
  <c r="O418" i="25"/>
  <c r="O68" i="25"/>
  <c r="O92" i="25"/>
  <c r="O114" i="25"/>
  <c r="O207" i="25"/>
  <c r="O507" i="25"/>
  <c r="O38" i="25"/>
  <c r="O554" i="25"/>
  <c r="O166" i="25"/>
  <c r="O173" i="25"/>
  <c r="O337" i="25"/>
  <c r="O298" i="25"/>
  <c r="O242" i="25"/>
  <c r="O465" i="25"/>
  <c r="O328" i="25"/>
  <c r="O142" i="25"/>
  <c r="O89" i="25"/>
  <c r="O62" i="25"/>
  <c r="O590" i="25"/>
  <c r="O165" i="25"/>
  <c r="O389" i="25"/>
  <c r="O81" i="25"/>
  <c r="O266" i="25"/>
  <c r="O137" i="25"/>
  <c r="O518" i="25"/>
  <c r="O141" i="25"/>
  <c r="O424" i="25"/>
  <c r="O530" i="25"/>
  <c r="O366" i="25"/>
  <c r="O544" i="25"/>
  <c r="O565" i="25"/>
  <c r="O435" i="25"/>
  <c r="O155" i="25"/>
  <c r="O481" i="25"/>
  <c r="O285" i="25"/>
  <c r="O355" i="25"/>
  <c r="O212" i="25"/>
  <c r="O611" i="25"/>
  <c r="O485" i="25"/>
  <c r="O209" i="25"/>
  <c r="O603" i="25"/>
  <c r="O599" i="25"/>
  <c r="O275" i="25"/>
  <c r="O587" i="25"/>
  <c r="O596" i="25"/>
  <c r="O502" i="25"/>
  <c r="O185" i="25"/>
  <c r="O425" i="25"/>
  <c r="O278" i="25"/>
  <c r="O331" i="25"/>
  <c r="O104" i="25"/>
  <c r="O584" i="25"/>
  <c r="O409" i="25"/>
  <c r="O20" i="25"/>
  <c r="O44" i="25"/>
  <c r="O157" i="25"/>
  <c r="O127" i="25"/>
  <c r="O388" i="25"/>
  <c r="O39" i="25"/>
  <c r="O605" i="25"/>
  <c r="O200" i="25"/>
  <c r="O374" i="25"/>
  <c r="O558" i="25"/>
  <c r="O550" i="25"/>
  <c r="O294" i="25"/>
  <c r="O515" i="25"/>
  <c r="O469" i="25"/>
  <c r="O466" i="25"/>
  <c r="O463" i="25"/>
  <c r="O411" i="25"/>
  <c r="O261" i="25"/>
  <c r="O217" i="25"/>
  <c r="O119" i="25"/>
  <c r="O80" i="25"/>
  <c r="O53" i="25"/>
  <c r="O131" i="25"/>
  <c r="O527" i="25"/>
  <c r="O37" i="25"/>
  <c r="O313" i="25"/>
  <c r="O510" i="25"/>
  <c r="O401" i="25"/>
  <c r="O534" i="25"/>
  <c r="O513" i="25"/>
  <c r="O508" i="25"/>
  <c r="O203" i="25"/>
  <c r="O598" i="25"/>
  <c r="O310" i="25"/>
  <c r="O326" i="25"/>
  <c r="O164" i="25"/>
  <c r="O193" i="25"/>
  <c r="O520" i="25"/>
  <c r="O118" i="25"/>
  <c r="O445" i="25"/>
  <c r="O559" i="25"/>
  <c r="O273" i="25"/>
  <c r="O604" i="25"/>
  <c r="O31" i="25"/>
  <c r="O519" i="25"/>
  <c r="O49" i="25"/>
  <c r="O324" i="25"/>
  <c r="O251" i="25"/>
  <c r="O329" i="25"/>
  <c r="O246" i="25"/>
  <c r="O323" i="25"/>
  <c r="O543" i="25"/>
  <c r="O414" i="25"/>
  <c r="O405" i="25"/>
  <c r="O306" i="25"/>
  <c r="O362" i="25"/>
  <c r="O151" i="25"/>
  <c r="O176" i="25"/>
  <c r="O140" i="25"/>
  <c r="O105" i="25"/>
  <c r="O471" i="25"/>
  <c r="O607" i="25"/>
  <c r="O453" i="25"/>
  <c r="O168" i="25"/>
  <c r="O345" i="25"/>
  <c r="O499" i="25"/>
  <c r="O457" i="25"/>
  <c r="O439" i="25"/>
  <c r="O365" i="25"/>
  <c r="O267" i="25"/>
  <c r="O110" i="25"/>
  <c r="O71" i="25"/>
  <c r="O254" i="25"/>
  <c r="O194" i="25"/>
  <c r="O277" i="25"/>
  <c r="O570" i="25"/>
  <c r="O591" i="25"/>
  <c r="O291" i="25"/>
  <c r="O422" i="25"/>
  <c r="O370" i="25"/>
  <c r="O561" i="25"/>
  <c r="O532" i="25"/>
  <c r="O451" i="25"/>
  <c r="O27" i="25"/>
  <c r="O143" i="25"/>
  <c r="O380" i="25"/>
  <c r="O184" i="25"/>
  <c r="O583" i="25"/>
  <c r="O152" i="25"/>
  <c r="O600" i="25"/>
  <c r="O371" i="25"/>
  <c r="O392" i="25"/>
  <c r="O264" i="25"/>
  <c r="O458" i="25"/>
  <c r="O253" i="25"/>
  <c r="O206" i="25"/>
  <c r="O170" i="25"/>
  <c r="O108" i="25"/>
  <c r="O149" i="25"/>
  <c r="O368" i="25"/>
  <c r="O317" i="25"/>
  <c r="O107" i="25"/>
  <c r="O376" i="25"/>
  <c r="O562" i="25"/>
  <c r="O492" i="25"/>
  <c r="O387" i="25"/>
  <c r="O327" i="25"/>
  <c r="O501" i="25"/>
  <c r="O199" i="25"/>
  <c r="O128" i="25"/>
  <c r="O69" i="25"/>
  <c r="O100" i="25"/>
  <c r="O537" i="25"/>
  <c r="O325" i="25"/>
  <c r="O379" i="25"/>
  <c r="O150" i="25"/>
  <c r="O296" i="25"/>
  <c r="O444" i="25"/>
  <c r="O488" i="25"/>
  <c r="O540" i="25"/>
  <c r="O416" i="25"/>
  <c r="AZ59" i="21"/>
  <c r="B392" i="2" s="1"/>
  <c r="H3" i="21"/>
  <c r="AZ109" i="21"/>
  <c r="B391" i="2" s="1"/>
  <c r="H4" i="21"/>
  <c r="M571" i="25" l="1"/>
  <c r="N578" i="25"/>
  <c r="M531" i="25"/>
  <c r="M517" i="25"/>
  <c r="M468" i="25"/>
  <c r="M529" i="25"/>
  <c r="N447" i="25"/>
  <c r="N473" i="25"/>
  <c r="M439" i="25"/>
  <c r="M432" i="25"/>
  <c r="N448" i="25"/>
  <c r="N394" i="25"/>
  <c r="M375" i="25"/>
  <c r="N280" i="25"/>
  <c r="N399" i="25"/>
  <c r="M345" i="25"/>
  <c r="M596" i="25"/>
  <c r="M577" i="25"/>
  <c r="N552" i="25"/>
  <c r="N529" i="25"/>
  <c r="N513" i="25"/>
  <c r="N491" i="25"/>
  <c r="M511" i="25"/>
  <c r="N446" i="25"/>
  <c r="N414" i="25"/>
  <c r="N392" i="25"/>
  <c r="N294" i="25"/>
  <c r="M359" i="25"/>
  <c r="N601" i="25"/>
  <c r="M591" i="25"/>
  <c r="M556" i="25"/>
  <c r="N547" i="25"/>
  <c r="N559" i="25"/>
  <c r="N459" i="25"/>
  <c r="M451" i="25"/>
  <c r="M497" i="25"/>
  <c r="N82" i="25"/>
  <c r="M106" i="25"/>
  <c r="N63" i="25"/>
  <c r="M53" i="25"/>
  <c r="N109" i="25"/>
  <c r="N177" i="25"/>
  <c r="N167" i="25"/>
  <c r="M149" i="25"/>
  <c r="N80" i="25"/>
  <c r="N127" i="25"/>
  <c r="N21" i="25"/>
  <c r="M47" i="25"/>
  <c r="M198" i="25"/>
  <c r="M203" i="25"/>
  <c r="N123" i="25"/>
  <c r="N253" i="25"/>
  <c r="M74" i="25"/>
  <c r="M69" i="25"/>
  <c r="N264" i="25"/>
  <c r="N148" i="25"/>
  <c r="M199" i="25"/>
  <c r="N155" i="25"/>
  <c r="N231" i="25"/>
  <c r="M123" i="25"/>
  <c r="M73" i="25"/>
  <c r="M195" i="25"/>
  <c r="N187" i="25"/>
  <c r="M177" i="25"/>
  <c r="N117" i="25"/>
  <c r="M103" i="25"/>
  <c r="M20" i="25"/>
  <c r="N72" i="25"/>
  <c r="N121" i="25"/>
  <c r="N67" i="25"/>
  <c r="M257" i="25"/>
  <c r="N52" i="25"/>
  <c r="N47" i="25"/>
  <c r="M37" i="25"/>
  <c r="M121" i="25"/>
  <c r="N31" i="25"/>
  <c r="N323" i="25"/>
  <c r="N124" i="25"/>
  <c r="M114" i="25"/>
  <c r="N143" i="25"/>
  <c r="N309" i="25"/>
  <c r="N68" i="25"/>
  <c r="N215" i="25"/>
  <c r="M86" i="25"/>
  <c r="N101" i="25"/>
  <c r="M320" i="25"/>
  <c r="N175" i="25"/>
  <c r="N171" i="25"/>
  <c r="M181" i="25"/>
  <c r="M219" i="25"/>
  <c r="M129" i="25"/>
  <c r="N250" i="25"/>
  <c r="M38" i="25"/>
  <c r="N104" i="25"/>
  <c r="N247" i="25"/>
  <c r="N573" i="25"/>
  <c r="M572" i="25"/>
  <c r="N518" i="25"/>
  <c r="N509" i="25"/>
  <c r="N508" i="25"/>
  <c r="N463" i="25"/>
  <c r="N415" i="25"/>
  <c r="M455" i="25"/>
  <c r="M448" i="25"/>
  <c r="N522" i="25"/>
  <c r="M412" i="25"/>
  <c r="N360" i="25"/>
  <c r="N328" i="25"/>
  <c r="M370" i="25"/>
  <c r="N315" i="25"/>
  <c r="N365" i="25"/>
  <c r="N329" i="25"/>
  <c r="M569" i="25"/>
  <c r="M515" i="25"/>
  <c r="N507" i="25"/>
  <c r="N484" i="25"/>
  <c r="N468" i="25"/>
  <c r="M417" i="25"/>
  <c r="M411" i="25"/>
  <c r="N310" i="25"/>
  <c r="M393" i="25"/>
  <c r="M332" i="25"/>
  <c r="N583" i="25"/>
  <c r="N534" i="25"/>
  <c r="M513" i="25"/>
  <c r="N505" i="25"/>
  <c r="N488" i="25"/>
  <c r="N427" i="25"/>
  <c r="M435" i="25"/>
  <c r="N416" i="25"/>
  <c r="N87" i="25"/>
  <c r="M22" i="25"/>
  <c r="M245" i="25"/>
  <c r="M51" i="25"/>
  <c r="M135" i="25"/>
  <c r="M81" i="25"/>
  <c r="N17" i="25"/>
  <c r="N60" i="25"/>
  <c r="N209" i="25"/>
  <c r="N270" i="25"/>
  <c r="N234" i="25"/>
  <c r="N96" i="25"/>
  <c r="M63" i="25"/>
  <c r="N15" i="25"/>
  <c r="N24" i="25"/>
  <c r="M117" i="25"/>
  <c r="N97" i="25"/>
  <c r="M367" i="25"/>
  <c r="N263" i="25"/>
  <c r="N128" i="25"/>
  <c r="N197" i="25"/>
  <c r="N37" i="25"/>
  <c r="M217" i="25"/>
  <c r="N108" i="25"/>
  <c r="M91" i="25"/>
  <c r="M72" i="25"/>
  <c r="N333" i="25"/>
  <c r="N34" i="25"/>
  <c r="M213" i="25"/>
  <c r="M102" i="25"/>
  <c r="N88" i="25"/>
  <c r="M109" i="25"/>
  <c r="N89" i="25"/>
  <c r="M64" i="25"/>
  <c r="M169" i="25"/>
  <c r="M46" i="25"/>
  <c r="M125" i="25"/>
  <c r="N623" i="25"/>
  <c r="N160" i="25"/>
  <c r="M193" i="25"/>
  <c r="M215" i="25"/>
  <c r="N122" i="25"/>
  <c r="M579" i="25"/>
  <c r="N554" i="25"/>
  <c r="M500" i="25"/>
  <c r="N493" i="25"/>
  <c r="M485" i="25"/>
  <c r="M537" i="25"/>
  <c r="N464" i="25"/>
  <c r="M418" i="25"/>
  <c r="N452" i="25"/>
  <c r="M398" i="25"/>
  <c r="M389" i="25"/>
  <c r="M333" i="25"/>
  <c r="M594" i="25"/>
  <c r="N571" i="25"/>
  <c r="M541" i="25"/>
  <c r="M482" i="25"/>
  <c r="N506" i="25"/>
  <c r="N413" i="25"/>
  <c r="M491" i="25"/>
  <c r="N440" i="25"/>
  <c r="N376" i="25"/>
  <c r="N342" i="25"/>
  <c r="N434" i="25"/>
  <c r="M387" i="25"/>
  <c r="N612" i="25"/>
  <c r="M540" i="25"/>
  <c r="M480" i="25"/>
  <c r="M503" i="25"/>
  <c r="M460" i="25"/>
  <c r="N432" i="25"/>
  <c r="M139" i="25"/>
  <c r="M173" i="25"/>
  <c r="M50" i="25"/>
  <c r="M297" i="25"/>
  <c r="N116" i="25"/>
  <c r="N105" i="25"/>
  <c r="M76" i="25"/>
  <c r="M54" i="25"/>
  <c r="N287" i="25"/>
  <c r="N51" i="25"/>
  <c r="M628" i="25"/>
  <c r="M131" i="25"/>
  <c r="N99" i="25"/>
  <c r="M141" i="25"/>
  <c r="N58" i="25"/>
  <c r="N276" i="25"/>
  <c r="N130" i="25"/>
  <c r="M163" i="25"/>
  <c r="N369" i="25"/>
  <c r="N168" i="25"/>
  <c r="N74" i="25"/>
  <c r="M97" i="25"/>
  <c r="M44" i="25"/>
  <c r="M261" i="25"/>
  <c r="N20" i="25"/>
  <c r="M137" i="25"/>
  <c r="M30" i="25"/>
  <c r="N208" i="25"/>
  <c r="M115" i="25"/>
  <c r="M39" i="25"/>
  <c r="N164" i="25"/>
  <c r="M66" i="25"/>
  <c r="N219" i="25"/>
  <c r="M32" i="25"/>
  <c r="M185" i="25"/>
  <c r="N106" i="25"/>
  <c r="M151" i="25"/>
  <c r="N95" i="25"/>
  <c r="M197" i="25"/>
  <c r="N32" i="25"/>
  <c r="N229" i="25"/>
  <c r="M79" i="25"/>
  <c r="M205" i="25"/>
  <c r="N251" i="25"/>
  <c r="N48" i="25"/>
  <c r="M40" i="25"/>
  <c r="N35" i="25"/>
  <c r="M21" i="25"/>
  <c r="M42" i="25"/>
  <c r="N200" i="25"/>
  <c r="M28" i="25"/>
  <c r="M26" i="25"/>
  <c r="M118" i="25"/>
  <c r="N140" i="25"/>
  <c r="M95" i="25"/>
  <c r="M562" i="25"/>
  <c r="N312" i="25"/>
  <c r="N271" i="25"/>
  <c r="M610" i="25"/>
  <c r="N568" i="25"/>
  <c r="M542" i="25"/>
  <c r="M574" i="25"/>
  <c r="M466" i="25"/>
  <c r="N490" i="25"/>
  <c r="N445" i="25"/>
  <c r="M437" i="25"/>
  <c r="M430" i="25"/>
  <c r="N397" i="25"/>
  <c r="M388" i="25"/>
  <c r="M593" i="25"/>
  <c r="N569" i="25"/>
  <c r="N550" i="25"/>
  <c r="M496" i="25"/>
  <c r="M522" i="25"/>
  <c r="N443" i="25"/>
  <c r="N480" i="25"/>
  <c r="N438" i="25"/>
  <c r="N111" i="25"/>
  <c r="M70" i="25"/>
  <c r="N176" i="25"/>
  <c r="M211" i="25"/>
  <c r="N28" i="25"/>
  <c r="N45" i="25"/>
  <c r="M105" i="25"/>
  <c r="M16" i="25"/>
  <c r="N216" i="25"/>
  <c r="M75" i="25"/>
  <c r="N199" i="25"/>
  <c r="N49" i="25"/>
  <c r="N132" i="25"/>
  <c r="N133" i="25"/>
  <c r="N13" i="25"/>
  <c r="M15" i="25"/>
  <c r="N192" i="25"/>
  <c r="N40" i="25"/>
  <c r="N295" i="25"/>
  <c r="M45" i="25"/>
  <c r="N212" i="25"/>
  <c r="N237" i="25"/>
  <c r="N129" i="25"/>
  <c r="N266" i="25"/>
  <c r="M49" i="25"/>
  <c r="N252" i="25"/>
  <c r="M134" i="25"/>
  <c r="N161" i="25"/>
  <c r="N151" i="25"/>
  <c r="M225" i="25"/>
  <c r="M348" i="25"/>
  <c r="N90" i="25"/>
  <c r="N91" i="25"/>
  <c r="M229" i="25"/>
  <c r="N193" i="25"/>
  <c r="N183" i="25"/>
  <c r="M34" i="25"/>
  <c r="N19" i="25"/>
  <c r="N184" i="25"/>
  <c r="N153" i="25"/>
  <c r="M85" i="25"/>
  <c r="N233" i="25"/>
  <c r="N204" i="25"/>
  <c r="N65" i="25"/>
  <c r="M41" i="25"/>
  <c r="M36" i="25"/>
  <c r="M27" i="25"/>
  <c r="N84" i="25"/>
  <c r="M59" i="25"/>
  <c r="N59" i="25"/>
  <c r="M23" i="25"/>
  <c r="M111" i="25"/>
  <c r="N77" i="25"/>
  <c r="N139" i="25"/>
  <c r="N181" i="25"/>
  <c r="M113" i="25"/>
  <c r="M179" i="25"/>
  <c r="M24" i="25"/>
  <c r="N626" i="25"/>
  <c r="M600" i="25"/>
  <c r="M361" i="25"/>
  <c r="N349" i="25"/>
  <c r="N603" i="25"/>
  <c r="N596" i="25"/>
  <c r="M526" i="25"/>
  <c r="N533" i="25"/>
  <c r="M498" i="25"/>
  <c r="N523" i="25"/>
  <c r="N461" i="25"/>
  <c r="M453" i="25"/>
  <c r="M462" i="25"/>
  <c r="M516" i="25"/>
  <c r="N374" i="25"/>
  <c r="N326" i="25"/>
  <c r="N375" i="25"/>
  <c r="M567" i="25"/>
  <c r="M570" i="25"/>
  <c r="M524" i="25"/>
  <c r="M512" i="25"/>
  <c r="N489" i="25"/>
  <c r="N478" i="25"/>
  <c r="M467" i="25"/>
  <c r="N517" i="25"/>
  <c r="M77" i="25"/>
  <c r="N628" i="25"/>
  <c r="M171" i="25"/>
  <c r="N152" i="25"/>
  <c r="N238" i="25"/>
  <c r="N159" i="25"/>
  <c r="M119" i="25"/>
  <c r="N39" i="25"/>
  <c r="N79" i="25"/>
  <c r="M201" i="25"/>
  <c r="N351" i="25"/>
  <c r="N146" i="25"/>
  <c r="N232" i="25"/>
  <c r="N41" i="25"/>
  <c r="M78" i="25"/>
  <c r="N225" i="25"/>
  <c r="M155" i="25"/>
  <c r="M96" i="25"/>
  <c r="M623" i="25"/>
  <c r="M231" i="25"/>
  <c r="M87" i="25"/>
  <c r="N29" i="25"/>
  <c r="N254" i="25"/>
  <c r="M187" i="25"/>
  <c r="M145" i="25"/>
  <c r="N50" i="25"/>
  <c r="M13" i="25"/>
  <c r="M107" i="25"/>
  <c r="N83" i="25"/>
  <c r="M71" i="25"/>
  <c r="M110" i="25"/>
  <c r="N207" i="25"/>
  <c r="M247" i="25"/>
  <c r="N185" i="25"/>
  <c r="N327" i="25"/>
  <c r="M165" i="25"/>
  <c r="N149" i="25"/>
  <c r="M183" i="25"/>
  <c r="N613" i="25"/>
  <c r="M608" i="25"/>
  <c r="N611" i="25"/>
  <c r="M605" i="25"/>
  <c r="N602" i="25"/>
  <c r="N609" i="25"/>
  <c r="M603" i="25"/>
  <c r="M613" i="25"/>
  <c r="M601" i="25"/>
  <c r="N598" i="25"/>
  <c r="M611" i="25"/>
  <c r="M599" i="25"/>
  <c r="M609" i="25"/>
  <c r="M597" i="25"/>
  <c r="M612" i="25"/>
  <c r="N610" i="25"/>
  <c r="N605" i="25"/>
  <c r="M604" i="25"/>
  <c r="M598" i="25"/>
  <c r="M602" i="25"/>
  <c r="N570" i="25"/>
  <c r="M544" i="25"/>
  <c r="M528" i="25"/>
  <c r="N551" i="25"/>
  <c r="M549" i="25"/>
  <c r="M535" i="25"/>
  <c r="M484" i="25"/>
  <c r="N492" i="25"/>
  <c r="N431" i="25"/>
  <c r="M499" i="25"/>
  <c r="N454" i="25"/>
  <c r="M415" i="25"/>
  <c r="N378" i="25"/>
  <c r="N344" i="25"/>
  <c r="N296" i="25"/>
  <c r="M376" i="25"/>
  <c r="M292" i="25"/>
  <c r="M306" i="25"/>
  <c r="N585" i="25"/>
  <c r="N560" i="25"/>
  <c r="N549" i="25"/>
  <c r="N564" i="25"/>
  <c r="N429" i="25"/>
  <c r="M446" i="25"/>
  <c r="N444" i="25"/>
  <c r="N358" i="25"/>
  <c r="M368" i="25"/>
  <c r="M595" i="25"/>
  <c r="N566" i="25"/>
  <c r="M566" i="25"/>
  <c r="N528" i="25"/>
  <c r="M464" i="25"/>
  <c r="N504" i="25"/>
  <c r="N411" i="25"/>
  <c r="M444" i="25"/>
  <c r="M17" i="25"/>
  <c r="M289" i="25"/>
  <c r="N44" i="25"/>
  <c r="N213" i="25"/>
  <c r="N203" i="25"/>
  <c r="M329" i="25"/>
  <c r="N335" i="25"/>
  <c r="N196" i="25"/>
  <c r="M100" i="25"/>
  <c r="M133" i="25"/>
  <c r="N69" i="25"/>
  <c r="N42" i="25"/>
  <c r="M35" i="25"/>
  <c r="N26" i="25"/>
  <c r="N114" i="25"/>
  <c r="N169" i="25"/>
  <c r="M209" i="25"/>
  <c r="N53" i="25"/>
  <c r="N367" i="25"/>
  <c r="N76" i="25"/>
  <c r="M98" i="25"/>
  <c r="N55" i="25"/>
  <c r="M138" i="25"/>
  <c r="N112" i="25"/>
  <c r="N201" i="25"/>
  <c r="N191" i="25"/>
  <c r="N235" i="25"/>
  <c r="N56" i="25"/>
  <c r="M92" i="25"/>
  <c r="N188" i="25"/>
  <c r="M239" i="25"/>
  <c r="N115" i="25"/>
  <c r="M130" i="25"/>
  <c r="N144" i="25"/>
  <c r="M255" i="25"/>
  <c r="N18" i="25"/>
  <c r="M327" i="25"/>
  <c r="N119" i="25"/>
  <c r="N25" i="25"/>
  <c r="M166" i="25"/>
  <c r="M65" i="25"/>
  <c r="M60" i="25"/>
  <c r="M25" i="25"/>
  <c r="M122" i="25"/>
  <c r="N66" i="25"/>
  <c r="M88" i="25"/>
  <c r="N85" i="25"/>
  <c r="M189" i="25"/>
  <c r="N277" i="25"/>
  <c r="N57" i="25"/>
  <c r="N217" i="25"/>
  <c r="M108" i="25"/>
  <c r="N145" i="25"/>
  <c r="N138" i="25"/>
  <c r="M147" i="25"/>
  <c r="M626" i="25"/>
  <c r="M408" i="25"/>
  <c r="N436" i="25"/>
  <c r="N390" i="25"/>
  <c r="N458" i="25"/>
  <c r="M391" i="25"/>
  <c r="N372" i="25"/>
  <c r="N356" i="25"/>
  <c r="N340" i="25"/>
  <c r="N324" i="25"/>
  <c r="N308" i="25"/>
  <c r="N292" i="25"/>
  <c r="M406" i="25"/>
  <c r="N387" i="25"/>
  <c r="M366" i="25"/>
  <c r="M392" i="25"/>
  <c r="M373" i="25"/>
  <c r="M357" i="25"/>
  <c r="M386" i="25"/>
  <c r="N331" i="25"/>
  <c r="M308" i="25"/>
  <c r="M285" i="25"/>
  <c r="N267" i="25"/>
  <c r="N361" i="25"/>
  <c r="N345" i="25"/>
  <c r="M322" i="25"/>
  <c r="M299" i="25"/>
  <c r="N281" i="25"/>
  <c r="M505" i="25"/>
  <c r="M360" i="25"/>
  <c r="M344" i="25"/>
  <c r="M326" i="25"/>
  <c r="M303" i="25"/>
  <c r="N285" i="25"/>
  <c r="M266" i="25"/>
  <c r="M250" i="25"/>
  <c r="M234" i="25"/>
  <c r="M312" i="25"/>
  <c r="M259" i="25"/>
  <c r="N606" i="25"/>
  <c r="N599" i="25"/>
  <c r="N594" i="25"/>
  <c r="N592" i="25"/>
  <c r="M589" i="25"/>
  <c r="N591" i="25"/>
  <c r="M565" i="25"/>
  <c r="M582" i="25"/>
  <c r="M592" i="25"/>
  <c r="N567" i="25"/>
  <c r="M554" i="25"/>
  <c r="M538" i="25"/>
  <c r="N561" i="25"/>
  <c r="N545" i="25"/>
  <c r="N565" i="25"/>
  <c r="N548" i="25"/>
  <c r="M533" i="25"/>
  <c r="M558" i="25"/>
  <c r="M580" i="25"/>
  <c r="M527" i="25"/>
  <c r="N581" i="25"/>
  <c r="M510" i="25"/>
  <c r="M494" i="25"/>
  <c r="M478" i="25"/>
  <c r="M553" i="25"/>
  <c r="N503" i="25"/>
  <c r="N487" i="25"/>
  <c r="N604" i="25"/>
  <c r="N600" i="25"/>
  <c r="N595" i="25"/>
  <c r="N588" i="25"/>
  <c r="M588" i="25"/>
  <c r="M585" i="25"/>
  <c r="N577" i="25"/>
  <c r="M561" i="25"/>
  <c r="N576" i="25"/>
  <c r="N579" i="25"/>
  <c r="M576" i="25"/>
  <c r="M550" i="25"/>
  <c r="M534" i="25"/>
  <c r="N558" i="25"/>
  <c r="N541" i="25"/>
  <c r="N562" i="25"/>
  <c r="N544" i="25"/>
  <c r="N526" i="25"/>
  <c r="M543" i="25"/>
  <c r="M547" i="25"/>
  <c r="M523" i="25"/>
  <c r="N527" i="25"/>
  <c r="M506" i="25"/>
  <c r="M490" i="25"/>
  <c r="M474" i="25"/>
  <c r="M518" i="25"/>
  <c r="N499" i="25"/>
  <c r="N483" i="25"/>
  <c r="M514" i="25"/>
  <c r="N498" i="25"/>
  <c r="M509" i="25"/>
  <c r="N470" i="25"/>
  <c r="N453" i="25"/>
  <c r="N437" i="25"/>
  <c r="N421" i="25"/>
  <c r="N405" i="25"/>
  <c r="N481" i="25"/>
  <c r="M461" i="25"/>
  <c r="M445" i="25"/>
  <c r="M429" i="25"/>
  <c r="N472" i="25"/>
  <c r="M454" i="25"/>
  <c r="M438" i="25"/>
  <c r="N474" i="25"/>
  <c r="M426" i="25"/>
  <c r="N408" i="25"/>
  <c r="N466" i="25"/>
  <c r="M423" i="25"/>
  <c r="N482" i="25"/>
  <c r="M420" i="25"/>
  <c r="N402" i="25"/>
  <c r="N384" i="25"/>
  <c r="N412" i="25"/>
  <c r="M383" i="25"/>
  <c r="N366" i="25"/>
  <c r="N350" i="25"/>
  <c r="N334" i="25"/>
  <c r="N318" i="25"/>
  <c r="N302" i="25"/>
  <c r="N286" i="25"/>
  <c r="M397" i="25"/>
  <c r="N379" i="25"/>
  <c r="N608" i="25"/>
  <c r="N593" i="25"/>
  <c r="N586" i="25"/>
  <c r="M586" i="25"/>
  <c r="M583" i="25"/>
  <c r="M575" i="25"/>
  <c r="M559" i="25"/>
  <c r="N574" i="25"/>
  <c r="M578" i="25"/>
  <c r="M568" i="25"/>
  <c r="M548" i="25"/>
  <c r="M532" i="25"/>
  <c r="N555" i="25"/>
  <c r="N539" i="25"/>
  <c r="N557" i="25"/>
  <c r="N542" i="25"/>
  <c r="M525" i="25"/>
  <c r="N537" i="25"/>
  <c r="M539" i="25"/>
  <c r="M521" i="25"/>
  <c r="N521" i="25"/>
  <c r="M504" i="25"/>
  <c r="M488" i="25"/>
  <c r="M472" i="25"/>
  <c r="N516" i="25"/>
  <c r="N497" i="25"/>
  <c r="N535" i="25"/>
  <c r="N512" i="25"/>
  <c r="N496" i="25"/>
  <c r="M501" i="25"/>
  <c r="M469" i="25"/>
  <c r="N451" i="25"/>
  <c r="N435" i="25"/>
  <c r="N419" i="25"/>
  <c r="N403" i="25"/>
  <c r="N476" i="25"/>
  <c r="M459" i="25"/>
  <c r="M443" i="25"/>
  <c r="N514" i="25"/>
  <c r="M471" i="25"/>
  <c r="M452" i="25"/>
  <c r="M436" i="25"/>
  <c r="M473" i="25"/>
  <c r="M425" i="25"/>
  <c r="M402" i="25"/>
  <c r="M465" i="25"/>
  <c r="N422" i="25"/>
  <c r="M481" i="25"/>
  <c r="M419" i="25"/>
  <c r="N398" i="25"/>
  <c r="N382" i="25"/>
  <c r="M400" i="25"/>
  <c r="M382" i="25"/>
  <c r="N364" i="25"/>
  <c r="N348" i="25"/>
  <c r="N332" i="25"/>
  <c r="N316" i="25"/>
  <c r="N300" i="25"/>
  <c r="N284" i="25"/>
  <c r="M396" i="25"/>
  <c r="M374" i="25"/>
  <c r="N420" i="25"/>
  <c r="N383" i="25"/>
  <c r="M365" i="25"/>
  <c r="M349" i="25"/>
  <c r="M340" i="25"/>
  <c r="M317" i="25"/>
  <c r="N299" i="25"/>
  <c r="N275" i="25"/>
  <c r="M607" i="25"/>
  <c r="N607" i="25"/>
  <c r="M606" i="25"/>
  <c r="M584" i="25"/>
  <c r="M581" i="25"/>
  <c r="M573" i="25"/>
  <c r="M557" i="25"/>
  <c r="N572" i="25"/>
  <c r="N575" i="25"/>
  <c r="N563" i="25"/>
  <c r="M546" i="25"/>
  <c r="M530" i="25"/>
  <c r="N553" i="25"/>
  <c r="N587" i="25"/>
  <c r="N556" i="25"/>
  <c r="N540" i="25"/>
  <c r="N524" i="25"/>
  <c r="N532" i="25"/>
  <c r="N536" i="25"/>
  <c r="M519" i="25"/>
  <c r="M520" i="25"/>
  <c r="M502" i="25"/>
  <c r="M486" i="25"/>
  <c r="M470" i="25"/>
  <c r="N511" i="25"/>
  <c r="N495" i="25"/>
  <c r="N530" i="25"/>
  <c r="N510" i="25"/>
  <c r="N494" i="25"/>
  <c r="M493" i="25"/>
  <c r="N467" i="25"/>
  <c r="N449" i="25"/>
  <c r="N433" i="25"/>
  <c r="N417" i="25"/>
  <c r="N401" i="25"/>
  <c r="M475" i="25"/>
  <c r="M457" i="25"/>
  <c r="M441" i="25"/>
  <c r="M507" i="25"/>
  <c r="N469" i="25"/>
  <c r="M450" i="25"/>
  <c r="M434" i="25"/>
  <c r="N462" i="25"/>
  <c r="N424" i="25"/>
  <c r="M401" i="25"/>
  <c r="N456" i="25"/>
  <c r="M416" i="25"/>
  <c r="N460" i="25"/>
  <c r="N418" i="25"/>
  <c r="N396" i="25"/>
  <c r="N380" i="25"/>
  <c r="M399" i="25"/>
  <c r="N381" i="25"/>
  <c r="N362" i="25"/>
  <c r="N346" i="25"/>
  <c r="N330" i="25"/>
  <c r="N314" i="25"/>
  <c r="N298" i="25"/>
  <c r="N282" i="25"/>
  <c r="N395" i="25"/>
  <c r="M372" i="25"/>
  <c r="N400" i="25"/>
  <c r="M377" i="25"/>
  <c r="M363" i="25"/>
  <c r="M347" i="25"/>
  <c r="N339" i="25"/>
  <c r="M316" i="25"/>
  <c r="M293" i="25"/>
  <c r="N273" i="25"/>
  <c r="N373" i="25"/>
  <c r="M350" i="25"/>
  <c r="M330" i="25"/>
  <c r="M307" i="25"/>
  <c r="N589" i="25"/>
  <c r="N531" i="25"/>
  <c r="N519" i="25"/>
  <c r="N538" i="25"/>
  <c r="N423" i="25"/>
  <c r="M447" i="25"/>
  <c r="M440" i="25"/>
  <c r="N471" i="25"/>
  <c r="M403" i="25"/>
  <c r="N368" i="25"/>
  <c r="N304" i="25"/>
  <c r="M422" i="25"/>
  <c r="M355" i="25"/>
  <c r="N357" i="25"/>
  <c r="M323" i="25"/>
  <c r="M291" i="25"/>
  <c r="M271" i="25"/>
  <c r="M302" i="25"/>
  <c r="M278" i="25"/>
  <c r="M260" i="25"/>
  <c r="M242" i="25"/>
  <c r="N241" i="25"/>
  <c r="M220" i="25"/>
  <c r="M204" i="25"/>
  <c r="M188" i="25"/>
  <c r="M172" i="25"/>
  <c r="M156" i="25"/>
  <c r="M140" i="25"/>
  <c r="M124" i="25"/>
  <c r="N303" i="25"/>
  <c r="M249" i="25"/>
  <c r="N226" i="25"/>
  <c r="M288" i="25"/>
  <c r="M253" i="25"/>
  <c r="N230" i="25"/>
  <c r="N214" i="25"/>
  <c r="N198" i="25"/>
  <c r="N182" i="25"/>
  <c r="N166" i="25"/>
  <c r="N150" i="25"/>
  <c r="N134" i="25"/>
  <c r="N118" i="25"/>
  <c r="N102" i="25"/>
  <c r="N86" i="25"/>
  <c r="N70" i="25"/>
  <c r="N54" i="25"/>
  <c r="N38" i="25"/>
  <c r="M263" i="25"/>
  <c r="M207" i="25"/>
  <c r="M175" i="25"/>
  <c r="M143" i="25"/>
  <c r="N113" i="25"/>
  <c r="M90" i="25"/>
  <c r="M67" i="25"/>
  <c r="N261" i="25"/>
  <c r="N205" i="25"/>
  <c r="N173" i="25"/>
  <c r="N141" i="25"/>
  <c r="M112" i="25"/>
  <c r="M89" i="25"/>
  <c r="N71" i="25"/>
  <c r="M48" i="25"/>
  <c r="N240" i="25"/>
  <c r="N195" i="25"/>
  <c r="N163" i="25"/>
  <c r="N131" i="25"/>
  <c r="N107" i="25"/>
  <c r="M84" i="25"/>
  <c r="M61" i="25"/>
  <c r="N43" i="25"/>
  <c r="N22" i="25"/>
  <c r="M43" i="25"/>
  <c r="N248" i="25"/>
  <c r="M94" i="25"/>
  <c r="N23" i="25"/>
  <c r="M421" i="25"/>
  <c r="M354" i="25"/>
  <c r="M269" i="25"/>
  <c r="M364" i="25"/>
  <c r="N347" i="25"/>
  <c r="M240" i="25"/>
  <c r="N343" i="25"/>
  <c r="N260" i="25"/>
  <c r="N597" i="25"/>
  <c r="N584" i="25"/>
  <c r="M551" i="25"/>
  <c r="N501" i="25"/>
  <c r="M477" i="25"/>
  <c r="N409" i="25"/>
  <c r="M433" i="25"/>
  <c r="M489" i="25"/>
  <c r="M428" i="25"/>
  <c r="N388" i="25"/>
  <c r="N354" i="25"/>
  <c r="N290" i="25"/>
  <c r="M353" i="25"/>
  <c r="N321" i="25"/>
  <c r="M290" i="25"/>
  <c r="N325" i="25"/>
  <c r="N301" i="25"/>
  <c r="M276" i="25"/>
  <c r="M258" i="25"/>
  <c r="N236" i="25"/>
  <c r="M218" i="25"/>
  <c r="M202" i="25"/>
  <c r="M186" i="25"/>
  <c r="M170" i="25"/>
  <c r="M154" i="25"/>
  <c r="M351" i="25"/>
  <c r="M309" i="25"/>
  <c r="N269" i="25"/>
  <c r="N353" i="25"/>
  <c r="N289" i="25"/>
  <c r="M267" i="25"/>
  <c r="N363" i="25"/>
  <c r="M256" i="25"/>
  <c r="M238" i="25"/>
  <c r="M313" i="25"/>
  <c r="N590" i="25"/>
  <c r="M552" i="25"/>
  <c r="M555" i="25"/>
  <c r="N485" i="25"/>
  <c r="N475" i="25"/>
  <c r="N407" i="25"/>
  <c r="M431" i="25"/>
  <c r="N479" i="25"/>
  <c r="M424" i="25"/>
  <c r="N386" i="25"/>
  <c r="N352" i="25"/>
  <c r="N288" i="25"/>
  <c r="N391" i="25"/>
  <c r="N307" i="25"/>
  <c r="N265" i="25"/>
  <c r="M315" i="25"/>
  <c r="M343" i="25"/>
  <c r="M319" i="25"/>
  <c r="M295" i="25"/>
  <c r="M274" i="25"/>
  <c r="N257" i="25"/>
  <c r="M235" i="25"/>
  <c r="M216" i="25"/>
  <c r="M200" i="25"/>
  <c r="M184" i="25"/>
  <c r="M168" i="25"/>
  <c r="M152" i="25"/>
  <c r="M136" i="25"/>
  <c r="M120" i="25"/>
  <c r="N268" i="25"/>
  <c r="N242" i="25"/>
  <c r="N223" i="25"/>
  <c r="N272" i="25"/>
  <c r="N246" i="25"/>
  <c r="N227" i="25"/>
  <c r="N210" i="25"/>
  <c r="N194" i="25"/>
  <c r="N178" i="25"/>
  <c r="N162" i="25"/>
  <c r="M314" i="25"/>
  <c r="M283" i="25"/>
  <c r="M265" i="25"/>
  <c r="M272" i="25"/>
  <c r="M254" i="25"/>
  <c r="M236" i="25"/>
  <c r="M590" i="25"/>
  <c r="M536" i="25"/>
  <c r="N525" i="25"/>
  <c r="N520" i="25"/>
  <c r="N457" i="25"/>
  <c r="M495" i="25"/>
  <c r="M479" i="25"/>
  <c r="N430" i="25"/>
  <c r="M407" i="25"/>
  <c r="M414" i="25"/>
  <c r="N338" i="25"/>
  <c r="M405" i="25"/>
  <c r="M385" i="25"/>
  <c r="N385" i="25"/>
  <c r="M301" i="25"/>
  <c r="M379" i="25"/>
  <c r="M346" i="25"/>
  <c r="N359" i="25"/>
  <c r="M342" i="25"/>
  <c r="M318" i="25"/>
  <c r="M294" i="25"/>
  <c r="N311" i="25"/>
  <c r="M384" i="25"/>
  <c r="M300" i="25"/>
  <c r="M378" i="25"/>
  <c r="N313" i="25"/>
  <c r="M282" i="25"/>
  <c r="N293" i="25"/>
  <c r="M270" i="25"/>
  <c r="M252" i="25"/>
  <c r="M587" i="25"/>
  <c r="M560" i="25"/>
  <c r="M545" i="25"/>
  <c r="N515" i="25"/>
  <c r="N455" i="25"/>
  <c r="M487" i="25"/>
  <c r="N477" i="25"/>
  <c r="N428" i="25"/>
  <c r="N406" i="25"/>
  <c r="M413" i="25"/>
  <c r="N336" i="25"/>
  <c r="N404" i="25"/>
  <c r="N371" i="25"/>
  <c r="M339" i="25"/>
  <c r="N442" i="25"/>
  <c r="M356" i="25"/>
  <c r="N341" i="25"/>
  <c r="N317" i="25"/>
  <c r="M232" i="25"/>
  <c r="M281" i="25"/>
  <c r="M251" i="25"/>
  <c r="N228" i="25"/>
  <c r="M212" i="25"/>
  <c r="M196" i="25"/>
  <c r="M180" i="25"/>
  <c r="M164" i="25"/>
  <c r="M148" i="25"/>
  <c r="M132" i="25"/>
  <c r="M336" i="25"/>
  <c r="N258" i="25"/>
  <c r="N239" i="25"/>
  <c r="M321" i="25"/>
  <c r="N262" i="25"/>
  <c r="N243" i="25"/>
  <c r="N222" i="25"/>
  <c r="N206" i="25"/>
  <c r="N190" i="25"/>
  <c r="N174" i="25"/>
  <c r="N158" i="25"/>
  <c r="N142" i="25"/>
  <c r="N126" i="25"/>
  <c r="N110" i="25"/>
  <c r="N94" i="25"/>
  <c r="N78" i="25"/>
  <c r="N46" i="25"/>
  <c r="N30" i="25"/>
  <c r="M221" i="25"/>
  <c r="M191" i="25"/>
  <c r="M159" i="25"/>
  <c r="M127" i="25"/>
  <c r="M99" i="25"/>
  <c r="N81" i="25"/>
  <c r="M58" i="25"/>
  <c r="M223" i="25"/>
  <c r="N189" i="25"/>
  <c r="N157" i="25"/>
  <c r="N125" i="25"/>
  <c r="N103" i="25"/>
  <c r="M80" i="25"/>
  <c r="M57" i="25"/>
  <c r="M328" i="25"/>
  <c r="N211" i="25"/>
  <c r="N179" i="25"/>
  <c r="N147" i="25"/>
  <c r="M116" i="25"/>
  <c r="M93" i="25"/>
  <c r="N75" i="25"/>
  <c r="M52" i="25"/>
  <c r="M29" i="25"/>
  <c r="N14" i="25"/>
  <c r="N33" i="25"/>
  <c r="M161" i="25"/>
  <c r="N61" i="25"/>
  <c r="M341" i="25"/>
  <c r="N377" i="25"/>
  <c r="M311" i="25"/>
  <c r="M287" i="25"/>
  <c r="M268" i="25"/>
  <c r="N582" i="25"/>
  <c r="N543" i="25"/>
  <c r="M508" i="25"/>
  <c r="N502" i="25"/>
  <c r="N441" i="25"/>
  <c r="N465" i="25"/>
  <c r="M458" i="25"/>
  <c r="M410" i="25"/>
  <c r="M427" i="25"/>
  <c r="M390" i="25"/>
  <c r="N322" i="25"/>
  <c r="M381" i="25"/>
  <c r="M371" i="25"/>
  <c r="M338" i="25"/>
  <c r="N305" i="25"/>
  <c r="M277" i="25"/>
  <c r="M395" i="25"/>
  <c r="N355" i="25"/>
  <c r="M335" i="25"/>
  <c r="M248" i="25"/>
  <c r="M230" i="25"/>
  <c r="M280" i="25"/>
  <c r="N249" i="25"/>
  <c r="M227" i="25"/>
  <c r="M210" i="25"/>
  <c r="M194" i="25"/>
  <c r="M178" i="25"/>
  <c r="M162" i="25"/>
  <c r="N291" i="25"/>
  <c r="N337" i="25"/>
  <c r="M334" i="25"/>
  <c r="M310" i="25"/>
  <c r="M286" i="25"/>
  <c r="M563" i="25"/>
  <c r="M564" i="25"/>
  <c r="M492" i="25"/>
  <c r="N500" i="25"/>
  <c r="N439" i="25"/>
  <c r="M463" i="25"/>
  <c r="M456" i="25"/>
  <c r="M409" i="25"/>
  <c r="N426" i="25"/>
  <c r="N389" i="25"/>
  <c r="N320" i="25"/>
  <c r="M380" i="25"/>
  <c r="M369" i="25"/>
  <c r="M325" i="25"/>
  <c r="M284" i="25"/>
  <c r="M362" i="25"/>
  <c r="M298" i="25"/>
  <c r="M275" i="25"/>
  <c r="M394" i="25"/>
  <c r="M352" i="25"/>
  <c r="M264" i="25"/>
  <c r="M246" i="25"/>
  <c r="M228" i="25"/>
  <c r="N279" i="25"/>
  <c r="N244" i="25"/>
  <c r="M224" i="25"/>
  <c r="M208" i="25"/>
  <c r="M192" i="25"/>
  <c r="M176" i="25"/>
  <c r="M160" i="25"/>
  <c r="M144" i="25"/>
  <c r="M128" i="25"/>
  <c r="M305" i="25"/>
  <c r="N255" i="25"/>
  <c r="M233" i="25"/>
  <c r="N319" i="25"/>
  <c r="N259" i="25"/>
  <c r="M237" i="25"/>
  <c r="N218" i="25"/>
  <c r="N202" i="25"/>
  <c r="N186" i="25"/>
  <c r="N170" i="25"/>
  <c r="N154" i="25"/>
  <c r="N580" i="25"/>
  <c r="N546" i="25"/>
  <c r="M476" i="25"/>
  <c r="N486" i="25"/>
  <c r="N425" i="25"/>
  <c r="M449" i="25"/>
  <c r="M442" i="25"/>
  <c r="M483" i="25"/>
  <c r="M404" i="25"/>
  <c r="N370" i="25"/>
  <c r="N306" i="25"/>
  <c r="N450" i="25"/>
  <c r="M324" i="25"/>
  <c r="N283" i="25"/>
  <c r="M358" i="25"/>
  <c r="N297" i="25"/>
  <c r="M273" i="25"/>
  <c r="N393" i="25"/>
  <c r="M279" i="25"/>
  <c r="M262" i="25"/>
  <c r="M244" i="25"/>
  <c r="M226" i="25"/>
  <c r="M243" i="25"/>
  <c r="M222" i="25"/>
  <c r="M206" i="25"/>
  <c r="M190" i="25"/>
  <c r="M174" i="25"/>
  <c r="M158" i="25"/>
  <c r="M142" i="25"/>
  <c r="M126" i="25"/>
  <c r="M304" i="25"/>
  <c r="M331" i="25"/>
  <c r="M214" i="25"/>
  <c r="M150" i="25"/>
  <c r="M337" i="25"/>
  <c r="N220" i="25"/>
  <c r="N156" i="25"/>
  <c r="N100" i="25"/>
  <c r="N64" i="25"/>
  <c r="M82" i="25"/>
  <c r="M101" i="25"/>
  <c r="M55" i="25"/>
  <c r="M18" i="25"/>
  <c r="N136" i="25"/>
  <c r="M296" i="25"/>
  <c r="M146" i="25"/>
  <c r="M241" i="25"/>
  <c r="N98" i="25"/>
  <c r="N137" i="25"/>
  <c r="N93" i="25"/>
  <c r="M157" i="25"/>
  <c r="N278" i="25"/>
  <c r="M56" i="25"/>
  <c r="M31" i="25"/>
  <c r="N172" i="25"/>
  <c r="M167" i="25"/>
  <c r="M104" i="25"/>
  <c r="N27" i="25"/>
  <c r="N245" i="25"/>
  <c r="N274" i="25"/>
  <c r="N165" i="25"/>
  <c r="N92" i="25"/>
  <c r="N73" i="25"/>
  <c r="M68" i="25"/>
  <c r="M182" i="25"/>
  <c r="N36" i="25"/>
  <c r="N256" i="25"/>
  <c r="N221" i="25"/>
  <c r="N16" i="25"/>
  <c r="M153" i="25"/>
  <c r="N180" i="25"/>
  <c r="M83" i="25"/>
  <c r="M19" i="25"/>
  <c r="N224" i="25"/>
  <c r="N135" i="25"/>
  <c r="M33" i="25"/>
  <c r="M62" i="25"/>
  <c r="N120" i="25"/>
  <c r="N410" i="25"/>
  <c r="N62" i="25"/>
  <c r="C4" i="25"/>
  <c r="F78" i="1"/>
  <c r="K628" i="25"/>
  <c r="L150" i="25"/>
  <c r="L387" i="25"/>
  <c r="K18" i="25"/>
  <c r="K220" i="25"/>
  <c r="K387" i="25"/>
  <c r="K467" i="25"/>
  <c r="L512" i="25"/>
  <c r="K488" i="25"/>
  <c r="L167" i="25"/>
  <c r="K134" i="25"/>
  <c r="K196" i="25"/>
  <c r="K94" i="25"/>
  <c r="K352" i="25"/>
  <c r="L55" i="25"/>
  <c r="K199" i="25"/>
  <c r="L109" i="25"/>
  <c r="L427" i="25"/>
  <c r="L310" i="25"/>
  <c r="K219" i="25"/>
  <c r="K211" i="25"/>
  <c r="K271" i="25"/>
  <c r="L62" i="25"/>
  <c r="L250" i="25"/>
  <c r="L282" i="25"/>
  <c r="L609" i="25"/>
  <c r="K242" i="25"/>
  <c r="L257" i="25"/>
  <c r="L362" i="25"/>
  <c r="L229" i="25"/>
  <c r="K499" i="25"/>
  <c r="L413" i="25"/>
  <c r="L589" i="25"/>
  <c r="L216" i="25"/>
  <c r="K565" i="25"/>
  <c r="L232" i="25"/>
  <c r="K150" i="25"/>
  <c r="L271" i="25"/>
  <c r="L108" i="25"/>
  <c r="L301" i="25"/>
  <c r="K41" i="25"/>
  <c r="L385" i="25"/>
  <c r="L477" i="25"/>
  <c r="L523" i="25"/>
  <c r="K198" i="25"/>
  <c r="K260" i="25"/>
  <c r="L500" i="25"/>
  <c r="K321" i="25"/>
  <c r="K20" i="25"/>
  <c r="L266" i="25"/>
  <c r="L49" i="25"/>
  <c r="L525" i="25"/>
  <c r="K560" i="25"/>
  <c r="L21" i="25"/>
  <c r="L307" i="25"/>
  <c r="L77" i="25"/>
  <c r="L389" i="25"/>
  <c r="AA119" i="17"/>
  <c r="AB328" i="17"/>
  <c r="AA95" i="17"/>
  <c r="AB43" i="17"/>
  <c r="AA180" i="17"/>
  <c r="J67" i="1"/>
  <c r="C5" i="25"/>
  <c r="F77" i="1"/>
  <c r="A629" i="25"/>
  <c r="AA234" i="17"/>
  <c r="C7" i="17"/>
  <c r="M474" i="17" s="1"/>
  <c r="A627" i="25"/>
  <c r="N627" i="25" s="1"/>
  <c r="A627" i="17"/>
  <c r="E627" i="17" s="1"/>
  <c r="A629" i="17"/>
  <c r="AA168" i="17"/>
  <c r="AA393" i="17"/>
  <c r="AB592" i="17"/>
  <c r="AA245" i="17"/>
  <c r="AB296" i="17"/>
  <c r="AB413" i="17"/>
  <c r="AA302" i="17"/>
  <c r="AB209" i="17"/>
  <c r="AB174" i="17"/>
  <c r="AB454" i="17"/>
  <c r="AA307" i="17"/>
  <c r="AA243" i="17"/>
  <c r="AA556" i="17"/>
  <c r="AB258" i="17"/>
  <c r="AB506" i="17"/>
  <c r="AA214" i="17"/>
  <c r="C5" i="17"/>
  <c r="I622" i="17" s="1"/>
  <c r="F74" i="1"/>
  <c r="E67" i="1"/>
  <c r="F75" i="1"/>
  <c r="C4" i="17"/>
  <c r="AA521" i="17"/>
  <c r="AB406" i="17"/>
  <c r="AA144" i="17"/>
  <c r="AA601" i="17"/>
  <c r="AB448" i="17"/>
  <c r="AA587" i="17"/>
  <c r="AA255" i="17"/>
  <c r="AA358" i="17"/>
  <c r="AA376" i="17"/>
  <c r="AA45" i="17"/>
  <c r="AB275" i="17"/>
  <c r="AB274" i="17"/>
  <c r="AA91" i="17"/>
  <c r="AA439" i="17"/>
  <c r="AA59" i="17"/>
  <c r="AA444" i="17"/>
  <c r="AA355" i="17"/>
  <c r="AB623" i="17"/>
  <c r="AB480" i="17"/>
  <c r="AA328" i="17"/>
  <c r="AB597" i="17"/>
  <c r="AB541" i="17"/>
  <c r="AB459" i="17"/>
  <c r="AA189" i="17"/>
  <c r="AB430" i="17"/>
  <c r="AB466" i="17"/>
  <c r="AA159" i="17"/>
  <c r="AA374" i="17"/>
  <c r="AB602" i="17"/>
  <c r="AA610" i="17"/>
  <c r="AB144" i="17"/>
  <c r="AB294" i="17"/>
  <c r="AB461" i="17"/>
  <c r="AA50" i="17"/>
  <c r="AB359" i="17"/>
  <c r="AA356" i="17"/>
  <c r="AA321" i="17"/>
  <c r="AA304" i="17"/>
  <c r="AA207" i="17"/>
  <c r="AB561" i="17"/>
  <c r="AB315" i="17"/>
  <c r="AA21" i="17"/>
  <c r="AA452" i="17"/>
  <c r="AB372" i="17"/>
  <c r="AA121" i="17"/>
  <c r="AB32" i="17"/>
  <c r="AA481" i="17"/>
  <c r="AB212" i="17"/>
  <c r="AB497" i="17"/>
  <c r="AB340" i="17"/>
  <c r="AB230" i="17"/>
  <c r="AA486" i="17"/>
  <c r="AA58" i="17"/>
  <c r="AB36" i="17"/>
  <c r="AB528" i="17"/>
  <c r="AA202" i="17"/>
  <c r="AB126" i="17"/>
  <c r="AA267" i="17"/>
  <c r="AA34" i="17"/>
  <c r="AA221" i="17"/>
  <c r="AB180" i="17"/>
  <c r="AA442" i="17"/>
  <c r="AA470" i="17"/>
  <c r="AA560" i="17"/>
  <c r="AB607" i="17"/>
  <c r="AA518" i="17"/>
  <c r="AA585" i="17"/>
  <c r="AB516" i="17"/>
  <c r="AB115" i="17"/>
  <c r="AB247" i="17"/>
  <c r="AB236" i="17"/>
  <c r="AB489" i="17"/>
  <c r="AA140" i="17"/>
  <c r="AB446" i="17"/>
  <c r="AB148" i="17"/>
  <c r="AA177" i="17"/>
  <c r="AA270" i="17"/>
  <c r="AA60" i="25"/>
  <c r="AA321" i="25"/>
  <c r="AA150" i="25"/>
  <c r="AB196" i="25"/>
  <c r="AB188" i="25"/>
  <c r="AB27" i="25"/>
  <c r="AA208" i="25"/>
  <c r="AB247" i="25"/>
  <c r="AA62" i="25"/>
  <c r="AA70" i="25"/>
  <c r="AA45" i="25"/>
  <c r="AB238" i="25"/>
  <c r="AA16" i="25"/>
  <c r="AB166" i="25"/>
  <c r="AA245" i="25"/>
  <c r="AB383" i="25"/>
  <c r="AA575" i="25"/>
  <c r="AB51" i="25"/>
  <c r="AB324" i="25"/>
  <c r="AA416" i="25"/>
  <c r="AB540" i="25"/>
  <c r="AB85" i="25"/>
  <c r="AA361" i="25"/>
  <c r="AA418" i="25"/>
  <c r="AA529" i="25"/>
  <c r="AA114" i="25"/>
  <c r="AB318" i="25"/>
  <c r="AA390" i="25"/>
  <c r="AA516" i="25"/>
  <c r="AB57" i="25"/>
  <c r="AB332" i="25"/>
  <c r="AA424" i="25"/>
  <c r="AB546" i="25"/>
  <c r="AB155" i="25"/>
  <c r="AA323" i="25"/>
  <c r="AA480" i="25"/>
  <c r="AB577" i="25"/>
  <c r="AB261" i="25"/>
  <c r="AB338" i="25"/>
  <c r="AB418" i="25"/>
  <c r="AB602" i="25"/>
  <c r="AA145" i="25"/>
  <c r="AB394" i="25"/>
  <c r="AB513" i="25"/>
  <c r="AB134" i="25"/>
  <c r="AA229" i="25"/>
  <c r="AA405" i="25"/>
  <c r="AB526" i="25"/>
  <c r="AB99" i="25"/>
  <c r="AB403" i="25"/>
  <c r="AB459" i="25"/>
  <c r="AA543" i="25"/>
  <c r="AB197" i="25"/>
  <c r="AB266" i="25"/>
  <c r="AA458" i="25"/>
  <c r="AA584" i="25"/>
  <c r="AA281" i="25"/>
  <c r="AA379" i="25"/>
  <c r="AB428" i="25"/>
  <c r="AB609" i="25"/>
  <c r="AB105" i="25"/>
  <c r="AA492" i="25"/>
  <c r="AB472" i="25"/>
  <c r="AA549" i="25"/>
  <c r="AB171" i="25"/>
  <c r="AA347" i="25"/>
  <c r="AA432" i="25"/>
  <c r="AA564" i="25"/>
  <c r="AA313" i="25"/>
  <c r="AA348" i="25"/>
  <c r="AB434" i="25"/>
  <c r="AB599" i="25"/>
  <c r="AA129" i="25"/>
  <c r="AA373" i="25"/>
  <c r="AB497" i="25"/>
  <c r="AB305" i="17"/>
  <c r="AB154" i="17"/>
  <c r="AB184" i="17"/>
  <c r="AA76" i="17"/>
  <c r="AA287" i="17"/>
  <c r="AB38" i="17"/>
  <c r="AB535" i="17"/>
  <c r="AB91" i="17"/>
  <c r="AA379" i="17"/>
  <c r="AA339" i="17"/>
  <c r="AB185" i="17"/>
  <c r="AB213" i="17"/>
  <c r="AA361" i="17"/>
  <c r="AA467" i="17"/>
  <c r="AA496" i="17"/>
  <c r="AA143" i="17"/>
  <c r="AA421" i="17"/>
  <c r="AB289" i="17"/>
  <c r="AA131" i="17"/>
  <c r="AB260" i="17"/>
  <c r="AA483" i="17"/>
  <c r="AA327" i="17"/>
  <c r="AA340" i="17"/>
  <c r="AB494" i="17"/>
  <c r="AB50" i="17"/>
  <c r="AA326" i="17"/>
  <c r="AB34" i="17"/>
  <c r="AB94" i="17"/>
  <c r="AB368" i="17"/>
  <c r="AB173" i="17"/>
  <c r="AB210" i="17"/>
  <c r="AB310" i="17"/>
  <c r="AA105" i="17"/>
  <c r="AA513" i="17"/>
  <c r="AB468" i="17"/>
  <c r="AB401" i="17"/>
  <c r="AB584" i="17"/>
  <c r="AA520" i="17"/>
  <c r="AA154" i="17"/>
  <c r="AA572" i="17"/>
  <c r="AA438" i="17"/>
  <c r="AB284" i="17"/>
  <c r="AA308" i="17"/>
  <c r="AA19" i="17"/>
  <c r="AB352" i="17"/>
  <c r="AB462" i="17"/>
  <c r="AA124" i="17"/>
  <c r="AA116" i="17"/>
  <c r="AB320" i="17"/>
  <c r="AA284" i="17"/>
  <c r="AB285" i="17"/>
  <c r="AA215" i="17"/>
  <c r="AB20" i="17"/>
  <c r="AA15" i="17"/>
  <c r="AA303" i="17"/>
  <c r="AB106" i="17"/>
  <c r="AB124" i="17"/>
  <c r="AA353" i="17"/>
  <c r="AB380" i="17"/>
  <c r="AB547" i="17"/>
  <c r="AB499" i="17"/>
  <c r="AB437" i="17"/>
  <c r="AA522" i="17"/>
  <c r="AA17" i="17"/>
  <c r="AB75" i="17"/>
  <c r="AB419" i="17"/>
  <c r="AB525" i="17"/>
  <c r="AA320" i="17"/>
  <c r="AA315" i="17"/>
  <c r="AB361" i="17"/>
  <c r="AB358" i="17"/>
  <c r="AB179" i="17"/>
  <c r="AA431" i="17"/>
  <c r="AA333" i="17"/>
  <c r="AA108" i="25"/>
  <c r="AA81" i="25"/>
  <c r="AB628" i="25"/>
  <c r="AA22" i="25"/>
  <c r="AB36" i="25"/>
  <c r="AA77" i="25"/>
  <c r="AB54" i="25"/>
  <c r="AA28" i="25"/>
  <c r="AA71" i="25"/>
  <c r="AB100" i="25"/>
  <c r="AB98" i="25"/>
  <c r="AA72" i="25"/>
  <c r="AB108" i="25"/>
  <c r="AB255" i="25"/>
  <c r="AA277" i="25"/>
  <c r="AA419" i="25"/>
  <c r="AA544" i="25"/>
  <c r="AB83" i="25"/>
  <c r="AB358" i="25"/>
  <c r="AA417" i="25"/>
  <c r="AA527" i="25"/>
  <c r="AB117" i="25"/>
  <c r="AA276" i="25"/>
  <c r="AA437" i="25"/>
  <c r="AA563" i="25"/>
  <c r="AB178" i="25"/>
  <c r="AA251" i="25"/>
  <c r="AB389" i="25"/>
  <c r="AB530" i="25"/>
  <c r="AB89" i="25"/>
  <c r="AB366" i="25"/>
  <c r="AA425" i="25"/>
  <c r="AA533" i="25"/>
  <c r="AB187" i="25"/>
  <c r="AA363" i="25"/>
  <c r="AA448" i="25"/>
  <c r="AB584" i="25"/>
  <c r="AB233" i="25"/>
  <c r="AA364" i="25"/>
  <c r="AB450" i="25"/>
  <c r="AA606" i="25"/>
  <c r="AA177" i="25"/>
  <c r="AB297" i="25"/>
  <c r="AB500" i="25"/>
  <c r="AB198" i="25"/>
  <c r="AA261" i="25"/>
  <c r="AB399" i="25"/>
  <c r="AA554" i="25"/>
  <c r="AB131" i="25"/>
  <c r="AA291" i="25"/>
  <c r="AA451" i="25"/>
  <c r="AB574" i="25"/>
  <c r="AB229" i="25"/>
  <c r="AB306" i="25"/>
  <c r="AB523" i="25"/>
  <c r="AB585" i="25"/>
  <c r="AB248" i="25"/>
  <c r="AA374" i="25"/>
  <c r="AB460" i="25"/>
  <c r="AA613" i="25"/>
  <c r="AB137" i="25"/>
  <c r="AA299" i="25"/>
  <c r="AA457" i="25"/>
  <c r="AA579" i="25"/>
  <c r="AB203" i="25"/>
  <c r="AB272" i="25"/>
  <c r="AA464" i="25"/>
  <c r="AA590" i="25"/>
  <c r="AB256" i="25"/>
  <c r="AB382" i="25"/>
  <c r="AB468" i="25"/>
  <c r="O622" i="25"/>
  <c r="P622" i="25"/>
  <c r="C622" i="25"/>
  <c r="F622" i="25"/>
  <c r="D622" i="25"/>
  <c r="E622" i="25"/>
  <c r="N622" i="25"/>
  <c r="M622" i="25"/>
  <c r="AA161" i="25"/>
  <c r="AB281" i="25"/>
  <c r="AB484" i="25"/>
  <c r="AB256" i="17"/>
  <c r="AA607" i="17"/>
  <c r="AA575" i="17"/>
  <c r="AA261" i="17"/>
  <c r="AB147" i="17"/>
  <c r="AA499" i="17"/>
  <c r="F622" i="17"/>
  <c r="E622" i="17"/>
  <c r="P622" i="17"/>
  <c r="O622" i="17"/>
  <c r="D622" i="17"/>
  <c r="C622" i="17"/>
  <c r="AA90" i="17"/>
  <c r="AA224" i="17"/>
  <c r="AA364" i="17"/>
  <c r="AA529" i="17"/>
  <c r="AA573" i="17"/>
  <c r="AA505" i="17"/>
  <c r="AA451" i="17"/>
  <c r="AB514" i="17"/>
  <c r="AB251" i="17"/>
  <c r="AA137" i="17"/>
  <c r="AA120" i="17"/>
  <c r="AB510" i="17"/>
  <c r="AA597" i="17"/>
  <c r="AB107" i="17"/>
  <c r="AB160" i="17"/>
  <c r="AA173" i="17"/>
  <c r="AA570" i="17"/>
  <c r="AA491" i="17"/>
  <c r="AB420" i="17"/>
  <c r="AA464" i="17"/>
  <c r="AB231" i="17"/>
  <c r="AB29" i="17"/>
  <c r="AB539" i="17"/>
  <c r="AA135" i="17"/>
  <c r="AB458" i="17"/>
  <c r="AA314" i="17"/>
  <c r="AB304" i="17"/>
  <c r="AB242" i="17"/>
  <c r="AB491" i="17"/>
  <c r="AA29" i="17"/>
  <c r="AA559" i="17"/>
  <c r="AB214" i="17"/>
  <c r="AB587" i="17"/>
  <c r="AB33" i="17"/>
  <c r="AB555" i="17"/>
  <c r="AA402" i="17"/>
  <c r="AA148" i="17"/>
  <c r="AA247" i="17"/>
  <c r="AB522" i="17"/>
  <c r="AA146" i="17"/>
  <c r="AA193" i="17"/>
  <c r="AA456" i="17"/>
  <c r="AB164" i="17"/>
  <c r="AB513" i="17"/>
  <c r="AA133" i="17"/>
  <c r="AB52" i="17"/>
  <c r="AB269" i="17"/>
  <c r="AB383" i="17"/>
  <c r="AB570" i="17"/>
  <c r="AA558" i="17"/>
  <c r="AA336" i="17"/>
  <c r="AB475" i="17"/>
  <c r="AB590" i="17"/>
  <c r="AB176" i="17"/>
  <c r="AB599" i="17"/>
  <c r="AA233" i="17"/>
  <c r="AA198" i="17"/>
  <c r="AA150" i="17"/>
  <c r="AA197" i="17"/>
  <c r="AB221" i="17"/>
  <c r="AB441" i="17"/>
  <c r="AA112" i="17"/>
  <c r="AB377" i="17"/>
  <c r="AB336" i="17"/>
  <c r="AB248" i="17"/>
  <c r="AB153" i="17"/>
  <c r="AA552" i="17"/>
  <c r="AB189" i="17"/>
  <c r="AB626" i="25"/>
  <c r="AA172" i="25"/>
  <c r="AA146" i="25"/>
  <c r="AA19" i="25"/>
  <c r="AB172" i="25"/>
  <c r="AB334" i="25"/>
  <c r="AA128" i="25"/>
  <c r="AB102" i="25"/>
  <c r="AB44" i="25"/>
  <c r="AA47" i="25"/>
  <c r="AA43" i="25"/>
  <c r="AA156" i="25"/>
  <c r="AA122" i="25"/>
  <c r="AB192" i="25"/>
  <c r="AB49" i="25"/>
  <c r="AA319" i="25"/>
  <c r="AA415" i="25"/>
  <c r="AA577" i="25"/>
  <c r="AB115" i="25"/>
  <c r="AA274" i="25"/>
  <c r="AA435" i="25"/>
  <c r="AB562" i="25"/>
  <c r="AB149" i="25"/>
  <c r="AA315" i="25"/>
  <c r="AA472" i="25"/>
  <c r="AB571" i="25"/>
  <c r="AB275" i="25"/>
  <c r="AA286" i="25"/>
  <c r="AA427" i="25"/>
  <c r="AA559" i="25"/>
  <c r="AB121" i="25"/>
  <c r="AB280" i="25"/>
  <c r="AA441" i="25"/>
  <c r="AB592" i="25"/>
  <c r="AB219" i="25"/>
  <c r="AA292" i="25"/>
  <c r="AA490" i="25"/>
  <c r="AA589" i="25"/>
  <c r="AB310" i="25"/>
  <c r="AA413" i="25"/>
  <c r="AA496" i="25"/>
  <c r="AA218" i="25"/>
  <c r="AA209" i="25"/>
  <c r="AB329" i="25"/>
  <c r="AA473" i="25"/>
  <c r="AB33" i="25"/>
  <c r="AB300" i="25"/>
  <c r="AB473" i="25"/>
  <c r="AB549" i="25"/>
  <c r="AB163" i="25"/>
  <c r="AB336" i="25"/>
  <c r="AA510" i="25"/>
  <c r="AB590" i="25"/>
  <c r="AA280" i="25"/>
  <c r="AA378" i="25"/>
  <c r="AB426" i="25"/>
  <c r="AA608" i="25"/>
  <c r="AA121" i="25"/>
  <c r="AA365" i="25"/>
  <c r="AB489" i="25"/>
  <c r="AA29" i="25"/>
  <c r="AB169" i="25"/>
  <c r="AB344" i="25"/>
  <c r="AA430" i="25"/>
  <c r="AA562" i="25"/>
  <c r="AB237" i="25"/>
  <c r="AB314" i="25"/>
  <c r="AB536" i="25"/>
  <c r="AB591" i="25"/>
  <c r="AA127" i="25"/>
  <c r="AA371" i="25"/>
  <c r="AB495" i="25"/>
  <c r="AA186" i="25"/>
  <c r="AA193" i="25"/>
  <c r="AB313" i="25"/>
  <c r="AA519" i="25"/>
  <c r="AA455" i="17"/>
  <c r="AB322" i="17"/>
  <c r="AA118" i="17"/>
  <c r="AA87" i="17"/>
  <c r="AB151" i="17"/>
  <c r="AB89" i="17"/>
  <c r="AB159" i="17"/>
  <c r="AA89" i="17"/>
  <c r="AB302" i="17"/>
  <c r="AA412" i="17"/>
  <c r="AB127" i="17"/>
  <c r="AA69" i="17"/>
  <c r="AB467" i="17"/>
  <c r="AA149" i="17"/>
  <c r="AB566" i="17"/>
  <c r="AB332" i="17"/>
  <c r="AA331" i="17"/>
  <c r="AB161" i="17"/>
  <c r="AB576" i="17"/>
  <c r="AB354" i="17"/>
  <c r="AA563" i="17"/>
  <c r="AA161" i="17"/>
  <c r="AB225" i="17"/>
  <c r="AB440" i="17"/>
  <c r="AB603" i="17"/>
  <c r="AB53" i="17"/>
  <c r="AB199" i="17"/>
  <c r="AA181" i="17"/>
  <c r="AA251" i="17"/>
  <c r="AB138" i="17"/>
  <c r="AA596" i="17"/>
  <c r="AB58" i="17"/>
  <c r="AB611" i="17"/>
  <c r="AB509" i="17"/>
  <c r="AB187" i="17"/>
  <c r="AB45" i="17"/>
  <c r="AB427" i="17"/>
  <c r="AA608" i="17"/>
  <c r="AB524" i="17"/>
  <c r="AA66" i="17"/>
  <c r="AA396" i="17"/>
  <c r="AA213" i="17"/>
  <c r="AA377" i="17"/>
  <c r="AA490" i="17"/>
  <c r="AA384" i="17"/>
  <c r="AA405" i="17"/>
  <c r="AB378" i="17"/>
  <c r="AA129" i="17"/>
  <c r="AA175" i="17"/>
  <c r="AB26" i="17"/>
  <c r="AA403" i="17"/>
  <c r="AA28" i="17"/>
  <c r="AB84" i="17"/>
  <c r="AB355" i="17"/>
  <c r="AA68" i="17"/>
  <c r="AA368" i="17"/>
  <c r="AA46" i="17"/>
  <c r="AA231" i="17"/>
  <c r="AB543" i="17"/>
  <c r="AB339" i="17"/>
  <c r="AA128" i="17"/>
  <c r="AA211" i="17"/>
  <c r="AA49" i="17"/>
  <c r="AB234" i="17"/>
  <c r="AA453" i="17"/>
  <c r="AB573" i="17"/>
  <c r="AB588" i="17"/>
  <c r="AA285" i="17"/>
  <c r="AB558" i="17"/>
  <c r="AB136" i="17"/>
  <c r="AA208" i="17"/>
  <c r="AB205" i="17"/>
  <c r="AA232" i="17"/>
  <c r="AB403" i="17"/>
  <c r="AB249" i="17"/>
  <c r="AA626" i="25"/>
  <c r="E636" i="25" s="1"/>
  <c r="AB302" i="25"/>
  <c r="AA623" i="25"/>
  <c r="E633" i="25" s="1"/>
  <c r="AB180" i="25"/>
  <c r="AA30" i="25"/>
  <c r="AB25" i="25"/>
  <c r="AA200" i="25"/>
  <c r="AA182" i="25"/>
  <c r="AA21" i="25"/>
  <c r="AA38" i="25"/>
  <c r="AA44" i="25"/>
  <c r="AA232" i="25"/>
  <c r="AA14" i="25"/>
  <c r="AA110" i="25"/>
  <c r="AB81" i="25"/>
  <c r="AA357" i="25"/>
  <c r="AB415" i="25"/>
  <c r="AA581" i="25"/>
  <c r="AB147" i="25"/>
  <c r="AA314" i="25"/>
  <c r="AB471" i="25"/>
  <c r="AB569" i="25"/>
  <c r="AB181" i="25"/>
  <c r="AB356" i="25"/>
  <c r="AA442" i="25"/>
  <c r="AA574" i="25"/>
  <c r="AB55" i="25"/>
  <c r="AA327" i="25"/>
  <c r="AA423" i="25"/>
  <c r="AB544" i="25"/>
  <c r="AB153" i="25"/>
  <c r="AA322" i="25"/>
  <c r="AB479" i="25"/>
  <c r="AB575" i="25"/>
  <c r="AB260" i="25"/>
  <c r="AA333" i="25"/>
  <c r="AB416" i="25"/>
  <c r="AB600" i="25"/>
  <c r="AA143" i="25"/>
  <c r="AA389" i="25"/>
  <c r="AB511" i="25"/>
  <c r="AA82" i="25"/>
  <c r="AB243" i="25"/>
  <c r="AB361" i="25"/>
  <c r="AA505" i="25"/>
  <c r="AB65" i="25"/>
  <c r="AA342" i="25"/>
  <c r="AB453" i="25"/>
  <c r="AB554" i="25"/>
  <c r="AB195" i="25"/>
  <c r="AA421" i="25"/>
  <c r="AA456" i="25"/>
  <c r="AA582" i="25"/>
  <c r="AA242" i="25"/>
  <c r="AA372" i="25"/>
  <c r="AB458" i="25"/>
  <c r="AA611" i="25"/>
  <c r="AA153" i="25"/>
  <c r="AB431" i="25"/>
  <c r="AB522" i="25"/>
  <c r="AB74" i="25"/>
  <c r="AB201" i="25"/>
  <c r="AB270" i="25"/>
  <c r="AA462" i="25"/>
  <c r="AA588" i="25"/>
  <c r="AA312" i="25"/>
  <c r="AA346" i="25"/>
  <c r="AB432" i="25"/>
  <c r="AB597" i="25"/>
  <c r="AA159" i="25"/>
  <c r="AB279" i="25"/>
  <c r="AA556" i="25"/>
  <c r="AA59" i="25"/>
  <c r="AA225" i="25"/>
  <c r="AB345" i="25"/>
  <c r="AA489" i="25"/>
  <c r="AA20" i="17"/>
  <c r="AA117" i="17"/>
  <c r="AA249" i="17"/>
  <c r="AA160" i="17"/>
  <c r="AA407" i="17"/>
  <c r="AB301" i="17"/>
  <c r="AB47" i="17"/>
  <c r="AA272" i="17"/>
  <c r="AB533" i="17"/>
  <c r="AA494" i="17"/>
  <c r="AA565" i="17"/>
  <c r="AA557" i="17"/>
  <c r="AB171" i="17"/>
  <c r="AA330" i="17"/>
  <c r="AB426" i="17"/>
  <c r="AB321" i="17"/>
  <c r="AB224" i="17"/>
  <c r="AA237" i="17"/>
  <c r="AA343" i="17"/>
  <c r="AB404" i="17"/>
  <c r="AB270" i="17"/>
  <c r="AA372" i="17"/>
  <c r="AB504" i="17"/>
  <c r="AA590" i="17"/>
  <c r="AA392" i="17"/>
  <c r="AA424" i="17"/>
  <c r="AB356" i="17"/>
  <c r="AA530" i="17"/>
  <c r="AA387" i="17"/>
  <c r="AA346" i="17"/>
  <c r="AB25" i="17"/>
  <c r="AA14" i="17"/>
  <c r="AB35" i="17"/>
  <c r="AB281" i="17"/>
  <c r="AA98" i="17"/>
  <c r="AA549" i="17"/>
  <c r="AA350" i="17"/>
  <c r="AA566" i="17"/>
  <c r="AB278" i="17"/>
  <c r="AA574" i="17"/>
  <c r="AA531" i="17"/>
  <c r="AB452" i="17"/>
  <c r="AB297" i="17"/>
  <c r="AA477" i="17"/>
  <c r="AA397" i="17"/>
  <c r="AB39" i="17"/>
  <c r="AA279" i="17"/>
  <c r="AB609" i="17"/>
  <c r="AA294" i="17"/>
  <c r="AA275" i="17"/>
  <c r="AB416" i="17"/>
  <c r="AB520" i="17"/>
  <c r="AA39" i="17"/>
  <c r="AB327" i="17"/>
  <c r="AA141" i="17"/>
  <c r="AB102" i="17"/>
  <c r="AA599" i="17"/>
  <c r="AB121" i="17"/>
  <c r="AA311" i="17"/>
  <c r="AA192" i="17"/>
  <c r="AB503" i="17"/>
  <c r="AA543" i="17"/>
  <c r="AA288" i="17"/>
  <c r="AB409" i="17"/>
  <c r="AB485" i="17"/>
  <c r="AB578" i="17"/>
  <c r="AB276" i="17"/>
  <c r="AB195" i="17"/>
  <c r="AA378" i="17"/>
  <c r="AA475" i="17"/>
  <c r="AA420" i="17"/>
  <c r="AB139" i="17"/>
  <c r="AA409" i="17"/>
  <c r="AA80" i="25"/>
  <c r="AA18" i="25"/>
  <c r="AB20" i="25"/>
  <c r="AB216" i="25"/>
  <c r="AA76" i="25"/>
  <c r="AA49" i="25"/>
  <c r="AA33" i="25"/>
  <c r="AA46" i="25"/>
  <c r="AA87" i="25"/>
  <c r="AA93" i="25"/>
  <c r="AA65" i="25"/>
  <c r="AA95" i="25"/>
  <c r="AB14" i="25"/>
  <c r="AB113" i="25"/>
  <c r="AA272" i="25"/>
  <c r="AA433" i="25"/>
  <c r="AB561" i="25"/>
  <c r="AB179" i="25"/>
  <c r="AA355" i="25"/>
  <c r="AA440" i="25"/>
  <c r="AA572" i="25"/>
  <c r="AB213" i="25"/>
  <c r="AA284" i="25"/>
  <c r="AB475" i="25"/>
  <c r="AB608" i="25"/>
  <c r="AB87" i="25"/>
  <c r="AB362" i="25"/>
  <c r="AB423" i="25"/>
  <c r="AA531" i="25"/>
  <c r="AB185" i="25"/>
  <c r="AB360" i="25"/>
  <c r="AA446" i="25"/>
  <c r="AB583" i="25"/>
  <c r="AB232" i="25"/>
  <c r="AA362" i="25"/>
  <c r="AB448" i="25"/>
  <c r="AA604" i="25"/>
  <c r="AA175" i="25"/>
  <c r="AB295" i="25"/>
  <c r="AB498" i="25"/>
  <c r="AB130" i="25"/>
  <c r="AA227" i="25"/>
  <c r="AA399" i="25"/>
  <c r="AA524" i="25"/>
  <c r="AB97" i="25"/>
  <c r="AB400" i="25"/>
  <c r="AB451" i="25"/>
  <c r="AA541" i="25"/>
  <c r="AB228" i="25"/>
  <c r="AA301" i="25"/>
  <c r="AA517" i="25"/>
  <c r="AA601" i="25"/>
  <c r="AB372" i="25"/>
  <c r="AB481" i="25"/>
  <c r="AB487" i="25"/>
  <c r="AA170" i="25"/>
  <c r="AA185" i="25"/>
  <c r="AB305" i="25"/>
  <c r="AB508" i="25"/>
  <c r="AA116" i="25"/>
  <c r="AB236" i="25"/>
  <c r="AA309" i="25"/>
  <c r="AA530" i="25"/>
  <c r="AB589" i="25"/>
  <c r="AA250" i="25"/>
  <c r="AA377" i="25"/>
  <c r="AB464" i="25"/>
  <c r="AA612" i="25"/>
  <c r="AA191" i="25"/>
  <c r="AB311" i="25"/>
  <c r="AB518" i="25"/>
  <c r="AB104" i="25"/>
  <c r="AB271" i="25"/>
  <c r="AB380" i="25"/>
  <c r="AA521" i="25"/>
  <c r="AA385" i="17"/>
  <c r="AB307" i="17"/>
  <c r="AB357" i="17"/>
  <c r="AB37" i="17"/>
  <c r="AB582" i="17"/>
  <c r="AB201" i="17"/>
  <c r="AA588" i="17"/>
  <c r="AA153" i="17"/>
  <c r="AA209" i="17"/>
  <c r="AB456" i="17"/>
  <c r="AA391" i="17"/>
  <c r="AA79" i="17"/>
  <c r="AA217" i="17"/>
  <c r="AA51" i="17"/>
  <c r="AB191" i="17"/>
  <c r="AB439" i="17"/>
  <c r="AA185" i="17"/>
  <c r="AB101" i="17"/>
  <c r="AA389" i="17"/>
  <c r="AA362" i="17"/>
  <c r="AA70" i="17"/>
  <c r="AB122" i="17"/>
  <c r="AA465" i="17"/>
  <c r="AB600" i="17"/>
  <c r="AB65" i="17"/>
  <c r="AB325" i="17"/>
  <c r="AA100" i="17"/>
  <c r="AA194" i="17"/>
  <c r="AA404" i="17"/>
  <c r="AB283" i="17"/>
  <c r="AB145" i="17"/>
  <c r="AA67" i="17"/>
  <c r="AA390" i="17"/>
  <c r="AA589" i="17"/>
  <c r="AB360" i="17"/>
  <c r="AB550" i="17"/>
  <c r="AB414" i="17"/>
  <c r="AB428" i="17"/>
  <c r="AA147" i="17"/>
  <c r="AB59" i="17"/>
  <c r="AA482" i="17"/>
  <c r="AB347" i="17"/>
  <c r="AB169" i="17"/>
  <c r="AA16" i="17"/>
  <c r="AB379" i="17"/>
  <c r="AA238" i="17"/>
  <c r="AA545" i="17"/>
  <c r="AB612" i="17"/>
  <c r="AA85" i="17"/>
  <c r="AA291" i="17"/>
  <c r="AA268" i="17"/>
  <c r="AB123" i="17"/>
  <c r="AA225" i="17"/>
  <c r="AA426" i="17"/>
  <c r="AA205" i="17"/>
  <c r="AA435" i="17"/>
  <c r="AA92" i="17"/>
  <c r="AA600" i="17"/>
  <c r="AB83" i="17"/>
  <c r="AA256" i="17"/>
  <c r="AB402" i="17"/>
  <c r="AA179" i="17"/>
  <c r="AA551" i="17"/>
  <c r="AB150" i="17"/>
  <c r="AB473" i="17"/>
  <c r="AB292" i="17"/>
  <c r="AB255" i="17"/>
  <c r="AA401" i="17"/>
  <c r="AA440" i="17"/>
  <c r="AB628" i="17"/>
  <c r="AB27" i="17"/>
  <c r="AA584" i="17"/>
  <c r="AB193" i="17"/>
  <c r="AB460" i="17"/>
  <c r="AA142" i="25"/>
  <c r="AB164" i="25"/>
  <c r="AB156" i="25"/>
  <c r="AB23" i="25"/>
  <c r="AA124" i="25"/>
  <c r="AA97" i="25"/>
  <c r="AA20" i="25"/>
  <c r="AA13" i="25"/>
  <c r="AA42" i="25"/>
  <c r="AA152" i="25"/>
  <c r="AB118" i="25"/>
  <c r="AB176" i="25"/>
  <c r="AB136" i="25"/>
  <c r="AB145" i="25"/>
  <c r="AB312" i="25"/>
  <c r="AB470" i="25"/>
  <c r="AB567" i="25"/>
  <c r="AB211" i="25"/>
  <c r="AB282" i="25"/>
  <c r="AB474" i="25"/>
  <c r="AA605" i="25"/>
  <c r="AB252" i="25"/>
  <c r="AA325" i="25"/>
  <c r="AB410" i="25"/>
  <c r="AB594" i="25"/>
  <c r="AB119" i="25"/>
  <c r="AA278" i="25"/>
  <c r="AA439" i="25"/>
  <c r="AA571" i="25"/>
  <c r="AB217" i="25"/>
  <c r="AB290" i="25"/>
  <c r="AB482" i="25"/>
  <c r="AA587" i="25"/>
  <c r="AA297" i="25"/>
  <c r="AA400" i="25"/>
  <c r="AA488" i="25"/>
  <c r="AA214" i="25"/>
  <c r="AA207" i="25"/>
  <c r="AB327" i="25"/>
  <c r="AA471" i="25"/>
  <c r="AB194" i="25"/>
  <c r="AA259" i="25"/>
  <c r="AB397" i="25"/>
  <c r="AA546" i="25"/>
  <c r="AB129" i="25"/>
  <c r="AA290" i="25"/>
  <c r="AA449" i="25"/>
  <c r="AB572" i="25"/>
  <c r="AB277" i="25"/>
  <c r="AB368" i="25"/>
  <c r="AB424" i="25"/>
  <c r="AB607" i="25"/>
  <c r="AA151" i="25"/>
  <c r="AB411" i="25"/>
  <c r="AB521" i="25"/>
  <c r="AA320" i="25"/>
  <c r="AA217" i="25"/>
  <c r="AB337" i="25"/>
  <c r="AA481" i="25"/>
  <c r="AA176" i="25"/>
  <c r="AB294" i="25"/>
  <c r="AB392" i="25"/>
  <c r="AB430" i="25"/>
  <c r="AB611" i="25"/>
  <c r="AA125" i="25"/>
  <c r="AA369" i="25"/>
  <c r="AB493" i="25"/>
  <c r="AA50" i="25"/>
  <c r="AA223" i="25"/>
  <c r="AB343" i="25"/>
  <c r="AA487" i="25"/>
  <c r="AB162" i="25"/>
  <c r="AA243" i="25"/>
  <c r="AB381" i="25"/>
  <c r="AA550" i="25"/>
  <c r="AA318" i="17"/>
  <c r="AA383" i="17"/>
  <c r="AA375" i="17"/>
  <c r="AA329" i="17"/>
  <c r="AA366" i="17"/>
  <c r="AB266" i="17"/>
  <c r="AB398" i="17"/>
  <c r="AB119" i="17"/>
  <c r="AA357" i="17"/>
  <c r="AA519" i="17"/>
  <c r="AA229" i="17"/>
  <c r="AB263" i="17"/>
  <c r="AA344" i="17"/>
  <c r="AA537" i="17"/>
  <c r="AA94" i="17"/>
  <c r="AA252" i="17"/>
  <c r="AA511" i="17"/>
  <c r="AB595" i="17"/>
  <c r="AA414" i="17"/>
  <c r="AB323" i="17"/>
  <c r="AB589" i="17"/>
  <c r="AB388" i="17"/>
  <c r="AA593" i="17"/>
  <c r="AB131" i="17"/>
  <c r="AA230" i="17"/>
  <c r="AA265" i="17"/>
  <c r="AA605" i="17"/>
  <c r="AA553" i="17"/>
  <c r="AA480" i="17"/>
  <c r="AB604" i="17"/>
  <c r="AA103" i="17"/>
  <c r="AB183" i="17"/>
  <c r="AA510" i="17"/>
  <c r="AB596" i="17"/>
  <c r="AA542" i="17"/>
  <c r="AA31" i="17"/>
  <c r="AA74" i="17"/>
  <c r="AB567" i="17"/>
  <c r="AA27" i="17"/>
  <c r="AA199" i="17"/>
  <c r="AB233" i="17"/>
  <c r="AB113" i="17"/>
  <c r="AA309" i="17"/>
  <c r="AA540" i="17"/>
  <c r="AB465" i="17"/>
  <c r="AA319" i="17"/>
  <c r="AA410" i="17"/>
  <c r="AA568" i="17"/>
  <c r="AB40" i="17"/>
  <c r="AA502" i="17"/>
  <c r="AA155" i="17"/>
  <c r="AB282" i="17"/>
  <c r="AB69" i="17"/>
  <c r="AA399" i="17"/>
  <c r="AA532" i="17"/>
  <c r="AA501" i="17"/>
  <c r="AA269" i="17"/>
  <c r="AA191" i="17"/>
  <c r="AB23" i="17"/>
  <c r="AB198" i="17"/>
  <c r="AA582" i="17"/>
  <c r="AB384" i="17"/>
  <c r="AA195" i="17"/>
  <c r="AB511" i="17"/>
  <c r="AB262" i="17"/>
  <c r="AA277" i="17"/>
  <c r="AA443" i="17"/>
  <c r="AA583" i="17"/>
  <c r="AA512" i="17"/>
  <c r="AB280" i="17"/>
  <c r="AA316" i="17"/>
  <c r="AA130" i="17"/>
  <c r="AB55" i="17"/>
  <c r="AB579" i="17"/>
  <c r="AA567" i="17"/>
  <c r="AB538" i="17"/>
  <c r="AB16" i="25"/>
  <c r="AA15" i="25"/>
  <c r="AA26" i="25"/>
  <c r="AA69" i="25"/>
  <c r="AA196" i="25"/>
  <c r="AA166" i="25"/>
  <c r="AA39" i="25"/>
  <c r="AA86" i="25"/>
  <c r="AB42" i="25"/>
  <c r="AB231" i="25"/>
  <c r="AB208" i="25"/>
  <c r="AB92" i="25"/>
  <c r="AB13" i="25"/>
  <c r="AB177" i="25"/>
  <c r="AB352" i="25"/>
  <c r="AA438" i="25"/>
  <c r="AA570" i="25"/>
  <c r="AA246" i="25"/>
  <c r="AA324" i="25"/>
  <c r="AB408" i="25"/>
  <c r="AA599" i="25"/>
  <c r="AB222" i="25"/>
  <c r="AA356" i="25"/>
  <c r="AB442" i="25"/>
  <c r="AA598" i="25"/>
  <c r="AB151" i="25"/>
  <c r="AB320" i="25"/>
  <c r="AB478" i="25"/>
  <c r="AB573" i="25"/>
  <c r="AA254" i="25"/>
  <c r="AA332" i="25"/>
  <c r="AB414" i="25"/>
  <c r="AB598" i="25"/>
  <c r="AA141" i="25"/>
  <c r="AA388" i="25"/>
  <c r="AB509" i="25"/>
  <c r="AB80" i="25"/>
  <c r="AB242" i="25"/>
  <c r="AB359" i="25"/>
  <c r="AA503" i="25"/>
  <c r="AB31" i="25"/>
  <c r="AA295" i="25"/>
  <c r="AB457" i="25"/>
  <c r="AB547" i="25"/>
  <c r="AB161" i="25"/>
  <c r="AA331" i="25"/>
  <c r="AA502" i="25"/>
  <c r="AA583" i="25"/>
  <c r="AB241" i="25"/>
  <c r="AA370" i="25"/>
  <c r="AB456" i="25"/>
  <c r="AA609" i="25"/>
  <c r="AA183" i="25"/>
  <c r="AB303" i="25"/>
  <c r="AB506" i="25"/>
  <c r="AA91" i="25"/>
  <c r="AA252" i="25"/>
  <c r="AB369" i="25"/>
  <c r="AB512" i="25"/>
  <c r="AA264" i="25"/>
  <c r="AB249" i="25"/>
  <c r="AA376" i="25"/>
  <c r="AB462" i="25"/>
  <c r="AA610" i="25"/>
  <c r="AA157" i="25"/>
  <c r="AA482" i="25"/>
  <c r="AB528" i="25"/>
  <c r="AA99" i="25"/>
  <c r="AA260" i="25"/>
  <c r="AB375" i="25"/>
  <c r="AB520" i="25"/>
  <c r="AB230" i="25"/>
  <c r="AA275" i="25"/>
  <c r="AB417" i="25"/>
  <c r="AB539" i="25"/>
  <c r="AA367" i="17"/>
  <c r="AA463" i="17"/>
  <c r="AA41" i="17"/>
  <c r="AB515" i="17"/>
  <c r="AA430" i="17"/>
  <c r="AB287" i="17"/>
  <c r="AA264" i="17"/>
  <c r="AA564" i="17"/>
  <c r="AB353" i="17"/>
  <c r="AA534" i="17"/>
  <c r="AB143" i="17"/>
  <c r="AB290" i="17"/>
  <c r="AA172" i="17"/>
  <c r="AA157" i="17"/>
  <c r="AA44" i="17"/>
  <c r="AB132" i="17"/>
  <c r="AA400" i="17"/>
  <c r="AB387" i="17"/>
  <c r="AA64" i="17"/>
  <c r="AA235" i="17"/>
  <c r="AA101" i="17"/>
  <c r="AA445" i="17"/>
  <c r="AB385" i="17"/>
  <c r="AB259" i="17"/>
  <c r="AB309" i="17"/>
  <c r="AA363" i="17"/>
  <c r="AA479" i="17"/>
  <c r="AB348" i="17"/>
  <c r="AB575" i="17"/>
  <c r="AA165" i="17"/>
  <c r="AB288" i="17"/>
  <c r="AB362" i="17"/>
  <c r="AB163" i="17"/>
  <c r="AA348" i="17"/>
  <c r="AA201" i="17"/>
  <c r="AA132" i="17"/>
  <c r="AB417" i="17"/>
  <c r="AB222" i="17"/>
  <c r="AA274" i="17"/>
  <c r="AB608" i="17"/>
  <c r="AA136" i="17"/>
  <c r="AB342" i="17"/>
  <c r="AB423" i="17"/>
  <c r="AB257" i="17"/>
  <c r="AB364" i="17"/>
  <c r="AA257" i="17"/>
  <c r="AA242" i="17"/>
  <c r="AA487" i="17"/>
  <c r="AB569" i="17"/>
  <c r="AB200" i="17"/>
  <c r="AA139" i="17"/>
  <c r="AA289" i="17"/>
  <c r="AA226" i="17"/>
  <c r="AB501" i="17"/>
  <c r="AB241" i="17"/>
  <c r="AB238" i="17"/>
  <c r="AB273" i="17"/>
  <c r="AB208" i="17"/>
  <c r="AA493" i="17"/>
  <c r="AB395" i="17"/>
  <c r="AB345" i="17"/>
  <c r="AB252" i="17"/>
  <c r="AB264" i="17"/>
  <c r="AB204" i="17"/>
  <c r="AB96" i="17"/>
  <c r="AB527" i="17"/>
  <c r="AB531" i="17"/>
  <c r="AA581" i="17"/>
  <c r="AA322" i="17"/>
  <c r="AB343" i="17"/>
  <c r="AB118" i="17"/>
  <c r="AB444" i="17"/>
  <c r="AB166" i="17"/>
  <c r="AB88" i="17"/>
  <c r="AA497" i="17"/>
  <c r="AB148" i="25"/>
  <c r="AB140" i="25"/>
  <c r="AB200" i="25"/>
  <c r="AA120" i="25"/>
  <c r="AA48" i="25"/>
  <c r="AA31" i="25"/>
  <c r="AB246" i="25"/>
  <c r="AB40" i="25"/>
  <c r="AB90" i="25"/>
  <c r="AA64" i="25"/>
  <c r="AA94" i="25"/>
  <c r="AB128" i="25"/>
  <c r="AB58" i="25"/>
  <c r="AB209" i="25"/>
  <c r="AB278" i="25"/>
  <c r="AA468" i="25"/>
  <c r="AA597" i="25"/>
  <c r="AB220" i="25"/>
  <c r="AA354" i="25"/>
  <c r="AB440" i="25"/>
  <c r="AB605" i="25"/>
  <c r="AB265" i="25"/>
  <c r="AA392" i="25"/>
  <c r="AB477" i="25"/>
  <c r="AB50" i="25"/>
  <c r="AB183" i="25"/>
  <c r="AA359" i="25"/>
  <c r="AA444" i="25"/>
  <c r="AA576" i="25"/>
  <c r="AA226" i="25"/>
  <c r="AA360" i="25"/>
  <c r="AB446" i="25"/>
  <c r="AA602" i="25"/>
  <c r="AA173" i="25"/>
  <c r="AB293" i="25"/>
  <c r="AB496" i="25"/>
  <c r="AB126" i="25"/>
  <c r="AA394" i="25"/>
  <c r="AA398" i="25"/>
  <c r="AA522" i="25"/>
  <c r="AB63" i="25"/>
  <c r="AB340" i="25"/>
  <c r="AB445" i="25"/>
  <c r="AB552" i="25"/>
  <c r="AB193" i="25"/>
  <c r="AB384" i="25"/>
  <c r="AA454" i="25"/>
  <c r="AA580" i="25"/>
  <c r="AB342" i="25"/>
  <c r="AB447" i="25"/>
  <c r="AB485" i="25"/>
  <c r="AB254" i="25"/>
  <c r="AA215" i="25"/>
  <c r="AB335" i="25"/>
  <c r="AA479" i="25"/>
  <c r="AB146" i="25"/>
  <c r="AA235" i="25"/>
  <c r="AB455" i="25"/>
  <c r="AB534" i="25"/>
  <c r="AB70" i="25"/>
  <c r="AA123" i="25"/>
  <c r="AA367" i="25"/>
  <c r="AB491" i="25"/>
  <c r="AA178" i="25"/>
  <c r="AA189" i="25"/>
  <c r="AB309" i="25"/>
  <c r="AB517" i="25"/>
  <c r="AB158" i="25"/>
  <c r="AA241" i="25"/>
  <c r="AB379" i="25"/>
  <c r="AA542" i="25"/>
  <c r="AB47" i="25"/>
  <c r="AA318" i="25"/>
  <c r="AB413" i="25"/>
  <c r="AA569" i="25"/>
  <c r="AB168" i="17"/>
  <c r="AA525" i="17"/>
  <c r="AB63" i="17"/>
  <c r="AB486" i="17"/>
  <c r="AB324" i="17"/>
  <c r="AA347" i="17"/>
  <c r="AB472" i="17"/>
  <c r="AA246" i="17"/>
  <c r="AA345" i="17"/>
  <c r="AB572" i="17"/>
  <c r="AA539" i="17"/>
  <c r="AA84" i="17"/>
  <c r="AB479" i="17"/>
  <c r="AA13" i="17"/>
  <c r="AB182" i="17"/>
  <c r="AB167" i="17"/>
  <c r="AA35" i="17"/>
  <c r="AB422" i="17"/>
  <c r="AB314" i="17"/>
  <c r="AA271" i="17"/>
  <c r="AA592" i="17"/>
  <c r="AB445" i="17"/>
  <c r="AB391" i="17"/>
  <c r="AA113" i="17"/>
  <c r="AB517" i="17"/>
  <c r="AB114" i="17"/>
  <c r="AA441" i="17"/>
  <c r="AA186" i="17"/>
  <c r="AB474" i="17"/>
  <c r="AB271" i="17"/>
  <c r="AB563" i="17"/>
  <c r="AA460" i="17"/>
  <c r="AB418" i="17"/>
  <c r="AB74" i="17"/>
  <c r="AB196" i="17"/>
  <c r="AA206" i="17"/>
  <c r="AA240" i="17"/>
  <c r="AA228" i="17"/>
  <c r="AA163" i="17"/>
  <c r="AA517" i="17"/>
  <c r="AB44" i="17"/>
  <c r="AB338" i="17"/>
  <c r="AB291" i="17"/>
  <c r="AA152" i="17"/>
  <c r="AB206" i="17"/>
  <c r="AB390" i="17"/>
  <c r="AA423" i="17"/>
  <c r="AA371" i="17"/>
  <c r="AB449" i="17"/>
  <c r="AA48" i="17"/>
  <c r="AB436" i="17"/>
  <c r="AA413" i="17"/>
  <c r="AB610" i="17"/>
  <c r="AA310" i="17"/>
  <c r="AA466" i="17"/>
  <c r="AA548" i="17"/>
  <c r="AB235" i="17"/>
  <c r="AB351" i="17"/>
  <c r="AB220" i="17"/>
  <c r="AB434" i="17"/>
  <c r="AA187" i="17"/>
  <c r="AB481" i="17"/>
  <c r="AA554" i="17"/>
  <c r="AA609" i="17"/>
  <c r="AB542" i="17"/>
  <c r="AA145" i="17"/>
  <c r="AA278" i="17"/>
  <c r="AB407" i="17"/>
  <c r="AB149" i="17"/>
  <c r="AB532" i="17"/>
  <c r="AB421" i="17"/>
  <c r="AB415" i="17"/>
  <c r="AB76" i="17"/>
  <c r="AB623" i="25"/>
  <c r="AA288" i="25"/>
  <c r="AA25" i="25"/>
  <c r="AB21" i="25"/>
  <c r="AA192" i="25"/>
  <c r="AA96" i="25"/>
  <c r="AB18" i="25"/>
  <c r="AB68" i="25"/>
  <c r="AA37" i="25"/>
  <c r="AA148" i="25"/>
  <c r="AA113" i="25"/>
  <c r="AB160" i="25"/>
  <c r="AB120" i="25"/>
  <c r="AB106" i="25"/>
  <c r="AB245" i="25"/>
  <c r="AB322" i="25"/>
  <c r="AB406" i="25"/>
  <c r="AA596" i="25"/>
  <c r="AB264" i="25"/>
  <c r="AB390" i="25"/>
  <c r="AB476" i="25"/>
  <c r="AA135" i="25"/>
  <c r="AA380" i="25"/>
  <c r="AB503" i="25"/>
  <c r="AA92" i="25"/>
  <c r="AB215" i="25"/>
  <c r="AA285" i="25"/>
  <c r="AA476" i="25"/>
  <c r="AA585" i="25"/>
  <c r="AA296" i="25"/>
  <c r="AB398" i="25"/>
  <c r="AB483" i="25"/>
  <c r="AA210" i="25"/>
  <c r="AA205" i="25"/>
  <c r="AB325" i="25"/>
  <c r="AA469" i="25"/>
  <c r="AB190" i="25"/>
  <c r="AA257" i="25"/>
  <c r="AB395" i="25"/>
  <c r="AB538" i="25"/>
  <c r="AB95" i="25"/>
  <c r="AA387" i="25"/>
  <c r="AB443" i="25"/>
  <c r="AA539" i="25"/>
  <c r="AB225" i="25"/>
  <c r="AA300" i="25"/>
  <c r="AB516" i="25"/>
  <c r="AA594" i="25"/>
  <c r="AA149" i="25"/>
  <c r="AA397" i="25"/>
  <c r="AA515" i="25"/>
  <c r="AA90" i="25"/>
  <c r="AB251" i="25"/>
  <c r="AB367" i="25"/>
  <c r="AA511" i="25"/>
  <c r="AB210" i="25"/>
  <c r="AA267" i="25"/>
  <c r="AA404" i="25"/>
  <c r="AA526" i="25"/>
  <c r="AA112" i="25"/>
  <c r="AA155" i="25"/>
  <c r="AB463" i="25"/>
  <c r="AA523" i="25"/>
  <c r="AB48" i="25"/>
  <c r="AA221" i="25"/>
  <c r="AB341" i="25"/>
  <c r="AA485" i="25"/>
  <c r="AA224" i="25"/>
  <c r="AA273" i="25"/>
  <c r="AA412" i="25"/>
  <c r="AA534" i="25"/>
  <c r="AB79" i="25"/>
  <c r="AB354" i="25"/>
  <c r="AA410" i="25"/>
  <c r="AB580" i="25"/>
  <c r="AA166" i="17"/>
  <c r="AB253" i="17"/>
  <c r="AB170" i="17"/>
  <c r="AB109" i="17"/>
  <c r="AB349" i="17"/>
  <c r="AB488" i="17"/>
  <c r="AB177" i="17"/>
  <c r="AA60" i="17"/>
  <c r="AA38" i="17"/>
  <c r="AA178" i="17"/>
  <c r="AB580" i="17"/>
  <c r="AA469" i="17"/>
  <c r="AB344" i="17"/>
  <c r="AB268" i="17"/>
  <c r="AA62" i="17"/>
  <c r="AA23" i="17"/>
  <c r="AB581" i="17"/>
  <c r="AB110" i="17"/>
  <c r="AB366" i="17"/>
  <c r="AA97" i="17"/>
  <c r="AB49" i="17"/>
  <c r="AB192" i="17"/>
  <c r="AA282" i="17"/>
  <c r="AA164" i="17"/>
  <c r="AA312" i="17"/>
  <c r="AB451" i="17"/>
  <c r="AB408" i="17"/>
  <c r="AA547" i="17"/>
  <c r="AB505" i="17"/>
  <c r="AB128" i="17"/>
  <c r="AA99" i="17"/>
  <c r="AA171" i="17"/>
  <c r="AA484" i="17"/>
  <c r="AB146" i="17"/>
  <c r="AA359" i="17"/>
  <c r="AB508" i="17"/>
  <c r="AB410" i="17"/>
  <c r="AA446" i="17"/>
  <c r="AB142" i="17"/>
  <c r="AA509" i="17"/>
  <c r="AB507" i="17"/>
  <c r="AB98" i="17"/>
  <c r="AA174" i="17"/>
  <c r="AB215" i="17"/>
  <c r="AA313" i="17"/>
  <c r="AA536" i="17"/>
  <c r="AB112" i="17"/>
  <c r="AA22" i="17"/>
  <c r="AB548" i="17"/>
  <c r="AB502" i="17"/>
  <c r="AB14" i="17"/>
  <c r="AA500" i="17"/>
  <c r="AB48" i="17"/>
  <c r="AA305" i="17"/>
  <c r="AB601" i="17"/>
  <c r="AB13" i="17"/>
  <c r="AA218" i="17"/>
  <c r="AA86" i="17"/>
  <c r="AB165" i="17"/>
  <c r="AA216" i="17"/>
  <c r="AB156" i="17"/>
  <c r="AB396" i="17"/>
  <c r="AA276" i="17"/>
  <c r="AB490" i="17"/>
  <c r="AB483" i="17"/>
  <c r="AB405" i="17"/>
  <c r="AA341" i="17"/>
  <c r="AB108" i="17"/>
  <c r="AB471" i="17"/>
  <c r="AA170" i="17"/>
  <c r="AA349" i="17"/>
  <c r="AB82" i="17"/>
  <c r="AA280" i="17"/>
  <c r="AA106" i="17"/>
  <c r="AA17" i="25"/>
  <c r="AB124" i="25"/>
  <c r="AB184" i="25"/>
  <c r="AA68" i="25"/>
  <c r="AA41" i="25"/>
  <c r="AA162" i="25"/>
  <c r="AB38" i="25"/>
  <c r="AA35" i="25"/>
  <c r="AA85" i="25"/>
  <c r="AA222" i="25"/>
  <c r="AA102" i="25"/>
  <c r="AA79" i="25"/>
  <c r="AA58" i="25"/>
  <c r="AA168" i="25"/>
  <c r="AA344" i="25"/>
  <c r="AA352" i="25"/>
  <c r="AB438" i="25"/>
  <c r="AB603" i="25"/>
  <c r="AA133" i="25"/>
  <c r="AB378" i="25"/>
  <c r="AB501" i="25"/>
  <c r="AA134" i="25"/>
  <c r="AA167" i="25"/>
  <c r="AB287" i="25"/>
  <c r="AB490" i="25"/>
  <c r="AA140" i="25"/>
  <c r="AB253" i="25"/>
  <c r="AB330" i="25"/>
  <c r="AB412" i="25"/>
  <c r="AB596" i="25"/>
  <c r="AA139" i="25"/>
  <c r="AB386" i="25"/>
  <c r="AB507" i="25"/>
  <c r="AA75" i="25"/>
  <c r="AA236" i="25"/>
  <c r="AB357" i="25"/>
  <c r="AA501" i="25"/>
  <c r="AB29" i="25"/>
  <c r="AA294" i="25"/>
  <c r="AB449" i="25"/>
  <c r="AB545" i="25"/>
  <c r="AB127" i="25"/>
  <c r="AB288" i="25"/>
  <c r="AA447" i="25"/>
  <c r="AB570" i="25"/>
  <c r="AB269" i="25"/>
  <c r="AA341" i="25"/>
  <c r="AB422" i="25"/>
  <c r="AB606" i="25"/>
  <c r="AA181" i="25"/>
  <c r="AB301" i="25"/>
  <c r="AB504" i="25"/>
  <c r="AB142" i="25"/>
  <c r="AA233" i="25"/>
  <c r="AB419" i="25"/>
  <c r="AA528" i="25"/>
  <c r="AB39" i="25"/>
  <c r="AB308" i="25"/>
  <c r="AA500" i="25"/>
  <c r="AB555" i="25"/>
  <c r="AA174" i="25"/>
  <c r="AA187" i="25"/>
  <c r="AB307" i="25"/>
  <c r="AB510" i="25"/>
  <c r="AA98" i="25"/>
  <c r="AB259" i="25"/>
  <c r="AB373" i="25"/>
  <c r="AB519" i="25"/>
  <c r="AB45" i="25"/>
  <c r="AB316" i="25"/>
  <c r="AA408" i="25"/>
  <c r="AB564" i="25"/>
  <c r="AB111" i="25"/>
  <c r="AA270" i="25"/>
  <c r="AA431" i="25"/>
  <c r="AA555" i="25"/>
  <c r="AB245" i="17"/>
  <c r="AA436" i="17"/>
  <c r="AB512" i="17"/>
  <c r="AA498" i="17"/>
  <c r="AB477" i="17"/>
  <c r="AB330" i="17"/>
  <c r="AA550" i="17"/>
  <c r="AB64" i="17"/>
  <c r="AB393" i="17"/>
  <c r="AA577" i="17"/>
  <c r="AB518" i="17"/>
  <c r="AB18" i="17"/>
  <c r="AB155" i="17"/>
  <c r="AB158" i="17"/>
  <c r="AB240" i="17"/>
  <c r="AA419" i="17"/>
  <c r="AB425" i="17"/>
  <c r="AB565" i="17"/>
  <c r="AB519" i="17"/>
  <c r="AB369" i="17"/>
  <c r="AA416" i="17"/>
  <c r="AB157" i="17"/>
  <c r="AB303" i="17"/>
  <c r="AB317" i="17"/>
  <c r="AB450" i="17"/>
  <c r="AB129" i="17"/>
  <c r="AB219" i="17"/>
  <c r="AA77" i="17"/>
  <c r="AB105" i="17"/>
  <c r="AA626" i="17"/>
  <c r="E636" i="17" s="1"/>
  <c r="AB24" i="17"/>
  <c r="AA292" i="17"/>
  <c r="AB562" i="17"/>
  <c r="AA603" i="17"/>
  <c r="AA188" i="17"/>
  <c r="AB487" i="17"/>
  <c r="AB239" i="17"/>
  <c r="AA524" i="17"/>
  <c r="AA360" i="17"/>
  <c r="AB73" i="17"/>
  <c r="AA523" i="17"/>
  <c r="AA258" i="17"/>
  <c r="AB606" i="17"/>
  <c r="AB316" i="17"/>
  <c r="AB326" i="17"/>
  <c r="AA222" i="17"/>
  <c r="AA507" i="17"/>
  <c r="AA628" i="17"/>
  <c r="AB254" i="17"/>
  <c r="AB435" i="17"/>
  <c r="AB78" i="17"/>
  <c r="AA458" i="17"/>
  <c r="AA427" i="17"/>
  <c r="AB71" i="17"/>
  <c r="AA25" i="17"/>
  <c r="AA43" i="17"/>
  <c r="AA415" i="17"/>
  <c r="AB464" i="17"/>
  <c r="AB116" i="17"/>
  <c r="AA595" i="17"/>
  <c r="AB31" i="17"/>
  <c r="AA96" i="17"/>
  <c r="AA461" i="17"/>
  <c r="AB482" i="17"/>
  <c r="AB133" i="17"/>
  <c r="AB373" i="17"/>
  <c r="AA273" i="17"/>
  <c r="AA220" i="17"/>
  <c r="AA433" i="17"/>
  <c r="AA286" i="17"/>
  <c r="AB540" i="17"/>
  <c r="AA526" i="17"/>
  <c r="AA295" i="17"/>
  <c r="AB272" i="17"/>
  <c r="AB132" i="25"/>
  <c r="AA24" i="25"/>
  <c r="AB19" i="25"/>
  <c r="AA117" i="25"/>
  <c r="AB94" i="25"/>
  <c r="AB30" i="25"/>
  <c r="AA240" i="25"/>
  <c r="AA36" i="25"/>
  <c r="AA144" i="25"/>
  <c r="AB62" i="25"/>
  <c r="AB76" i="25"/>
  <c r="AB116" i="25"/>
  <c r="AA53" i="25"/>
  <c r="AB267" i="25"/>
  <c r="AA258" i="25"/>
  <c r="AA385" i="25"/>
  <c r="AA470" i="25"/>
  <c r="AB612" i="25"/>
  <c r="AA165" i="25"/>
  <c r="AB285" i="25"/>
  <c r="AB488" i="25"/>
  <c r="AA198" i="25"/>
  <c r="AA199" i="25"/>
  <c r="AB319" i="25"/>
  <c r="AA540" i="25"/>
  <c r="AA204" i="25"/>
  <c r="AB224" i="25"/>
  <c r="AA358" i="25"/>
  <c r="AB444" i="25"/>
  <c r="AA600" i="25"/>
  <c r="AA171" i="25"/>
  <c r="AB291" i="25"/>
  <c r="AB494" i="25"/>
  <c r="AB122" i="25"/>
  <c r="AA337" i="25"/>
  <c r="AB396" i="25"/>
  <c r="AA520" i="25"/>
  <c r="AB61" i="25"/>
  <c r="AA335" i="25"/>
  <c r="AB437" i="25"/>
  <c r="AB550" i="25"/>
  <c r="AB159" i="25"/>
  <c r="AA330" i="25"/>
  <c r="AA494" i="25"/>
  <c r="AB582" i="25"/>
  <c r="AB240" i="25"/>
  <c r="AA368" i="25"/>
  <c r="AB454" i="25"/>
  <c r="AA607" i="25"/>
  <c r="AA213" i="25"/>
  <c r="AB333" i="25"/>
  <c r="AA477" i="25"/>
  <c r="AB206" i="25"/>
  <c r="AA265" i="25"/>
  <c r="AA403" i="25"/>
  <c r="AB525" i="25"/>
  <c r="AB71" i="25"/>
  <c r="AB346" i="25"/>
  <c r="AA401" i="25"/>
  <c r="AB560" i="25"/>
  <c r="AA27" i="25"/>
  <c r="AA219" i="25"/>
  <c r="AB339" i="25"/>
  <c r="AA483" i="25"/>
  <c r="AB154" i="25"/>
  <c r="AA239" i="25"/>
  <c r="AB377" i="25"/>
  <c r="AA536" i="25"/>
  <c r="AB77" i="25"/>
  <c r="AA353" i="25"/>
  <c r="AA409" i="25"/>
  <c r="AA573" i="25"/>
  <c r="AB143" i="25"/>
  <c r="AA307" i="25"/>
  <c r="AA463" i="25"/>
  <c r="AB565" i="25"/>
  <c r="AA210" i="17"/>
  <c r="AA281" i="17"/>
  <c r="AA474" i="17"/>
  <c r="AA503" i="17"/>
  <c r="AB334" i="17"/>
  <c r="AB134" i="17"/>
  <c r="AA437" i="17"/>
  <c r="AA562" i="17"/>
  <c r="AA369" i="17"/>
  <c r="AA448" i="17"/>
  <c r="AB571" i="17"/>
  <c r="AB312" i="17"/>
  <c r="AA508" i="17"/>
  <c r="AA24" i="17"/>
  <c r="AA296" i="17"/>
  <c r="AA183" i="17"/>
  <c r="AB500" i="17"/>
  <c r="AB92" i="17"/>
  <c r="AA571" i="17"/>
  <c r="AA259" i="17"/>
  <c r="AB72" i="17"/>
  <c r="AA56" i="17"/>
  <c r="AA471" i="17"/>
  <c r="AB537" i="17"/>
  <c r="AA544" i="17"/>
  <c r="AA514" i="17"/>
  <c r="AA382" i="17"/>
  <c r="AB493" i="17"/>
  <c r="AB530" i="17"/>
  <c r="AA297" i="17"/>
  <c r="AB552" i="17"/>
  <c r="AA380" i="17"/>
  <c r="AB346" i="17"/>
  <c r="AA395" i="17"/>
  <c r="AA459" i="17"/>
  <c r="AA88" i="17"/>
  <c r="AB60" i="17"/>
  <c r="AA55" i="17"/>
  <c r="AA212" i="17"/>
  <c r="AB389" i="17"/>
  <c r="AB137" i="17"/>
  <c r="AA598" i="17"/>
  <c r="AA248" i="17"/>
  <c r="AB232" i="17"/>
  <c r="AB28" i="17"/>
  <c r="AA457" i="17"/>
  <c r="AB400" i="17"/>
  <c r="AB152" i="17"/>
  <c r="AB295" i="17"/>
  <c r="AB175" i="17"/>
  <c r="AB431" i="17"/>
  <c r="AB626" i="17"/>
  <c r="AA418" i="17"/>
  <c r="AB386" i="17"/>
  <c r="AA107" i="17"/>
  <c r="AA411" i="17"/>
  <c r="AA81" i="17"/>
  <c r="AB455" i="17"/>
  <c r="AA485" i="17"/>
  <c r="AB95" i="17"/>
  <c r="AA250" i="17"/>
  <c r="AA151" i="17"/>
  <c r="AB111" i="17"/>
  <c r="AB329" i="17"/>
  <c r="AA354" i="17"/>
  <c r="AA604" i="17"/>
  <c r="AB103" i="17"/>
  <c r="AB411" i="17"/>
  <c r="AA109" i="17"/>
  <c r="AB556" i="17"/>
  <c r="AA613" i="17"/>
  <c r="AA623" i="17"/>
  <c r="E633" i="17" s="1"/>
  <c r="AB226" i="17"/>
  <c r="AA196" i="17"/>
  <c r="AA220" i="25"/>
  <c r="AB168" i="25"/>
  <c r="AB66" i="25"/>
  <c r="AA188" i="25"/>
  <c r="AA158" i="25"/>
  <c r="AB239" i="25"/>
  <c r="AA55" i="25"/>
  <c r="AA84" i="25"/>
  <c r="AA216" i="25"/>
  <c r="AB110" i="25"/>
  <c r="AB144" i="25"/>
  <c r="AA119" i="25"/>
  <c r="AA101" i="25"/>
  <c r="AB78" i="25"/>
  <c r="AA131" i="25"/>
  <c r="AA375" i="25"/>
  <c r="AB499" i="25"/>
  <c r="AA194" i="25"/>
  <c r="AA197" i="25"/>
  <c r="AB317" i="25"/>
  <c r="AA538" i="25"/>
  <c r="AA67" i="25"/>
  <c r="AA228" i="25"/>
  <c r="AB351" i="25"/>
  <c r="AA495" i="25"/>
  <c r="AB46" i="25"/>
  <c r="AB273" i="25"/>
  <c r="AA393" i="25"/>
  <c r="AA478" i="25"/>
  <c r="AA206" i="25"/>
  <c r="AA203" i="25"/>
  <c r="AB323" i="25"/>
  <c r="AA467" i="25"/>
  <c r="AB186" i="25"/>
  <c r="AA255" i="25"/>
  <c r="AB393" i="25"/>
  <c r="AA532" i="25"/>
  <c r="AB93" i="25"/>
  <c r="AA386" i="25"/>
  <c r="AB435" i="25"/>
  <c r="AA537" i="25"/>
  <c r="AB191" i="25"/>
  <c r="AB370" i="25"/>
  <c r="AA452" i="25"/>
  <c r="AA578" i="25"/>
  <c r="AA329" i="25"/>
  <c r="AB427" i="25"/>
  <c r="AA548" i="25"/>
  <c r="AB88" i="25"/>
  <c r="AB250" i="25"/>
  <c r="AB365" i="25"/>
  <c r="AA509" i="25"/>
  <c r="AB37" i="25"/>
  <c r="AA303" i="25"/>
  <c r="AB480" i="25"/>
  <c r="AB553" i="25"/>
  <c r="AB103" i="25"/>
  <c r="AB439" i="25"/>
  <c r="AA466" i="25"/>
  <c r="AA547" i="25"/>
  <c r="AB96" i="25"/>
  <c r="AB258" i="25"/>
  <c r="AB371" i="25"/>
  <c r="AA513" i="25"/>
  <c r="AB218" i="25"/>
  <c r="AA271" i="25"/>
  <c r="AA411" i="25"/>
  <c r="AB533" i="25"/>
  <c r="AB109" i="25"/>
  <c r="AA268" i="25"/>
  <c r="AA429" i="25"/>
  <c r="AA553" i="25"/>
  <c r="AB175" i="25"/>
  <c r="AA351" i="25"/>
  <c r="AA436" i="25"/>
  <c r="AA568" i="25"/>
  <c r="AA576" i="17"/>
  <c r="AB382" i="17"/>
  <c r="AB86" i="17"/>
  <c r="AA110" i="17"/>
  <c r="AA561" i="17"/>
  <c r="AA122" i="17"/>
  <c r="AB135" i="17"/>
  <c r="AB492" i="17"/>
  <c r="AB591" i="17"/>
  <c r="AB223" i="17"/>
  <c r="AA555" i="17"/>
  <c r="AB376" i="17"/>
  <c r="AB279" i="17"/>
  <c r="AB438" i="17"/>
  <c r="AA80" i="17"/>
  <c r="AA516" i="17"/>
  <c r="AA528" i="17"/>
  <c r="AB77" i="17"/>
  <c r="AB551" i="17"/>
  <c r="AB341" i="17"/>
  <c r="AA167" i="17"/>
  <c r="AB521" i="17"/>
  <c r="AB469" i="17"/>
  <c r="AA293" i="17"/>
  <c r="AB375" i="17"/>
  <c r="AA63" i="17"/>
  <c r="AA538" i="17"/>
  <c r="AA535" i="17"/>
  <c r="AA394" i="17"/>
  <c r="AA352" i="17"/>
  <c r="AB298" i="17"/>
  <c r="AA203" i="17"/>
  <c r="AA546" i="17"/>
  <c r="AA504" i="17"/>
  <c r="AA108" i="17"/>
  <c r="AB534" i="17"/>
  <c r="AA569" i="17"/>
  <c r="AA30" i="17"/>
  <c r="AA417" i="17"/>
  <c r="AB549" i="17"/>
  <c r="AB313" i="17"/>
  <c r="AB90" i="17"/>
  <c r="AB194" i="17"/>
  <c r="AA42" i="17"/>
  <c r="AB529" i="17"/>
  <c r="AA425" i="17"/>
  <c r="AA53" i="17"/>
  <c r="AB30" i="17"/>
  <c r="AB22" i="17"/>
  <c r="AB399" i="17"/>
  <c r="AA115" i="17"/>
  <c r="AB46" i="17"/>
  <c r="AA182" i="17"/>
  <c r="AB265" i="17"/>
  <c r="AB318" i="17"/>
  <c r="AA334" i="17"/>
  <c r="AB243" i="17"/>
  <c r="AA611" i="17"/>
  <c r="AA398" i="17"/>
  <c r="AA61" i="17"/>
  <c r="AA184" i="17"/>
  <c r="AB536" i="17"/>
  <c r="AB54" i="17"/>
  <c r="AA176" i="17"/>
  <c r="AB457" i="17"/>
  <c r="AB99" i="17"/>
  <c r="AB162" i="17"/>
  <c r="AA338" i="17"/>
  <c r="AB79" i="17"/>
  <c r="AB67" i="17"/>
  <c r="AB93" i="17"/>
  <c r="AB68" i="17"/>
  <c r="AA373" i="17"/>
  <c r="AB62" i="17"/>
  <c r="AA111" i="25"/>
  <c r="AB17" i="25"/>
  <c r="AB114" i="25"/>
  <c r="AA40" i="25"/>
  <c r="AA628" i="25"/>
  <c r="AB28" i="25"/>
  <c r="AA34" i="25"/>
  <c r="AA136" i="25"/>
  <c r="AA57" i="25"/>
  <c r="AB52" i="25"/>
  <c r="AA78" i="25"/>
  <c r="AB56" i="25"/>
  <c r="AA164" i="25"/>
  <c r="AA130" i="25"/>
  <c r="AA163" i="25"/>
  <c r="AB283" i="25"/>
  <c r="AB486" i="25"/>
  <c r="AA66" i="25"/>
  <c r="AB227" i="25"/>
  <c r="AB349" i="25"/>
  <c r="AA493" i="25"/>
  <c r="AB112" i="25"/>
  <c r="AA305" i="25"/>
  <c r="AB388" i="25"/>
  <c r="AA514" i="25"/>
  <c r="AA88" i="25"/>
  <c r="AA137" i="25"/>
  <c r="AA381" i="25"/>
  <c r="AB505" i="25"/>
  <c r="AA74" i="25"/>
  <c r="AB235" i="25"/>
  <c r="AB355" i="25"/>
  <c r="AA499" i="25"/>
  <c r="AB376" i="25"/>
  <c r="AB292" i="25"/>
  <c r="AB441" i="25"/>
  <c r="AB543" i="25"/>
  <c r="AB125" i="25"/>
  <c r="AA283" i="25"/>
  <c r="AA445" i="25"/>
  <c r="AB568" i="25"/>
  <c r="AB223" i="25"/>
  <c r="AB298" i="25"/>
  <c r="AA506" i="25"/>
  <c r="AA593" i="25"/>
  <c r="AA147" i="25"/>
  <c r="AA396" i="25"/>
  <c r="AB514" i="25"/>
  <c r="AB138" i="25"/>
  <c r="AA231" i="25"/>
  <c r="AA406" i="25"/>
  <c r="AB527" i="25"/>
  <c r="AB69" i="25"/>
  <c r="AA345" i="25"/>
  <c r="AB515" i="25"/>
  <c r="AB559" i="25"/>
  <c r="AB135" i="25"/>
  <c r="AA298" i="25"/>
  <c r="AA455" i="25"/>
  <c r="AB578" i="25"/>
  <c r="AB150" i="25"/>
  <c r="AA237" i="25"/>
  <c r="AA484" i="25"/>
  <c r="AB535" i="25"/>
  <c r="AB43" i="25"/>
  <c r="AA311" i="25"/>
  <c r="AA407" i="25"/>
  <c r="AB563" i="25"/>
  <c r="AB141" i="25"/>
  <c r="AA306" i="25"/>
  <c r="AA461" i="25"/>
  <c r="AA603" i="25"/>
  <c r="AB207" i="25"/>
  <c r="AB276" i="25"/>
  <c r="AB467" i="25"/>
  <c r="AB595" i="25"/>
  <c r="AA473" i="17"/>
  <c r="AB277" i="17"/>
  <c r="AB120" i="17"/>
  <c r="AB392" i="17"/>
  <c r="AA57" i="17"/>
  <c r="AA54" i="17"/>
  <c r="AA114" i="17"/>
  <c r="AA351" i="17"/>
  <c r="AA606" i="17"/>
  <c r="AB311" i="17"/>
  <c r="AA65" i="17"/>
  <c r="AB130" i="17"/>
  <c r="AA381" i="17"/>
  <c r="AB470" i="17"/>
  <c r="AB568" i="17"/>
  <c r="AB476" i="17"/>
  <c r="AB56" i="17"/>
  <c r="AA335" i="17"/>
  <c r="AB554" i="17"/>
  <c r="AB51" i="17"/>
  <c r="AA162" i="17"/>
  <c r="AB498" i="17"/>
  <c r="AA388" i="17"/>
  <c r="AB496" i="17"/>
  <c r="AA263" i="17"/>
  <c r="AB337" i="17"/>
  <c r="AA342" i="17"/>
  <c r="AB585" i="17"/>
  <c r="AA300" i="17"/>
  <c r="AB583" i="17"/>
  <c r="AB394" i="17"/>
  <c r="AB207" i="17"/>
  <c r="AA594" i="17"/>
  <c r="AA134" i="17"/>
  <c r="AA298" i="17"/>
  <c r="AA82" i="17"/>
  <c r="AB453" i="17"/>
  <c r="AA123" i="17"/>
  <c r="AB442" i="17"/>
  <c r="AB228" i="17"/>
  <c r="AA406" i="17"/>
  <c r="AA158" i="17"/>
  <c r="AB97" i="17"/>
  <c r="AB306" i="17"/>
  <c r="AB335" i="17"/>
  <c r="AB495" i="17"/>
  <c r="AB365" i="17"/>
  <c r="AB557" i="17"/>
  <c r="AB593" i="17"/>
  <c r="AB367" i="17"/>
  <c r="AB181" i="17"/>
  <c r="AB237" i="17"/>
  <c r="AA370" i="17"/>
  <c r="AA18" i="17"/>
  <c r="AA254" i="17"/>
  <c r="AA612" i="17"/>
  <c r="AA489" i="17"/>
  <c r="AA127" i="17"/>
  <c r="AA492" i="17"/>
  <c r="AA332" i="17"/>
  <c r="AA33" i="17"/>
  <c r="AA253" i="17"/>
  <c r="AB370" i="17"/>
  <c r="AB87" i="17"/>
  <c r="AB80" i="17"/>
  <c r="AA299" i="17"/>
  <c r="AB172" i="17"/>
  <c r="AB433" i="17"/>
  <c r="AB429" i="17"/>
  <c r="AA429" i="17"/>
  <c r="AA472" i="17"/>
  <c r="AA32" i="17"/>
  <c r="AB22" i="25"/>
  <c r="AA61" i="25"/>
  <c r="AA184" i="25"/>
  <c r="AA89" i="25"/>
  <c r="AB26" i="25"/>
  <c r="AB204" i="25"/>
  <c r="AB34" i="25"/>
  <c r="AA212" i="25"/>
  <c r="AA105" i="25"/>
  <c r="AA63" i="25"/>
  <c r="AB84" i="25"/>
  <c r="AA52" i="25"/>
  <c r="AB263" i="25"/>
  <c r="AA190" i="25"/>
  <c r="AA195" i="25"/>
  <c r="AB315" i="25"/>
  <c r="AB537" i="25"/>
  <c r="AA107" i="25"/>
  <c r="AA304" i="25"/>
  <c r="AA383" i="25"/>
  <c r="AA512" i="25"/>
  <c r="AB174" i="25"/>
  <c r="AA249" i="25"/>
  <c r="AB387" i="25"/>
  <c r="AA525" i="25"/>
  <c r="AA138" i="25"/>
  <c r="AA169" i="25"/>
  <c r="AB289" i="25"/>
  <c r="AB492" i="25"/>
  <c r="AA115" i="25"/>
  <c r="AA336" i="25"/>
  <c r="AA391" i="25"/>
  <c r="AA518" i="25"/>
  <c r="AB59" i="25"/>
  <c r="AA334" i="25"/>
  <c r="AB429" i="25"/>
  <c r="AB548" i="25"/>
  <c r="AB157" i="25"/>
  <c r="AB328" i="25"/>
  <c r="AA486" i="25"/>
  <c r="AB581" i="25"/>
  <c r="AA262" i="25"/>
  <c r="AA340" i="25"/>
  <c r="AB420" i="25"/>
  <c r="AB604" i="25"/>
  <c r="AA179" i="25"/>
  <c r="AB299" i="25"/>
  <c r="AB502" i="25"/>
  <c r="AB202" i="25"/>
  <c r="AA263" i="25"/>
  <c r="AB401" i="25"/>
  <c r="AB557" i="25"/>
  <c r="AB101" i="25"/>
  <c r="AA422" i="25"/>
  <c r="AB465" i="25"/>
  <c r="AA545" i="25"/>
  <c r="AB167" i="25"/>
  <c r="AA339" i="25"/>
  <c r="AA428" i="25"/>
  <c r="AA560" i="25"/>
  <c r="AB214" i="25"/>
  <c r="AA269" i="25"/>
  <c r="AB409" i="25"/>
  <c r="AB532" i="25"/>
  <c r="AB75" i="25"/>
  <c r="AB350" i="25"/>
  <c r="AB407" i="25"/>
  <c r="AA565" i="25"/>
  <c r="AB173" i="25"/>
  <c r="AB348" i="25"/>
  <c r="AA434" i="25"/>
  <c r="AA566" i="25"/>
  <c r="AB244" i="25"/>
  <c r="AA317" i="25"/>
  <c r="AB404" i="25"/>
  <c r="AA595" i="25"/>
  <c r="AA71" i="17"/>
  <c r="AB605" i="17"/>
  <c r="AB66" i="17"/>
  <c r="AB559" i="17"/>
  <c r="AA102" i="17"/>
  <c r="AA78" i="17"/>
  <c r="AB16" i="17"/>
  <c r="AB70" i="17"/>
  <c r="AA476" i="17"/>
  <c r="AB371" i="17"/>
  <c r="AA323" i="17"/>
  <c r="AB188" i="17"/>
  <c r="AA432" i="17"/>
  <c r="AA533" i="17"/>
  <c r="AA169" i="17"/>
  <c r="AB484" i="17"/>
  <c r="AA93" i="17"/>
  <c r="AA325" i="17"/>
  <c r="AB586" i="17"/>
  <c r="AB447" i="17"/>
  <c r="AA52" i="17"/>
  <c r="AB246" i="17"/>
  <c r="AA506" i="17"/>
  <c r="AA301" i="17"/>
  <c r="AA266" i="17"/>
  <c r="AB286" i="17"/>
  <c r="AA434" i="17"/>
  <c r="AB227" i="17"/>
  <c r="AA72" i="17"/>
  <c r="AA578" i="17"/>
  <c r="AA241" i="17"/>
  <c r="AB293" i="17"/>
  <c r="AA541" i="17"/>
  <c r="AA591" i="17"/>
  <c r="AA386" i="17"/>
  <c r="AB217" i="17"/>
  <c r="AB216" i="17"/>
  <c r="AA449" i="17"/>
  <c r="AB218" i="17"/>
  <c r="AA306" i="17"/>
  <c r="AB523" i="17"/>
  <c r="AB397" i="17"/>
  <c r="AB424" i="17"/>
  <c r="AB350" i="17"/>
  <c r="AA283" i="17"/>
  <c r="AB463" i="17"/>
  <c r="AA478" i="17"/>
  <c r="AB363" i="17"/>
  <c r="AA223" i="17"/>
  <c r="AA262" i="17"/>
  <c r="AB308" i="17"/>
  <c r="AA40" i="17"/>
  <c r="AA190" i="17"/>
  <c r="AA324" i="17"/>
  <c r="AB15" i="17"/>
  <c r="AB545" i="17"/>
  <c r="AA602" i="17"/>
  <c r="AA428" i="17"/>
  <c r="AB186" i="17"/>
  <c r="AB57" i="17"/>
  <c r="AA125" i="17"/>
  <c r="AB85" i="17"/>
  <c r="AA527" i="17"/>
  <c r="AB267" i="17"/>
  <c r="AA104" i="17"/>
  <c r="AB61" i="17"/>
  <c r="AB544" i="17"/>
  <c r="AB574" i="17"/>
  <c r="AB203" i="17"/>
  <c r="AA462" i="17"/>
  <c r="AA219" i="17"/>
  <c r="AB152" i="25"/>
  <c r="AA109" i="25"/>
  <c r="AA395" i="25"/>
  <c r="AA154" i="25"/>
  <c r="AB212" i="25"/>
  <c r="AA54" i="25"/>
  <c r="AB82" i="25"/>
  <c r="AA56" i="25"/>
  <c r="AA248" i="25"/>
  <c r="AA103" i="25"/>
  <c r="AA118" i="25"/>
  <c r="AA100" i="25"/>
  <c r="AA73" i="25"/>
  <c r="AB64" i="25"/>
  <c r="AB226" i="25"/>
  <c r="AB347" i="25"/>
  <c r="AA491" i="25"/>
  <c r="AB170" i="25"/>
  <c r="AA247" i="25"/>
  <c r="AB385" i="25"/>
  <c r="AB579" i="25"/>
  <c r="AB262" i="25"/>
  <c r="AB284" i="25"/>
  <c r="AB425" i="25"/>
  <c r="AB558" i="25"/>
  <c r="AA202" i="25"/>
  <c r="AA201" i="25"/>
  <c r="AB321" i="25"/>
  <c r="AA465" i="25"/>
  <c r="AB182" i="25"/>
  <c r="AA253" i="25"/>
  <c r="AB391" i="25"/>
  <c r="AB531" i="25"/>
  <c r="AB91" i="25"/>
  <c r="AB374" i="25"/>
  <c r="AA426" i="25"/>
  <c r="AA535" i="25"/>
  <c r="AB189" i="25"/>
  <c r="AB364" i="25"/>
  <c r="AA450" i="25"/>
  <c r="AB588" i="25"/>
  <c r="AA234" i="25"/>
  <c r="AA366" i="25"/>
  <c r="AB452" i="25"/>
  <c r="AB613" i="25"/>
  <c r="AA211" i="25"/>
  <c r="AB331" i="25"/>
  <c r="AA475" i="25"/>
  <c r="AB35" i="25"/>
  <c r="AA302" i="25"/>
  <c r="AA474" i="25"/>
  <c r="AB551" i="25"/>
  <c r="AB133" i="25"/>
  <c r="AB296" i="25"/>
  <c r="AA453" i="25"/>
  <c r="AB576" i="25"/>
  <c r="AB199" i="25"/>
  <c r="AB268" i="25"/>
  <c r="AA460" i="25"/>
  <c r="AA586" i="25"/>
  <c r="AB41" i="25"/>
  <c r="AA310" i="25"/>
  <c r="AB405" i="25"/>
  <c r="AA557" i="25"/>
  <c r="AB107" i="25"/>
  <c r="AA266" i="25"/>
  <c r="AA508" i="25"/>
  <c r="AA551" i="25"/>
  <c r="AB205" i="25"/>
  <c r="AB274" i="25"/>
  <c r="AB466" i="25"/>
  <c r="AA592" i="25"/>
  <c r="AB326" i="25"/>
  <c r="AA350" i="25"/>
  <c r="AB436" i="25"/>
  <c r="AB601" i="25"/>
  <c r="AA579" i="17"/>
  <c r="AA37" i="17"/>
  <c r="AB81" i="17"/>
  <c r="AB553" i="17"/>
  <c r="AB140" i="17"/>
  <c r="AA36" i="17"/>
  <c r="AB299" i="17"/>
  <c r="AA239" i="17"/>
  <c r="AB211" i="17"/>
  <c r="AB412" i="17"/>
  <c r="AB141" i="17"/>
  <c r="AB250" i="17"/>
  <c r="AA450" i="17"/>
  <c r="AA586" i="17"/>
  <c r="AB125" i="17"/>
  <c r="AB21" i="17"/>
  <c r="AB17" i="17"/>
  <c r="AB104" i="17"/>
  <c r="AB598" i="17"/>
  <c r="AA111" i="17"/>
  <c r="AB564" i="17"/>
  <c r="AB42" i="17"/>
  <c r="AA468" i="17"/>
  <c r="AA83" i="17"/>
  <c r="AB300" i="17"/>
  <c r="AA75" i="17"/>
  <c r="AB526" i="17"/>
  <c r="AB546" i="17"/>
  <c r="AB117" i="17"/>
  <c r="AA227" i="17"/>
  <c r="AA488" i="17"/>
  <c r="AB244" i="17"/>
  <c r="AB594" i="17"/>
  <c r="AA236" i="17"/>
  <c r="AA365" i="17"/>
  <c r="AB41" i="17"/>
  <c r="AA454" i="17"/>
  <c r="AB381" i="17"/>
  <c r="AB319" i="17"/>
  <c r="AB577" i="17"/>
  <c r="AA156" i="17"/>
  <c r="AB333" i="17"/>
  <c r="AB432" i="17"/>
  <c r="AA515" i="17"/>
  <c r="AA138" i="17"/>
  <c r="AB261" i="17"/>
  <c r="AA244" i="17"/>
  <c r="AB202" i="17"/>
  <c r="AB178" i="17"/>
  <c r="AA580" i="17"/>
  <c r="AB100" i="17"/>
  <c r="AB374" i="17"/>
  <c r="AB613" i="17"/>
  <c r="AB19" i="17"/>
  <c r="AA260" i="17"/>
  <c r="AB443" i="17"/>
  <c r="AA126" i="17"/>
  <c r="AB478" i="17"/>
  <c r="AA337" i="17"/>
  <c r="AB229" i="17"/>
  <c r="AA317" i="17"/>
  <c r="AA73" i="17"/>
  <c r="AA422" i="17"/>
  <c r="AA200" i="17"/>
  <c r="AA47" i="17"/>
  <c r="AA408" i="17"/>
  <c r="AA26" i="17"/>
  <c r="AA447" i="17"/>
  <c r="AA204" i="17"/>
  <c r="AA290" i="17"/>
  <c r="AB190" i="17"/>
  <c r="AA495" i="17"/>
  <c r="AB331" i="17"/>
  <c r="AB197" i="17"/>
  <c r="AB560" i="17"/>
  <c r="AA142" i="17"/>
  <c r="AB15" i="25"/>
  <c r="AA180" i="25"/>
  <c r="AB86" i="25"/>
  <c r="AB24" i="25"/>
  <c r="AA23" i="25"/>
  <c r="AB32" i="25"/>
  <c r="AA132" i="25"/>
  <c r="AA104" i="25"/>
  <c r="AA32" i="25"/>
  <c r="AB60" i="25"/>
  <c r="AA51" i="25"/>
  <c r="AA160" i="25"/>
  <c r="AA126" i="25"/>
  <c r="AA106" i="25"/>
  <c r="AB286" i="25"/>
  <c r="AA382" i="25"/>
  <c r="AA567" i="25"/>
  <c r="AA256" i="25"/>
  <c r="AA279" i="25"/>
  <c r="AA420" i="25"/>
  <c r="AA552" i="25"/>
  <c r="AB53" i="25"/>
  <c r="AA326" i="25"/>
  <c r="AB421" i="25"/>
  <c r="AB542" i="25"/>
  <c r="AB72" i="25"/>
  <c r="AB234" i="25"/>
  <c r="AB353" i="25"/>
  <c r="AA497" i="25"/>
  <c r="AA289" i="25"/>
  <c r="AA287" i="25"/>
  <c r="AB433" i="25"/>
  <c r="AB541" i="25"/>
  <c r="AB123" i="25"/>
  <c r="AA282" i="25"/>
  <c r="AA443" i="25"/>
  <c r="AB566" i="25"/>
  <c r="AB221" i="25"/>
  <c r="AA293" i="25"/>
  <c r="AA498" i="25"/>
  <c r="AA591" i="25"/>
  <c r="AA328" i="25"/>
  <c r="AA414" i="25"/>
  <c r="AA504" i="25"/>
  <c r="AA83" i="25"/>
  <c r="AA244" i="25"/>
  <c r="AB363" i="25"/>
  <c r="AA507" i="25"/>
  <c r="AB67" i="25"/>
  <c r="AA343" i="25"/>
  <c r="AB461" i="25"/>
  <c r="AB556" i="25"/>
  <c r="AB165" i="25"/>
  <c r="AA338" i="25"/>
  <c r="AB529" i="25"/>
  <c r="AA558" i="25"/>
  <c r="AA230" i="25"/>
  <c r="AA308" i="25"/>
  <c r="AB524" i="25"/>
  <c r="AB587" i="25"/>
  <c r="AB73" i="25"/>
  <c r="AA349" i="25"/>
  <c r="AA402" i="25"/>
  <c r="AA561" i="25"/>
  <c r="AB139" i="25"/>
  <c r="AB304" i="25"/>
  <c r="AA459" i="25"/>
  <c r="AB586" i="25"/>
  <c r="AA238" i="25"/>
  <c r="AA316" i="25"/>
  <c r="AB402" i="25"/>
  <c r="AB593" i="25"/>
  <c r="AB257" i="25"/>
  <c r="AA384" i="25"/>
  <c r="AB469" i="25"/>
  <c r="AB610" i="25"/>
  <c r="K564" i="25" l="1"/>
  <c r="K34" i="25"/>
  <c r="K281" i="25"/>
  <c r="K231" i="25"/>
  <c r="K158" i="25"/>
  <c r="L297" i="25"/>
  <c r="K357" i="25"/>
  <c r="L243" i="25"/>
  <c r="K329" i="25"/>
  <c r="K36" i="25"/>
  <c r="K415" i="25"/>
  <c r="L262" i="25"/>
  <c r="L239" i="25"/>
  <c r="L516" i="25"/>
  <c r="L312" i="25"/>
  <c r="L78" i="25"/>
  <c r="K435" i="25"/>
  <c r="K205" i="25"/>
  <c r="L411" i="25"/>
  <c r="K98" i="25"/>
  <c r="K51" i="25"/>
  <c r="K64" i="25"/>
  <c r="K210" i="25"/>
  <c r="L161" i="25"/>
  <c r="L134" i="25"/>
  <c r="L398" i="25"/>
  <c r="K438" i="25"/>
  <c r="K516" i="25"/>
  <c r="L581" i="25"/>
  <c r="K62" i="25"/>
  <c r="L184" i="25"/>
  <c r="L147" i="25"/>
  <c r="L338" i="25"/>
  <c r="L206" i="25"/>
  <c r="L135" i="25"/>
  <c r="K572" i="25"/>
  <c r="L220" i="25"/>
  <c r="L46" i="25"/>
  <c r="K501" i="25"/>
  <c r="K207" i="25"/>
  <c r="L261" i="25"/>
  <c r="L201" i="25"/>
  <c r="L452" i="25"/>
  <c r="L545" i="25"/>
  <c r="K218" i="25"/>
  <c r="L583" i="25"/>
  <c r="L31" i="25"/>
  <c r="L587" i="25"/>
  <c r="L96" i="25"/>
  <c r="K147" i="25"/>
  <c r="K164" i="25"/>
  <c r="L81" i="25"/>
  <c r="L359" i="25"/>
  <c r="K253" i="25"/>
  <c r="K537" i="25"/>
  <c r="L255" i="25"/>
  <c r="L524" i="25"/>
  <c r="K608" i="25"/>
  <c r="K552" i="25"/>
  <c r="L281" i="25"/>
  <c r="L485" i="25"/>
  <c r="K96" i="25"/>
  <c r="L128" i="25"/>
  <c r="K471" i="25"/>
  <c r="L600" i="25"/>
  <c r="L321" i="25"/>
  <c r="K292" i="25"/>
  <c r="K214" i="25"/>
  <c r="K272" i="25"/>
  <c r="L498" i="25"/>
  <c r="L344" i="25"/>
  <c r="K162" i="25"/>
  <c r="L146" i="25"/>
  <c r="K504" i="25"/>
  <c r="K422" i="25"/>
  <c r="L111" i="25"/>
  <c r="K33" i="25"/>
  <c r="L379" i="25"/>
  <c r="L395" i="25"/>
  <c r="K529" i="25"/>
  <c r="L559" i="25"/>
  <c r="K528" i="25"/>
  <c r="K344" i="25"/>
  <c r="L514" i="25"/>
  <c r="L425" i="25"/>
  <c r="L442" i="25"/>
  <c r="L428" i="25"/>
  <c r="L115" i="25"/>
  <c r="L601" i="25"/>
  <c r="L114" i="25"/>
  <c r="K55" i="25"/>
  <c r="K375" i="25"/>
  <c r="L107" i="25"/>
  <c r="L403" i="25"/>
  <c r="K217" i="25"/>
  <c r="L195" i="25"/>
  <c r="L574" i="25"/>
  <c r="L538" i="25"/>
  <c r="L273" i="25"/>
  <c r="L24" i="25"/>
  <c r="K606" i="25"/>
  <c r="K472" i="25"/>
  <c r="L126" i="25"/>
  <c r="L117" i="25"/>
  <c r="K282" i="25"/>
  <c r="K176" i="25"/>
  <c r="L544" i="25"/>
  <c r="K411" i="25"/>
  <c r="L191" i="25"/>
  <c r="K152" i="25"/>
  <c r="L346" i="25"/>
  <c r="K408" i="25"/>
  <c r="K442" i="25"/>
  <c r="K361" i="25"/>
  <c r="L341" i="25"/>
  <c r="L412" i="25"/>
  <c r="K358" i="25"/>
  <c r="K316" i="25"/>
  <c r="K355" i="25"/>
  <c r="L86" i="25"/>
  <c r="L323" i="25"/>
  <c r="L417" i="25"/>
  <c r="L190" i="25"/>
  <c r="L370" i="25"/>
  <c r="K29" i="25"/>
  <c r="K293" i="25"/>
  <c r="K325" i="25"/>
  <c r="L18" i="25"/>
  <c r="L181" i="25"/>
  <c r="L90" i="25"/>
  <c r="L415" i="25"/>
  <c r="K250" i="25"/>
  <c r="K200" i="25"/>
  <c r="L129" i="25"/>
  <c r="L394" i="25"/>
  <c r="L503" i="25"/>
  <c r="K240" i="25"/>
  <c r="K222" i="25"/>
  <c r="L399" i="25"/>
  <c r="L623" i="25"/>
  <c r="K550" i="25"/>
  <c r="L447" i="25"/>
  <c r="K183" i="25"/>
  <c r="L274" i="25"/>
  <c r="K601" i="25"/>
  <c r="K109" i="25"/>
  <c r="L537" i="25"/>
  <c r="K445" i="25"/>
  <c r="K204" i="25"/>
  <c r="K277" i="25"/>
  <c r="K279" i="25"/>
  <c r="L470" i="25"/>
  <c r="L303" i="25"/>
  <c r="K510" i="25"/>
  <c r="K339" i="25"/>
  <c r="L333" i="25"/>
  <c r="L504" i="25"/>
  <c r="K377" i="25"/>
  <c r="K73" i="25"/>
  <c r="L15" i="25"/>
  <c r="L71" i="25"/>
  <c r="K168" i="25"/>
  <c r="K626" i="25"/>
  <c r="L392" i="25"/>
  <c r="L84" i="25"/>
  <c r="K567" i="25"/>
  <c r="K52" i="25"/>
  <c r="L237" i="25"/>
  <c r="K26" i="25"/>
  <c r="L339" i="25"/>
  <c r="K193" i="25"/>
  <c r="L315" i="25"/>
  <c r="K434" i="25"/>
  <c r="L25" i="25"/>
  <c r="L253" i="25"/>
  <c r="K559" i="25"/>
  <c r="K448" i="25"/>
  <c r="L431" i="25"/>
  <c r="L494" i="25"/>
  <c r="K63" i="25"/>
  <c r="K593" i="25"/>
  <c r="L113" i="25"/>
  <c r="K185" i="25"/>
  <c r="K101" i="25"/>
  <c r="L626" i="25"/>
  <c r="K487" i="25"/>
  <c r="L492" i="25"/>
  <c r="L154" i="25"/>
  <c r="L252" i="25"/>
  <c r="L535" i="25"/>
  <c r="L85" i="25"/>
  <c r="K249" i="25"/>
  <c r="K481" i="25"/>
  <c r="K469" i="25"/>
  <c r="K493" i="25"/>
  <c r="K237" i="25"/>
  <c r="K514" i="25"/>
  <c r="K613" i="25"/>
  <c r="L460" i="25"/>
  <c r="L539" i="25"/>
  <c r="L309" i="25"/>
  <c r="K342" i="25"/>
  <c r="K100" i="25"/>
  <c r="K286" i="25"/>
  <c r="L547" i="25"/>
  <c r="K95" i="25"/>
  <c r="K534" i="25"/>
  <c r="L566" i="25"/>
  <c r="K587" i="25"/>
  <c r="L577" i="25"/>
  <c r="K215" i="25"/>
  <c r="K568" i="25"/>
  <c r="L153" i="25"/>
  <c r="L284" i="25"/>
  <c r="L118" i="25"/>
  <c r="L541" i="25"/>
  <c r="L173" i="25"/>
  <c r="K508" i="25"/>
  <c r="L83" i="25"/>
  <c r="L75" i="25"/>
  <c r="L515" i="25"/>
  <c r="K333" i="25"/>
  <c r="C635" i="25"/>
  <c r="L518" i="25"/>
  <c r="K104" i="25"/>
  <c r="L233" i="25"/>
  <c r="K266" i="25"/>
  <c r="K384" i="25"/>
  <c r="L32" i="25"/>
  <c r="L13" i="25"/>
  <c r="L502" i="25"/>
  <c r="K309" i="25"/>
  <c r="K66" i="25"/>
  <c r="K103" i="25"/>
  <c r="K451" i="25"/>
  <c r="L564" i="25"/>
  <c r="K336" i="25"/>
  <c r="K334" i="25"/>
  <c r="L272" i="25"/>
  <c r="K75" i="25"/>
  <c r="L102" i="25"/>
  <c r="L414" i="25"/>
  <c r="L457" i="25"/>
  <c r="K476" i="25"/>
  <c r="K246" i="25"/>
  <c r="L453" i="25"/>
  <c r="K287" i="25"/>
  <c r="K298" i="25"/>
  <c r="K431" i="25"/>
  <c r="K490" i="25"/>
  <c r="L499" i="25"/>
  <c r="L140" i="25"/>
  <c r="K140" i="25"/>
  <c r="K245" i="25"/>
  <c r="L393" i="25"/>
  <c r="K570" i="25"/>
  <c r="K365" i="25"/>
  <c r="L422" i="25"/>
  <c r="L591" i="25"/>
  <c r="K76" i="25"/>
  <c r="K356" i="25"/>
  <c r="K61" i="25"/>
  <c r="K30" i="25"/>
  <c r="L510" i="25"/>
  <c r="K78" i="25"/>
  <c r="K332" i="25"/>
  <c r="L294" i="25"/>
  <c r="L540" i="25"/>
  <c r="K133" i="25"/>
  <c r="L211" i="25"/>
  <c r="K142" i="25"/>
  <c r="K465" i="25"/>
  <c r="L54" i="25"/>
  <c r="K430" i="25"/>
  <c r="K399" i="25"/>
  <c r="L478" i="25"/>
  <c r="L496" i="25"/>
  <c r="L160" i="25"/>
  <c r="K440" i="25"/>
  <c r="K25" i="25"/>
  <c r="L127" i="25"/>
  <c r="L300" i="25"/>
  <c r="L319" i="25"/>
  <c r="L550" i="25"/>
  <c r="L265" i="25"/>
  <c r="K376" i="25"/>
  <c r="K27" i="25"/>
  <c r="K536" i="25"/>
  <c r="K507" i="25"/>
  <c r="L59" i="25"/>
  <c r="L320" i="25"/>
  <c r="L365" i="25"/>
  <c r="L381" i="25"/>
  <c r="K403" i="25"/>
  <c r="L202" i="25"/>
  <c r="K463" i="25"/>
  <c r="K303" i="25"/>
  <c r="K461" i="25"/>
  <c r="L474" i="25"/>
  <c r="K209" i="25"/>
  <c r="L246" i="25"/>
  <c r="L580" i="25"/>
  <c r="K236" i="25"/>
  <c r="K354" i="25"/>
  <c r="L28" i="25"/>
  <c r="L79" i="25"/>
  <c r="L599" i="25"/>
  <c r="L509" i="25"/>
  <c r="K421" i="25"/>
  <c r="K441" i="25"/>
  <c r="K206" i="25"/>
  <c r="K547" i="25"/>
  <c r="K520" i="25"/>
  <c r="L534" i="25"/>
  <c r="K191" i="25"/>
  <c r="L356" i="25"/>
  <c r="K177" i="25"/>
  <c r="L275" i="25"/>
  <c r="L286" i="25"/>
  <c r="K541" i="25"/>
  <c r="L325" i="25"/>
  <c r="K112" i="25"/>
  <c r="L37" i="25"/>
  <c r="K595" i="25"/>
  <c r="K515" i="25"/>
  <c r="K228" i="25"/>
  <c r="L558" i="25"/>
  <c r="K563" i="25"/>
  <c r="K455" i="25"/>
  <c r="K611" i="25"/>
  <c r="K502" i="25"/>
  <c r="L22" i="25"/>
  <c r="L572" i="25"/>
  <c r="K480" i="25"/>
  <c r="K603" i="25"/>
  <c r="K594" i="25"/>
  <c r="K110" i="25"/>
  <c r="K80" i="25"/>
  <c r="L40" i="25"/>
  <c r="K542" i="25"/>
  <c r="L486" i="25"/>
  <c r="K385" i="25"/>
  <c r="L199" i="25"/>
  <c r="L93" i="25"/>
  <c r="L584" i="25"/>
  <c r="L122" i="25"/>
  <c r="L276" i="25"/>
  <c r="K141" i="25"/>
  <c r="L29" i="25"/>
  <c r="L585" i="25"/>
  <c r="K314" i="25"/>
  <c r="L198" i="25"/>
  <c r="K264" i="25"/>
  <c r="K478" i="25"/>
  <c r="K363" i="25"/>
  <c r="L562" i="25"/>
  <c r="L242" i="25"/>
  <c r="L482" i="25"/>
  <c r="L66" i="25"/>
  <c r="K591" i="25"/>
  <c r="K396" i="25"/>
  <c r="K506" i="25"/>
  <c r="L299" i="25"/>
  <c r="L570" i="25"/>
  <c r="L258" i="25"/>
  <c r="K38" i="25"/>
  <c r="K409" i="25"/>
  <c r="L608" i="25"/>
  <c r="L101" i="25"/>
  <c r="L133" i="25"/>
  <c r="K374" i="25"/>
  <c r="K343" i="25"/>
  <c r="L406" i="25"/>
  <c r="L590" i="25"/>
  <c r="L429" i="25"/>
  <c r="K256" i="25"/>
  <c r="L611" i="25"/>
  <c r="L426" i="25"/>
  <c r="L357" i="25"/>
  <c r="L183" i="25"/>
  <c r="L579" i="25"/>
  <c r="L267" i="25"/>
  <c r="K235" i="25"/>
  <c r="K182" i="25"/>
  <c r="K485" i="25"/>
  <c r="K544" i="25"/>
  <c r="L27" i="25"/>
  <c r="K323" i="25"/>
  <c r="L489" i="25"/>
  <c r="K188" i="25"/>
  <c r="K238" i="25"/>
  <c r="L340" i="25"/>
  <c r="L131" i="25"/>
  <c r="K310" i="25"/>
  <c r="K360" i="25"/>
  <c r="L264" i="25"/>
  <c r="L576" i="25"/>
  <c r="K306" i="25"/>
  <c r="K223" i="25"/>
  <c r="K349" i="25"/>
  <c r="K184" i="25"/>
  <c r="K194" i="25"/>
  <c r="K517" i="25"/>
  <c r="K523" i="25"/>
  <c r="L604" i="25"/>
  <c r="K270" i="25"/>
  <c r="L291" i="25"/>
  <c r="K130" i="25"/>
  <c r="L508" i="25"/>
  <c r="K460" i="25"/>
  <c r="K139" i="25"/>
  <c r="K340" i="25"/>
  <c r="K267" i="25"/>
  <c r="K115" i="25"/>
  <c r="K262" i="25"/>
  <c r="L48" i="25"/>
  <c r="L80" i="25"/>
  <c r="L528" i="25"/>
  <c r="K366" i="25"/>
  <c r="L157" i="25"/>
  <c r="K32" i="25"/>
  <c r="L152" i="25"/>
  <c r="L464" i="25"/>
  <c r="L74" i="25"/>
  <c r="K521" i="25"/>
  <c r="K424" i="25"/>
  <c r="L488" i="25"/>
  <c r="L384" i="25"/>
  <c r="K161" i="25"/>
  <c r="K558" i="25"/>
  <c r="K437" i="25"/>
  <c r="L180" i="25"/>
  <c r="L63" i="25"/>
  <c r="L203" i="25"/>
  <c r="K181" i="25"/>
  <c r="L217" i="25"/>
  <c r="L112" i="25"/>
  <c r="K436" i="25"/>
  <c r="K56" i="25"/>
  <c r="L159" i="25"/>
  <c r="K132" i="25"/>
  <c r="K378" i="25"/>
  <c r="L483" i="25"/>
  <c r="K317" i="25"/>
  <c r="K146" i="25"/>
  <c r="K359" i="25"/>
  <c r="L97" i="25"/>
  <c r="K575" i="25"/>
  <c r="L17" i="25"/>
  <c r="K301" i="25"/>
  <c r="L41" i="25"/>
  <c r="L345" i="25"/>
  <c r="L106" i="25"/>
  <c r="K186" i="25"/>
  <c r="K91" i="25"/>
  <c r="K319" i="25"/>
  <c r="K283" i="25"/>
  <c r="L532" i="25"/>
  <c r="L148" i="25"/>
  <c r="K475" i="25"/>
  <c r="L138" i="25"/>
  <c r="L311" i="25"/>
  <c r="K598" i="25"/>
  <c r="K42" i="25"/>
  <c r="L371" i="25"/>
  <c r="L177" i="25"/>
  <c r="L178" i="25"/>
  <c r="L521" i="25"/>
  <c r="L376" i="25"/>
  <c r="L56" i="25"/>
  <c r="K71" i="25"/>
  <c r="L308" i="25"/>
  <c r="L563" i="25"/>
  <c r="L316" i="25"/>
  <c r="L598" i="25"/>
  <c r="K165" i="25"/>
  <c r="K474" i="25"/>
  <c r="K511" i="25"/>
  <c r="L67" i="25"/>
  <c r="L575" i="25"/>
  <c r="L228" i="25"/>
  <c r="K599" i="25"/>
  <c r="L397" i="25"/>
  <c r="K459" i="25"/>
  <c r="K65" i="25"/>
  <c r="L163" i="25"/>
  <c r="K296" i="25"/>
  <c r="K19" i="25"/>
  <c r="L142" i="25"/>
  <c r="L322" i="25"/>
  <c r="K300" i="25"/>
  <c r="L468" i="25"/>
  <c r="L472" i="25"/>
  <c r="L238" i="25"/>
  <c r="L377" i="25"/>
  <c r="L169" i="25"/>
  <c r="L354" i="25"/>
  <c r="L132" i="25"/>
  <c r="K605" i="25"/>
  <c r="K285" i="25"/>
  <c r="L20" i="25"/>
  <c r="L285" i="25"/>
  <c r="L210" i="25"/>
  <c r="K494" i="25"/>
  <c r="K581" i="25"/>
  <c r="K571" i="25"/>
  <c r="L94" i="25"/>
  <c r="K338" i="25"/>
  <c r="K72" i="25"/>
  <c r="L557" i="25"/>
  <c r="L352" i="25"/>
  <c r="L578" i="25"/>
  <c r="L606" i="25"/>
  <c r="K58" i="25"/>
  <c r="K244" i="25"/>
  <c r="K450" i="25"/>
  <c r="L105" i="25"/>
  <c r="L386" i="25"/>
  <c r="W625" i="25"/>
  <c r="K180" i="25"/>
  <c r="K88" i="25"/>
  <c r="K337" i="25"/>
  <c r="K252" i="25"/>
  <c r="K175" i="25"/>
  <c r="K22" i="25"/>
  <c r="L424" i="25"/>
  <c r="K74" i="25"/>
  <c r="K348" i="25"/>
  <c r="L571" i="25"/>
  <c r="L156" i="25"/>
  <c r="K554" i="25"/>
  <c r="K290" i="25"/>
  <c r="L304" i="25"/>
  <c r="K39" i="25"/>
  <c r="K15" i="25"/>
  <c r="K121" i="25"/>
  <c r="L553" i="25"/>
  <c r="L421" i="25"/>
  <c r="K569" i="25"/>
  <c r="K108" i="25"/>
  <c r="L208" i="25"/>
  <c r="L418" i="25"/>
  <c r="L391" i="25"/>
  <c r="K154" i="25"/>
  <c r="K439" i="25"/>
  <c r="K391" i="25"/>
  <c r="K44" i="25"/>
  <c r="L610" i="25"/>
  <c r="L219" i="25"/>
  <c r="L465" i="25"/>
  <c r="L207" i="25"/>
  <c r="K420" i="25"/>
  <c r="K295" i="25"/>
  <c r="K276" i="25"/>
  <c r="L416" i="25"/>
  <c r="L260" i="25"/>
  <c r="K398" i="25"/>
  <c r="K54" i="25"/>
  <c r="K259" i="25"/>
  <c r="L88" i="25"/>
  <c r="L104" i="25"/>
  <c r="K486" i="25"/>
  <c r="K155" i="25"/>
  <c r="K367" i="25"/>
  <c r="L205" i="25"/>
  <c r="L419" i="25"/>
  <c r="K269" i="25"/>
  <c r="K17" i="25"/>
  <c r="L162" i="25"/>
  <c r="L212" i="25"/>
  <c r="L335" i="25"/>
  <c r="L446" i="25"/>
  <c r="K216" i="25"/>
  <c r="L277" i="25"/>
  <c r="K331" i="25"/>
  <c r="K419" i="25"/>
  <c r="K477" i="25"/>
  <c r="K414" i="25"/>
  <c r="K102" i="25"/>
  <c r="L390" i="25"/>
  <c r="L193" i="25"/>
  <c r="L196" i="25"/>
  <c r="K148" i="25"/>
  <c r="K328" i="25"/>
  <c r="L467" i="25"/>
  <c r="K423" i="25"/>
  <c r="K70" i="25"/>
  <c r="L298" i="25"/>
  <c r="K527" i="25"/>
  <c r="K254" i="25"/>
  <c r="K579" i="25"/>
  <c r="K14" i="25"/>
  <c r="K412" i="25"/>
  <c r="L174" i="25"/>
  <c r="L314" i="25"/>
  <c r="K368" i="25"/>
  <c r="K582" i="25"/>
  <c r="L476" i="25"/>
  <c r="K105" i="25"/>
  <c r="K275" i="25"/>
  <c r="K294" i="25"/>
  <c r="K545" i="25"/>
  <c r="L197" i="25"/>
  <c r="L124" i="25"/>
  <c r="L230" i="25"/>
  <c r="L454" i="25"/>
  <c r="K500" i="25"/>
  <c r="L438" i="25"/>
  <c r="L70" i="25"/>
  <c r="K203" i="25"/>
  <c r="L456" i="25"/>
  <c r="L548" i="25"/>
  <c r="L89" i="25"/>
  <c r="K229" i="25"/>
  <c r="L187" i="25"/>
  <c r="L546" i="25"/>
  <c r="K151" i="25"/>
  <c r="L462" i="25"/>
  <c r="K404" i="25"/>
  <c r="L68" i="25"/>
  <c r="L443" i="25"/>
  <c r="L214" i="25"/>
  <c r="K312" i="25"/>
  <c r="L573" i="25"/>
  <c r="L595" i="25"/>
  <c r="K114" i="25"/>
  <c r="K597" i="25"/>
  <c r="K386" i="25"/>
  <c r="K623" i="25"/>
  <c r="L141" i="25"/>
  <c r="L439" i="25"/>
  <c r="K225" i="25"/>
  <c r="K202" i="25"/>
  <c r="K612" i="25"/>
  <c r="L455" i="25"/>
  <c r="K89" i="25"/>
  <c r="K311" i="25"/>
  <c r="K535" i="25"/>
  <c r="L551" i="25"/>
  <c r="L373" i="25"/>
  <c r="K382" i="25"/>
  <c r="K233" i="25"/>
  <c r="K81" i="25"/>
  <c r="L605" i="25"/>
  <c r="L437" i="25"/>
  <c r="L530" i="25"/>
  <c r="K251" i="25"/>
  <c r="L542" i="25"/>
  <c r="L249" i="25"/>
  <c r="K278" i="25"/>
  <c r="K248" i="25"/>
  <c r="K473" i="25"/>
  <c r="K456" i="25"/>
  <c r="K405" i="25"/>
  <c r="L248" i="25"/>
  <c r="L552" i="25"/>
  <c r="L52" i="25"/>
  <c r="K573" i="25"/>
  <c r="L360" i="25"/>
  <c r="L493" i="25"/>
  <c r="L60" i="25"/>
  <c r="K388" i="25"/>
  <c r="L186" i="25"/>
  <c r="K410" i="25"/>
  <c r="K531" i="25"/>
  <c r="K395" i="25"/>
  <c r="L520" i="25"/>
  <c r="K466" i="25"/>
  <c r="L408" i="25"/>
  <c r="L440" i="25"/>
  <c r="L61" i="25"/>
  <c r="K402" i="25"/>
  <c r="K447" i="25"/>
  <c r="K172" i="25"/>
  <c r="L302" i="25"/>
  <c r="K118" i="25"/>
  <c r="L363" i="25"/>
  <c r="K600" i="25"/>
  <c r="L588" i="25"/>
  <c r="L597" i="25"/>
  <c r="L189" i="25"/>
  <c r="K491" i="25"/>
  <c r="L355" i="25"/>
  <c r="K509" i="25"/>
  <c r="L383" i="25"/>
  <c r="K324" i="25"/>
  <c r="K169" i="25"/>
  <c r="L317" i="25"/>
  <c r="L536" i="25"/>
  <c r="L227" i="25"/>
  <c r="L487" i="25"/>
  <c r="L45" i="25"/>
  <c r="L349" i="25"/>
  <c r="K129" i="25"/>
  <c r="K433" i="25"/>
  <c r="K590" i="25"/>
  <c r="L353" i="25"/>
  <c r="K607" i="25"/>
  <c r="L100" i="25"/>
  <c r="K149" i="25"/>
  <c r="L185" i="25"/>
  <c r="K553" i="25"/>
  <c r="K468" i="25"/>
  <c r="L19" i="25"/>
  <c r="L95" i="25"/>
  <c r="L245" i="25"/>
  <c r="K213" i="25"/>
  <c r="K189" i="25"/>
  <c r="L16" i="25"/>
  <c r="K588" i="25"/>
  <c r="L213" i="25"/>
  <c r="K454" i="25"/>
  <c r="K538" i="25"/>
  <c r="L526" i="25"/>
  <c r="L110" i="25"/>
  <c r="L479" i="25"/>
  <c r="K179" i="25"/>
  <c r="L511" i="25"/>
  <c r="K457" i="25"/>
  <c r="L328" i="25"/>
  <c r="L179" i="25"/>
  <c r="K519" i="25"/>
  <c r="L378" i="25"/>
  <c r="K512" i="25"/>
  <c r="K263" i="25"/>
  <c r="L436" i="25"/>
  <c r="K145" i="25"/>
  <c r="L420" i="25"/>
  <c r="L327" i="25"/>
  <c r="K304" i="25"/>
  <c r="K452" i="25"/>
  <c r="L76" i="25"/>
  <c r="K532" i="25"/>
  <c r="L593" i="25"/>
  <c r="L401" i="25"/>
  <c r="K557" i="25"/>
  <c r="L91" i="25"/>
  <c r="L221" i="25"/>
  <c r="L407" i="25"/>
  <c r="L342" i="25"/>
  <c r="K178" i="25"/>
  <c r="K543" i="25"/>
  <c r="K596" i="25"/>
  <c r="L531" i="25"/>
  <c r="L602" i="25"/>
  <c r="K159" i="25"/>
  <c r="L145" i="25"/>
  <c r="K117" i="25"/>
  <c r="K429" i="25"/>
  <c r="L343" i="25"/>
  <c r="L612" i="25"/>
  <c r="L30" i="25"/>
  <c r="K464" i="25"/>
  <c r="L209" i="25"/>
  <c r="K315" i="25"/>
  <c r="K489" i="25"/>
  <c r="K86" i="25"/>
  <c r="L484" i="25"/>
  <c r="L87" i="25"/>
  <c r="L451" i="25"/>
  <c r="L38" i="25"/>
  <c r="L226" i="25"/>
  <c r="L374" i="25"/>
  <c r="K580" i="25"/>
  <c r="K393" i="25"/>
  <c r="L72" i="25"/>
  <c r="K280" i="25"/>
  <c r="K284" i="25"/>
  <c r="K171" i="25"/>
  <c r="K131" i="25"/>
  <c r="K589" i="25"/>
  <c r="K35" i="25"/>
  <c r="L247" i="25"/>
  <c r="L561" i="25"/>
  <c r="L361" i="25"/>
  <c r="K192" i="25"/>
  <c r="L289" i="25"/>
  <c r="K45" i="25"/>
  <c r="L423" i="25"/>
  <c r="L288" i="25"/>
  <c r="K503" i="25"/>
  <c r="K546" i="25"/>
  <c r="L268" i="25"/>
  <c r="L98" i="25"/>
  <c r="K90" i="25"/>
  <c r="K299" i="25"/>
  <c r="K548" i="25"/>
  <c r="L283" i="25"/>
  <c r="L435" i="25"/>
  <c r="L280" i="25"/>
  <c r="L565" i="25"/>
  <c r="L149" i="25"/>
  <c r="L449" i="25"/>
  <c r="L200" i="25"/>
  <c r="L347" i="25"/>
  <c r="K449" i="25"/>
  <c r="K274" i="25"/>
  <c r="K92" i="25"/>
  <c r="K320" i="25"/>
  <c r="K116" i="25"/>
  <c r="L480" i="25"/>
  <c r="L164" i="25"/>
  <c r="K305" i="25"/>
  <c r="K13" i="25"/>
  <c r="L313" i="25"/>
  <c r="K60" i="25"/>
  <c r="K122" i="25"/>
  <c r="L50" i="25"/>
  <c r="L278" i="25"/>
  <c r="K174" i="25"/>
  <c r="L466" i="25"/>
  <c r="K23" i="25"/>
  <c r="L506" i="25"/>
  <c r="L92" i="25"/>
  <c r="L279" i="25"/>
  <c r="L592" i="25"/>
  <c r="L120" i="25"/>
  <c r="K128" i="25"/>
  <c r="L332" i="25"/>
  <c r="K341" i="25"/>
  <c r="L39" i="25"/>
  <c r="K497" i="25"/>
  <c r="K69" i="25"/>
  <c r="L388" i="25"/>
  <c r="K234" i="25"/>
  <c r="L318" i="25"/>
  <c r="K327" i="25"/>
  <c r="L103" i="25"/>
  <c r="K232" i="25"/>
  <c r="K82" i="25"/>
  <c r="L372" i="25"/>
  <c r="L554" i="25"/>
  <c r="L165" i="25"/>
  <c r="K167" i="25"/>
  <c r="L582" i="25"/>
  <c r="L53" i="25"/>
  <c r="L405" i="25"/>
  <c r="L410" i="25"/>
  <c r="K383" i="25"/>
  <c r="L463" i="25"/>
  <c r="K247" i="25"/>
  <c r="L244" i="25"/>
  <c r="L26" i="25"/>
  <c r="L224" i="25"/>
  <c r="K173" i="25"/>
  <c r="K353" i="25"/>
  <c r="L481" i="25"/>
  <c r="L396" i="25"/>
  <c r="K379" i="25"/>
  <c r="L64" i="25"/>
  <c r="K127" i="25"/>
  <c r="L461" i="25"/>
  <c r="L382" i="25"/>
  <c r="K156" i="25"/>
  <c r="L306" i="25"/>
  <c r="K136" i="25"/>
  <c r="L292" i="25"/>
  <c r="K68" i="25"/>
  <c r="L324" i="25"/>
  <c r="L176" i="25"/>
  <c r="K513" i="25"/>
  <c r="K190" i="25"/>
  <c r="K380" i="25"/>
  <c r="K576" i="25"/>
  <c r="K57" i="25"/>
  <c r="K586" i="25"/>
  <c r="L336" i="25"/>
  <c r="K381" i="25"/>
  <c r="K124" i="25"/>
  <c r="K21" i="25"/>
  <c r="K153" i="25"/>
  <c r="L556" i="25"/>
  <c r="L444" i="25"/>
  <c r="L569" i="25"/>
  <c r="K170" i="25"/>
  <c r="K40" i="25"/>
  <c r="L47" i="25"/>
  <c r="L351" i="25"/>
  <c r="K291" i="25"/>
  <c r="L603" i="25"/>
  <c r="K592" i="25"/>
  <c r="L123" i="25"/>
  <c r="L269" i="25"/>
  <c r="L522" i="25"/>
  <c r="K243" i="25"/>
  <c r="K539" i="25"/>
  <c r="L223" i="25"/>
  <c r="K428" i="25"/>
  <c r="L458" i="25"/>
  <c r="L350" i="25"/>
  <c r="K371" i="25"/>
  <c r="L125" i="25"/>
  <c r="K498" i="25"/>
  <c r="K107" i="25"/>
  <c r="L172" i="25"/>
  <c r="A625" i="25"/>
  <c r="I625" i="25" s="1"/>
  <c r="L194" i="25"/>
  <c r="L513" i="25"/>
  <c r="L263" i="25"/>
  <c r="K268" i="25"/>
  <c r="K135" i="25"/>
  <c r="K261" i="25"/>
  <c r="L143" i="25"/>
  <c r="K373" i="25"/>
  <c r="L144" i="25"/>
  <c r="K201" i="25"/>
  <c r="K48" i="25"/>
  <c r="K297" i="25"/>
  <c r="K31" i="25"/>
  <c r="L330" i="25"/>
  <c r="L507" i="25"/>
  <c r="K585" i="25"/>
  <c r="K555" i="25"/>
  <c r="K525" i="25"/>
  <c r="L166" i="25"/>
  <c r="K492" i="25"/>
  <c r="L34" i="25"/>
  <c r="K350" i="25"/>
  <c r="L594" i="25"/>
  <c r="L204" i="25"/>
  <c r="K46" i="25"/>
  <c r="L51" i="25"/>
  <c r="K496" i="25"/>
  <c r="L171" i="25"/>
  <c r="L505" i="25"/>
  <c r="K187" i="25"/>
  <c r="K417" i="25"/>
  <c r="L240" i="25"/>
  <c r="K443" i="25"/>
  <c r="K364" i="25"/>
  <c r="K87" i="25"/>
  <c r="L241" i="25"/>
  <c r="L23" i="25"/>
  <c r="L367" i="25"/>
  <c r="K482" i="25"/>
  <c r="K59" i="25"/>
  <c r="K239" i="25"/>
  <c r="L348" i="25"/>
  <c r="K413" i="25"/>
  <c r="K522" i="25"/>
  <c r="L409" i="25"/>
  <c r="L158" i="25"/>
  <c r="L287" i="25"/>
  <c r="L225" i="25"/>
  <c r="K84" i="25"/>
  <c r="K212" i="25"/>
  <c r="L364" i="25"/>
  <c r="K318" i="25"/>
  <c r="K289" i="25"/>
  <c r="L533" i="25"/>
  <c r="L491" i="25"/>
  <c r="K345" i="25"/>
  <c r="K99" i="25"/>
  <c r="K401" i="25"/>
  <c r="K394" i="25"/>
  <c r="L168" i="25"/>
  <c r="K407" i="25"/>
  <c r="K160" i="25"/>
  <c r="K335" i="25"/>
  <c r="K562" i="25"/>
  <c r="K604" i="25"/>
  <c r="K197" i="25"/>
  <c r="L497" i="25"/>
  <c r="K302" i="25"/>
  <c r="K551" i="25"/>
  <c r="K125" i="25"/>
  <c r="L290" i="25"/>
  <c r="K166" i="25"/>
  <c r="K241" i="25"/>
  <c r="L188" i="25"/>
  <c r="L366" i="25"/>
  <c r="L218" i="25"/>
  <c r="K347" i="25"/>
  <c r="L155" i="25"/>
  <c r="L613" i="25"/>
  <c r="K326" i="25"/>
  <c r="L473" i="25"/>
  <c r="K143" i="25"/>
  <c r="L175" i="25"/>
  <c r="K426" i="25"/>
  <c r="K390" i="25"/>
  <c r="L43" i="25"/>
  <c r="K24" i="25"/>
  <c r="K258" i="25"/>
  <c r="L293" i="25"/>
  <c r="K113" i="25"/>
  <c r="K227" i="25"/>
  <c r="K50" i="25"/>
  <c r="L270" i="25"/>
  <c r="L448" i="25"/>
  <c r="K123" i="25"/>
  <c r="K370" i="25"/>
  <c r="K47" i="25"/>
  <c r="L296" i="25"/>
  <c r="K111" i="25"/>
  <c r="L139" i="25"/>
  <c r="K16" i="25"/>
  <c r="K427" i="25"/>
  <c r="L234" i="25"/>
  <c r="K351" i="25"/>
  <c r="K577" i="25"/>
  <c r="L607" i="25"/>
  <c r="L469" i="25"/>
  <c r="K257" i="25"/>
  <c r="K265" i="25"/>
  <c r="L44" i="25"/>
  <c r="K610" i="25"/>
  <c r="L259" i="25"/>
  <c r="L527" i="25"/>
  <c r="K346" i="25"/>
  <c r="K533" i="25"/>
  <c r="K67" i="25"/>
  <c r="K526" i="25"/>
  <c r="L358" i="25"/>
  <c r="K505" i="25"/>
  <c r="L402" i="25"/>
  <c r="L501" i="25"/>
  <c r="K389" i="25"/>
  <c r="L568" i="25"/>
  <c r="K583" i="25"/>
  <c r="K418" i="25"/>
  <c r="L116" i="25"/>
  <c r="L235" i="25"/>
  <c r="L14" i="25"/>
  <c r="K470" i="25"/>
  <c r="L586" i="25"/>
  <c r="L529" i="25"/>
  <c r="L69" i="25"/>
  <c r="K530" i="25"/>
  <c r="L256" i="25"/>
  <c r="L400" i="25"/>
  <c r="L42" i="25"/>
  <c r="K77" i="25"/>
  <c r="L331" i="25"/>
  <c r="L151" i="25"/>
  <c r="K453" i="25"/>
  <c r="K120" i="25"/>
  <c r="L517" i="25"/>
  <c r="L36" i="25"/>
  <c r="K157" i="25"/>
  <c r="K406" i="25"/>
  <c r="L555" i="25"/>
  <c r="L329" i="25"/>
  <c r="K458" i="25"/>
  <c r="K308" i="25"/>
  <c r="K37" i="25"/>
  <c r="L82" i="25"/>
  <c r="K195" i="25"/>
  <c r="L337" i="25"/>
  <c r="L495" i="25"/>
  <c r="K483" i="25"/>
  <c r="L136" i="25"/>
  <c r="L231" i="25"/>
  <c r="K392" i="25"/>
  <c r="L130" i="25"/>
  <c r="K484" i="25"/>
  <c r="L560" i="25"/>
  <c r="L334" i="25"/>
  <c r="K93" i="25"/>
  <c r="L65" i="25"/>
  <c r="K288" i="25"/>
  <c r="L380" i="25"/>
  <c r="L33" i="25"/>
  <c r="K602" i="25"/>
  <c r="K313" i="25"/>
  <c r="L182" i="25"/>
  <c r="K425" i="25"/>
  <c r="L215" i="25"/>
  <c r="L236" i="25"/>
  <c r="K273" i="25"/>
  <c r="L475" i="25"/>
  <c r="L326" i="25"/>
  <c r="K372" i="25"/>
  <c r="K221" i="25"/>
  <c r="K119" i="25"/>
  <c r="K226" i="25"/>
  <c r="K578" i="25"/>
  <c r="K397" i="25"/>
  <c r="K369" i="25"/>
  <c r="L404" i="25"/>
  <c r="L430" i="25"/>
  <c r="K126" i="25"/>
  <c r="K584" i="25"/>
  <c r="K83" i="25"/>
  <c r="K53" i="25"/>
  <c r="K255" i="25"/>
  <c r="L58" i="25"/>
  <c r="K362" i="25"/>
  <c r="K495" i="25"/>
  <c r="K330" i="25"/>
  <c r="L543" i="25"/>
  <c r="K549" i="25"/>
  <c r="K230" i="25"/>
  <c r="K462" i="25"/>
  <c r="K307" i="25"/>
  <c r="K479" i="25"/>
  <c r="L35" i="25"/>
  <c r="L119" i="25"/>
  <c r="L441" i="25"/>
  <c r="K79" i="25"/>
  <c r="L519" i="25"/>
  <c r="K85" i="25"/>
  <c r="L490" i="25"/>
  <c r="L368" i="25"/>
  <c r="K416" i="25"/>
  <c r="L549" i="25"/>
  <c r="K609" i="25"/>
  <c r="L369" i="25"/>
  <c r="K540" i="25"/>
  <c r="K208" i="25"/>
  <c r="L222" i="25"/>
  <c r="K524" i="25"/>
  <c r="L99" i="25"/>
  <c r="K446" i="25"/>
  <c r="L445" i="25"/>
  <c r="L305" i="25"/>
  <c r="K400" i="25"/>
  <c r="K163" i="25"/>
  <c r="L433" i="25"/>
  <c r="L57" i="25"/>
  <c r="L170" i="25"/>
  <c r="L450" i="25"/>
  <c r="K106" i="25"/>
  <c r="K138" i="25"/>
  <c r="L137" i="25"/>
  <c r="K518" i="25"/>
  <c r="L434" i="25"/>
  <c r="L622" i="25"/>
  <c r="K622" i="25"/>
  <c r="L73" i="25"/>
  <c r="L432" i="25"/>
  <c r="K137" i="25"/>
  <c r="L375" i="25"/>
  <c r="L567" i="25"/>
  <c r="K566" i="25"/>
  <c r="K43" i="25"/>
  <c r="K444" i="25"/>
  <c r="L251" i="25"/>
  <c r="K28" i="25"/>
  <c r="L192" i="25"/>
  <c r="K432" i="25"/>
  <c r="L459" i="25"/>
  <c r="K574" i="25"/>
  <c r="L254" i="25"/>
  <c r="K556" i="25"/>
  <c r="L121" i="25"/>
  <c r="K224" i="25"/>
  <c r="L596" i="25"/>
  <c r="L471" i="25"/>
  <c r="K144" i="25"/>
  <c r="K97" i="25"/>
  <c r="K561" i="25"/>
  <c r="L295" i="25"/>
  <c r="K322" i="25"/>
  <c r="L628" i="25"/>
  <c r="K49" i="25"/>
  <c r="F627" i="17"/>
  <c r="E627" i="25"/>
  <c r="C627" i="25"/>
  <c r="K627" i="25"/>
  <c r="P627" i="25"/>
  <c r="O627" i="25"/>
  <c r="D627" i="25"/>
  <c r="M627" i="25"/>
  <c r="L627" i="25"/>
  <c r="F627" i="25"/>
  <c r="P627" i="17"/>
  <c r="O627" i="17"/>
  <c r="M22" i="17"/>
  <c r="M217" i="17"/>
  <c r="M422" i="17"/>
  <c r="M317" i="17"/>
  <c r="N419" i="17"/>
  <c r="N194" i="17"/>
  <c r="N299" i="17"/>
  <c r="M250" i="17"/>
  <c r="M556" i="17"/>
  <c r="N411" i="17"/>
  <c r="N309" i="17"/>
  <c r="N270" i="17"/>
  <c r="M427" i="17"/>
  <c r="M386" i="17"/>
  <c r="M335" i="17"/>
  <c r="N348" i="17"/>
  <c r="M212" i="17"/>
  <c r="M566" i="17"/>
  <c r="M525" i="17"/>
  <c r="N481" i="17"/>
  <c r="N274" i="17"/>
  <c r="M543" i="17"/>
  <c r="M16" i="17"/>
  <c r="M61" i="17"/>
  <c r="N465" i="17"/>
  <c r="M569" i="17"/>
  <c r="M355" i="17"/>
  <c r="M383" i="17"/>
  <c r="M143" i="17"/>
  <c r="M213" i="17"/>
  <c r="N152" i="17"/>
  <c r="N451" i="17"/>
  <c r="M210" i="17"/>
  <c r="N76" i="17"/>
  <c r="M187" i="17"/>
  <c r="M529" i="17"/>
  <c r="N29" i="17"/>
  <c r="M231" i="17"/>
  <c r="M235" i="17"/>
  <c r="N216" i="17"/>
  <c r="M218" i="17"/>
  <c r="M334" i="17"/>
  <c r="M298" i="17"/>
  <c r="N441" i="17"/>
  <c r="N434" i="17"/>
  <c r="M57" i="17"/>
  <c r="M397" i="17"/>
  <c r="M505" i="17"/>
  <c r="M378" i="17"/>
  <c r="N26" i="17"/>
  <c r="N191" i="17"/>
  <c r="N144" i="17"/>
  <c r="M284" i="17"/>
  <c r="N321" i="17"/>
  <c r="N462" i="17"/>
  <c r="M261" i="17"/>
  <c r="N236" i="17"/>
  <c r="M286" i="17"/>
  <c r="M260" i="17"/>
  <c r="N142" i="17"/>
  <c r="N132" i="17"/>
  <c r="M515" i="17"/>
  <c r="M73" i="17"/>
  <c r="M165" i="17"/>
  <c r="M581" i="17"/>
  <c r="M449" i="17"/>
  <c r="N121" i="17"/>
  <c r="M160" i="17"/>
  <c r="N396" i="17"/>
  <c r="M278" i="17"/>
  <c r="N102" i="17"/>
  <c r="N453" i="17"/>
  <c r="N45" i="17"/>
  <c r="M343" i="17"/>
  <c r="M172" i="17"/>
  <c r="M462" i="17"/>
  <c r="N114" i="17"/>
  <c r="N314" i="17"/>
  <c r="N435" i="17"/>
  <c r="M324" i="17"/>
  <c r="M395" i="17"/>
  <c r="M460" i="17"/>
  <c r="M456" i="17"/>
  <c r="M77" i="17"/>
  <c r="M554" i="17"/>
  <c r="N426" i="17"/>
  <c r="N445" i="17"/>
  <c r="N370" i="17"/>
  <c r="N237" i="17"/>
  <c r="N385" i="17"/>
  <c r="N269" i="17"/>
  <c r="M144" i="17"/>
  <c r="N576" i="17"/>
  <c r="N583" i="17"/>
  <c r="M224" i="17"/>
  <c r="M272" i="17"/>
  <c r="M104" i="17"/>
  <c r="M519" i="17"/>
  <c r="M354" i="17"/>
  <c r="N279" i="17"/>
  <c r="N513" i="17"/>
  <c r="N365" i="17"/>
  <c r="M373" i="17"/>
  <c r="M49" i="17"/>
  <c r="M21" i="17"/>
  <c r="N97" i="17"/>
  <c r="M490" i="17"/>
  <c r="M570" i="17"/>
  <c r="M381" i="17"/>
  <c r="M401" i="17"/>
  <c r="N137" i="17"/>
  <c r="M350" i="17"/>
  <c r="N68" i="17"/>
  <c r="N316" i="17"/>
  <c r="N323" i="17"/>
  <c r="M158" i="17"/>
  <c r="M502" i="17"/>
  <c r="N300" i="17"/>
  <c r="N389" i="17"/>
  <c r="N622" i="17"/>
  <c r="M528" i="17"/>
  <c r="M26" i="17"/>
  <c r="N356" i="17"/>
  <c r="M443" i="17"/>
  <c r="N585" i="17"/>
  <c r="N588" i="17"/>
  <c r="N139" i="17"/>
  <c r="N151" i="17"/>
  <c r="M111" i="17"/>
  <c r="N200" i="17"/>
  <c r="M253" i="17"/>
  <c r="N330" i="17"/>
  <c r="N428" i="17"/>
  <c r="N531" i="17"/>
  <c r="M495" i="17"/>
  <c r="M577" i="17"/>
  <c r="M205" i="17"/>
  <c r="M622" i="17"/>
  <c r="M273" i="17"/>
  <c r="N190" i="17"/>
  <c r="N623" i="17"/>
  <c r="N189" i="17"/>
  <c r="N509" i="17"/>
  <c r="N92" i="17"/>
  <c r="M297" i="17"/>
  <c r="M433" i="17"/>
  <c r="M582" i="17"/>
  <c r="M15" i="17"/>
  <c r="N33" i="17"/>
  <c r="M478" i="17"/>
  <c r="N51" i="17"/>
  <c r="N427" i="17"/>
  <c r="N80" i="17"/>
  <c r="N608" i="17"/>
  <c r="N64" i="17"/>
  <c r="M246" i="17"/>
  <c r="N277" i="17"/>
  <c r="N547" i="17"/>
  <c r="N473" i="17"/>
  <c r="M53" i="17"/>
  <c r="M40" i="17"/>
  <c r="N572" i="17"/>
  <c r="N568" i="17"/>
  <c r="N335" i="17"/>
  <c r="M326" i="17"/>
  <c r="M347" i="17"/>
  <c r="N504" i="17"/>
  <c r="M567" i="17"/>
  <c r="N590" i="17"/>
  <c r="N210" i="17"/>
  <c r="M198" i="17"/>
  <c r="N197" i="17"/>
  <c r="M574" i="17"/>
  <c r="N187" i="17"/>
  <c r="M611" i="17"/>
  <c r="M18" i="17"/>
  <c r="N361" i="17"/>
  <c r="M280" i="17"/>
  <c r="N535" i="17"/>
  <c r="N259" i="17"/>
  <c r="M493" i="17"/>
  <c r="M170" i="17"/>
  <c r="M62" i="17"/>
  <c r="M262" i="17"/>
  <c r="N550" i="17"/>
  <c r="N17" i="17"/>
  <c r="N267" i="17"/>
  <c r="M154" i="17"/>
  <c r="N397" i="17"/>
  <c r="M256" i="17"/>
  <c r="N261" i="17"/>
  <c r="N326" i="17"/>
  <c r="N387" i="17"/>
  <c r="M323" i="17"/>
  <c r="M587" i="17"/>
  <c r="M206" i="17"/>
  <c r="M259" i="17"/>
  <c r="N381" i="17"/>
  <c r="M360" i="17"/>
  <c r="M494" i="17"/>
  <c r="M346" i="17"/>
  <c r="N364" i="17"/>
  <c r="M76" i="17"/>
  <c r="N23" i="17"/>
  <c r="N180" i="17"/>
  <c r="M497" i="17"/>
  <c r="N461" i="17"/>
  <c r="N349" i="17"/>
  <c r="N115" i="17"/>
  <c r="N486" i="17"/>
  <c r="M523" i="17"/>
  <c r="M34" i="17"/>
  <c r="N476" i="17"/>
  <c r="M553" i="17"/>
  <c r="N222" i="17"/>
  <c r="M167" i="17"/>
  <c r="N38" i="17"/>
  <c r="N78" i="17"/>
  <c r="N313" i="17"/>
  <c r="M178" i="17"/>
  <c r="N118" i="17"/>
  <c r="N376" i="17"/>
  <c r="M380" i="17"/>
  <c r="M351" i="17"/>
  <c r="M416" i="17"/>
  <c r="N606" i="17"/>
  <c r="M440" i="17"/>
  <c r="M43" i="17"/>
  <c r="M105" i="17"/>
  <c r="N243" i="17"/>
  <c r="N544" i="17"/>
  <c r="N273" i="17"/>
  <c r="M332" i="17"/>
  <c r="M369" i="17"/>
  <c r="M249" i="17"/>
  <c r="M31" i="17"/>
  <c r="M599" i="17"/>
  <c r="M627" i="17"/>
  <c r="M352" i="17"/>
  <c r="N278" i="17"/>
  <c r="M25" i="17"/>
  <c r="M539" i="17"/>
  <c r="N390" i="17"/>
  <c r="N502" i="17"/>
  <c r="N167" i="17"/>
  <c r="M308" i="17"/>
  <c r="M56" i="17"/>
  <c r="M342" i="17"/>
  <c r="M222" i="17"/>
  <c r="N369" i="17"/>
  <c r="M421" i="17"/>
  <c r="N15" i="17"/>
  <c r="M75" i="17"/>
  <c r="N603" i="17"/>
  <c r="N94" i="17"/>
  <c r="N627" i="17"/>
  <c r="N379" i="17"/>
  <c r="M115" i="17"/>
  <c r="N599" i="17"/>
  <c r="M177" i="17"/>
  <c r="M230" i="17"/>
  <c r="N117" i="17"/>
  <c r="M535" i="17"/>
  <c r="M382" i="17"/>
  <c r="N27" i="17"/>
  <c r="N402" i="17"/>
  <c r="M300" i="17"/>
  <c r="M277" i="17"/>
  <c r="M195" i="17"/>
  <c r="N491" i="17"/>
  <c r="M296" i="17"/>
  <c r="N392" i="17"/>
  <c r="N454" i="17"/>
  <c r="M87" i="17"/>
  <c r="N359" i="17"/>
  <c r="M302" i="17"/>
  <c r="N258" i="17"/>
  <c r="M266" i="17"/>
  <c r="M79" i="17"/>
  <c r="N108" i="17"/>
  <c r="M420" i="17"/>
  <c r="M113" i="17"/>
  <c r="M23" i="17"/>
  <c r="N429" i="17"/>
  <c r="M368" i="17"/>
  <c r="N518" i="17"/>
  <c r="N272" i="17"/>
  <c r="N499" i="17"/>
  <c r="N61" i="17"/>
  <c r="M149" i="17"/>
  <c r="N166" i="17"/>
  <c r="M598" i="17"/>
  <c r="M450" i="17"/>
  <c r="N443" i="17"/>
  <c r="M606" i="17"/>
  <c r="M370" i="17"/>
  <c r="M551" i="17"/>
  <c r="N290" i="17"/>
  <c r="N579" i="17"/>
  <c r="M313" i="17"/>
  <c r="M330" i="17"/>
  <c r="N59" i="17"/>
  <c r="M418" i="17"/>
  <c r="N37" i="17"/>
  <c r="N357" i="17"/>
  <c r="M435" i="17"/>
  <c r="M558" i="17"/>
  <c r="N235" i="17"/>
  <c r="M303" i="17"/>
  <c r="M268" i="17"/>
  <c r="N607" i="17"/>
  <c r="M549" i="17"/>
  <c r="N109" i="17"/>
  <c r="M150" i="17"/>
  <c r="M540" i="17"/>
  <c r="N192" i="17"/>
  <c r="N574" i="17"/>
  <c r="N327" i="17"/>
  <c r="M283" i="17"/>
  <c r="N159" i="17"/>
  <c r="M60" i="17"/>
  <c r="M491" i="17"/>
  <c r="N263" i="17"/>
  <c r="M71" i="17"/>
  <c r="N30" i="17"/>
  <c r="M184" i="17"/>
  <c r="M264" i="17"/>
  <c r="M166" i="17"/>
  <c r="M393" i="17"/>
  <c r="M65" i="17"/>
  <c r="M341" i="17"/>
  <c r="M275" i="17"/>
  <c r="M417" i="17"/>
  <c r="M448" i="17"/>
  <c r="M388" i="17"/>
  <c r="M452" i="17"/>
  <c r="N303" i="17"/>
  <c r="N497" i="17"/>
  <c r="N605" i="17"/>
  <c r="N438" i="17"/>
  <c r="M245" i="17"/>
  <c r="M48" i="17"/>
  <c r="M537" i="17"/>
  <c r="N254" i="17"/>
  <c r="M403" i="17"/>
  <c r="M459" i="17"/>
  <c r="N375" i="17"/>
  <c r="N227" i="17"/>
  <c r="N176" i="17"/>
  <c r="N105" i="17"/>
  <c r="N511" i="17"/>
  <c r="N343" i="17"/>
  <c r="N43" i="17"/>
  <c r="M477" i="17"/>
  <c r="M109" i="17"/>
  <c r="M413" i="17"/>
  <c r="M400" i="17"/>
  <c r="N232" i="17"/>
  <c r="M469" i="17"/>
  <c r="N410" i="17"/>
  <c r="M530" i="17"/>
  <c r="M595" i="17"/>
  <c r="M139" i="17"/>
  <c r="M128" i="17"/>
  <c r="M571" i="17"/>
  <c r="N130" i="17"/>
  <c r="M325" i="17"/>
  <c r="N407" i="17"/>
  <c r="N201" i="17"/>
  <c r="N521" i="17"/>
  <c r="M83" i="17"/>
  <c r="N214" i="17"/>
  <c r="N83" i="17"/>
  <c r="M432" i="17"/>
  <c r="N124" i="17"/>
  <c r="N308" i="17"/>
  <c r="M480" i="17"/>
  <c r="N65" i="17"/>
  <c r="N209" i="17"/>
  <c r="M146" i="17"/>
  <c r="M364" i="17"/>
  <c r="J622" i="17"/>
  <c r="N283" i="17"/>
  <c r="N218" i="17"/>
  <c r="M513" i="17"/>
  <c r="M294" i="17"/>
  <c r="N523" i="17"/>
  <c r="M35" i="17"/>
  <c r="N253" i="17"/>
  <c r="N123" i="17"/>
  <c r="M374" i="17"/>
  <c r="N99" i="17"/>
  <c r="M234" i="17"/>
  <c r="M320" i="17"/>
  <c r="M27" i="17"/>
  <c r="M472" i="17"/>
  <c r="M514" i="17"/>
  <c r="M407" i="17"/>
  <c r="N256" i="17"/>
  <c r="N489" i="17"/>
  <c r="N371" i="17"/>
  <c r="M331" i="17"/>
  <c r="M122" i="17"/>
  <c r="M271" i="17"/>
  <c r="N354" i="17"/>
  <c r="N312" i="17"/>
  <c r="N145" i="17"/>
  <c r="M561" i="17"/>
  <c r="M291" i="17"/>
  <c r="M112" i="17"/>
  <c r="N289" i="17"/>
  <c r="M58" i="17"/>
  <c r="N48" i="17"/>
  <c r="M156" i="17"/>
  <c r="M454" i="17"/>
  <c r="N328" i="17"/>
  <c r="M496" i="17"/>
  <c r="N168" i="17"/>
  <c r="M409" i="17"/>
  <c r="M516" i="17"/>
  <c r="M392" i="17"/>
  <c r="N241" i="17"/>
  <c r="N203" i="17"/>
  <c r="N49" i="17"/>
  <c r="M406" i="17"/>
  <c r="M411" i="17"/>
  <c r="N230" i="17"/>
  <c r="N560" i="17"/>
  <c r="N384" i="17"/>
  <c r="N66" i="17"/>
  <c r="N372" i="17"/>
  <c r="N351" i="17"/>
  <c r="M174" i="17"/>
  <c r="N539" i="17"/>
  <c r="N423" i="17"/>
  <c r="M333" i="17"/>
  <c r="M151" i="17"/>
  <c r="M204" i="17"/>
  <c r="M612" i="17"/>
  <c r="J627" i="17"/>
  <c r="I627" i="17"/>
  <c r="N282" i="17"/>
  <c r="N22" i="17"/>
  <c r="N404" i="17"/>
  <c r="M295" i="17"/>
  <c r="N24" i="17"/>
  <c r="N285" i="17"/>
  <c r="M439" i="17"/>
  <c r="N352" i="17"/>
  <c r="M314" i="17"/>
  <c r="N522" i="17"/>
  <c r="M560" i="17"/>
  <c r="N466" i="17"/>
  <c r="M414" i="17"/>
  <c r="M155" i="17"/>
  <c r="N188" i="17"/>
  <c r="M362" i="17"/>
  <c r="M311" i="17"/>
  <c r="N345" i="17"/>
  <c r="M585" i="17"/>
  <c r="M538" i="17"/>
  <c r="N104" i="17"/>
  <c r="M17" i="17"/>
  <c r="M340" i="17"/>
  <c r="M520" i="17"/>
  <c r="M376" i="17"/>
  <c r="M499" i="17"/>
  <c r="N538" i="17"/>
  <c r="N177" i="17"/>
  <c r="M276" i="17"/>
  <c r="M446" i="17"/>
  <c r="M185" i="17"/>
  <c r="M44" i="17"/>
  <c r="M126" i="17"/>
  <c r="M147" i="17"/>
  <c r="M464" i="17"/>
  <c r="N98" i="17"/>
  <c r="N311" i="17"/>
  <c r="N165" i="17"/>
  <c r="N91" i="17"/>
  <c r="N458" i="17"/>
  <c r="M328" i="17"/>
  <c r="N286" i="17"/>
  <c r="M365" i="17"/>
  <c r="M359" i="17"/>
  <c r="N95" i="17"/>
  <c r="N553" i="17"/>
  <c r="M196" i="17"/>
  <c r="N126" i="17"/>
  <c r="M412" i="17"/>
  <c r="N340" i="17"/>
  <c r="N532" i="17"/>
  <c r="M476" i="17"/>
  <c r="M179" i="17"/>
  <c r="N234" i="17"/>
  <c r="M563" i="17"/>
  <c r="N251" i="17"/>
  <c r="M521" i="17"/>
  <c r="M254" i="17"/>
  <c r="N295" i="17"/>
  <c r="M447" i="17"/>
  <c r="N347" i="17"/>
  <c r="N493" i="17"/>
  <c r="N171" i="17"/>
  <c r="M592" i="17"/>
  <c r="N569" i="17"/>
  <c r="M263" i="17"/>
  <c r="M124" i="17"/>
  <c r="M310" i="17"/>
  <c r="N196" i="17"/>
  <c r="M190" i="17"/>
  <c r="N184" i="17"/>
  <c r="M481" i="17"/>
  <c r="N460" i="17"/>
  <c r="N101" i="17"/>
  <c r="N360" i="17"/>
  <c r="N60" i="17"/>
  <c r="N595" i="17"/>
  <c r="M241" i="17"/>
  <c r="N477" i="17"/>
  <c r="N69" i="17"/>
  <c r="M130" i="17"/>
  <c r="M92" i="17"/>
  <c r="N382" i="17"/>
  <c r="N173" i="17"/>
  <c r="M118" i="17"/>
  <c r="N206" i="17"/>
  <c r="N183" i="17"/>
  <c r="N424" i="17"/>
  <c r="M509" i="17"/>
  <c r="M379" i="17"/>
  <c r="M517" i="17"/>
  <c r="N225" i="17"/>
  <c r="N169" i="17"/>
  <c r="N415" i="17"/>
  <c r="N294" i="17"/>
  <c r="M425" i="17"/>
  <c r="M176" i="17"/>
  <c r="M604" i="17"/>
  <c r="N373" i="17"/>
  <c r="M227" i="17"/>
  <c r="M377" i="17"/>
  <c r="M162" i="17"/>
  <c r="N598" i="17"/>
  <c r="M626" i="17"/>
  <c r="M82" i="17"/>
  <c r="M479" i="17"/>
  <c r="M526" i="17"/>
  <c r="N549" i="17"/>
  <c r="N485" i="17"/>
  <c r="N325" i="17"/>
  <c r="N193" i="17"/>
  <c r="N302" i="17"/>
  <c r="M293" i="17"/>
  <c r="M431" i="17"/>
  <c r="M215" i="17"/>
  <c r="M503" i="17"/>
  <c r="M117" i="17"/>
  <c r="N478" i="17"/>
  <c r="M70" i="17"/>
  <c r="N202" i="17"/>
  <c r="N628" i="17"/>
  <c r="M536" i="17"/>
  <c r="M436" i="17"/>
  <c r="N44" i="17"/>
  <c r="N244" i="17"/>
  <c r="M316" i="17"/>
  <c r="N67" i="17"/>
  <c r="N496" i="17"/>
  <c r="N587" i="17"/>
  <c r="M189" i="17"/>
  <c r="N472" i="17"/>
  <c r="M501" i="17"/>
  <c r="M91" i="17"/>
  <c r="N16" i="17"/>
  <c r="N341" i="17"/>
  <c r="M471" i="17"/>
  <c r="M441" i="17"/>
  <c r="N73" i="17"/>
  <c r="M430" i="17"/>
  <c r="N158" i="17"/>
  <c r="N219" i="17"/>
  <c r="M389" i="17"/>
  <c r="N414" i="17"/>
  <c r="M59" i="17"/>
  <c r="M116" i="17"/>
  <c r="N601" i="17"/>
  <c r="N229" i="17"/>
  <c r="N276" i="17"/>
  <c r="N129" i="17"/>
  <c r="M107" i="17"/>
  <c r="M485" i="17"/>
  <c r="N13" i="17"/>
  <c r="N20" i="17"/>
  <c r="M487" i="17"/>
  <c r="M86" i="17"/>
  <c r="M337" i="17"/>
  <c r="N556" i="17"/>
  <c r="N540" i="17"/>
  <c r="N113" i="17"/>
  <c r="M372" i="17"/>
  <c r="N519" i="17"/>
  <c r="M306" i="17"/>
  <c r="M405" i="17"/>
  <c r="M164" i="17"/>
  <c r="M279" i="17"/>
  <c r="M208" i="17"/>
  <c r="N293" i="17"/>
  <c r="M193" i="17"/>
  <c r="N430" i="17"/>
  <c r="M410" i="17"/>
  <c r="N32" i="17"/>
  <c r="M137" i="17"/>
  <c r="M153" i="17"/>
  <c r="M161" i="17"/>
  <c r="N88" i="17"/>
  <c r="N530" i="17"/>
  <c r="N490" i="17"/>
  <c r="M97" i="17"/>
  <c r="N217" i="17"/>
  <c r="M608" i="17"/>
  <c r="N186" i="17"/>
  <c r="M578" i="17"/>
  <c r="N281" i="17"/>
  <c r="N287" i="17"/>
  <c r="M192" i="17"/>
  <c r="N457" i="17"/>
  <c r="N50" i="17"/>
  <c r="M270" i="17"/>
  <c r="M274" i="17"/>
  <c r="N211" i="17"/>
  <c r="M63" i="17"/>
  <c r="M89" i="17"/>
  <c r="M30" i="17"/>
  <c r="M613" i="17"/>
  <c r="N494" i="17"/>
  <c r="N548" i="17"/>
  <c r="M610" i="17"/>
  <c r="N77" i="17"/>
  <c r="M524" i="17"/>
  <c r="M29" i="17"/>
  <c r="M583" i="17"/>
  <c r="M236" i="17"/>
  <c r="N479" i="17"/>
  <c r="M119" i="17"/>
  <c r="N21" i="17"/>
  <c r="N533" i="17"/>
  <c r="M194" i="17"/>
  <c r="M573" i="17"/>
  <c r="M93" i="17"/>
  <c r="N125" i="17"/>
  <c r="N138" i="17"/>
  <c r="N613" i="17"/>
  <c r="N288" i="17"/>
  <c r="M182" i="17"/>
  <c r="M28" i="17"/>
  <c r="N224" i="17"/>
  <c r="M64" i="17"/>
  <c r="N524" i="17"/>
  <c r="N162" i="17"/>
  <c r="N564" i="17"/>
  <c r="N464" i="17"/>
  <c r="N600" i="17"/>
  <c r="N120" i="17"/>
  <c r="M349" i="17"/>
  <c r="M492" i="17"/>
  <c r="N85" i="17"/>
  <c r="N31" i="17"/>
  <c r="N431" i="17"/>
  <c r="N153" i="17"/>
  <c r="M32" i="17"/>
  <c r="N514" i="17"/>
  <c r="M267" i="17"/>
  <c r="M390" i="17"/>
  <c r="N418" i="17"/>
  <c r="M181" i="17"/>
  <c r="M138" i="17"/>
  <c r="N239" i="17"/>
  <c r="M98" i="17"/>
  <c r="N463" i="17"/>
  <c r="N257" i="17"/>
  <c r="M285" i="17"/>
  <c r="N160" i="17"/>
  <c r="M404" i="17"/>
  <c r="M534" i="17"/>
  <c r="M288" i="17"/>
  <c r="N442" i="17"/>
  <c r="N18" i="17"/>
  <c r="N580" i="17"/>
  <c r="M54" i="17"/>
  <c r="N268" i="17"/>
  <c r="N575" i="17"/>
  <c r="N93" i="17"/>
  <c r="M510" i="17"/>
  <c r="M80" i="17"/>
  <c r="M72" i="17"/>
  <c r="N19" i="17"/>
  <c r="M94" i="17"/>
  <c r="M423" i="17"/>
  <c r="N597" i="17"/>
  <c r="N527" i="17"/>
  <c r="N52" i="17"/>
  <c r="M426" i="17"/>
  <c r="M242" i="17"/>
  <c r="N324" i="17"/>
  <c r="M605" i="17"/>
  <c r="N610" i="17"/>
  <c r="N262" i="17"/>
  <c r="N320" i="17"/>
  <c r="N82" i="17"/>
  <c r="M252" i="17"/>
  <c r="M129" i="17"/>
  <c r="M247" i="17"/>
  <c r="M628" i="17"/>
  <c r="N487" i="17"/>
  <c r="N246" i="17"/>
  <c r="N54" i="17"/>
  <c r="M546" i="17"/>
  <c r="M226" i="17"/>
  <c r="N135" i="17"/>
  <c r="N175" i="17"/>
  <c r="M309" i="17"/>
  <c r="N40" i="17"/>
  <c r="N582" i="17"/>
  <c r="N471" i="17"/>
  <c r="N42" i="17"/>
  <c r="M584" i="17"/>
  <c r="N508" i="17"/>
  <c r="N228" i="17"/>
  <c r="N529" i="17"/>
  <c r="M175" i="17"/>
  <c r="M171" i="17"/>
  <c r="M290" i="17"/>
  <c r="M188" i="17"/>
  <c r="N567" i="17"/>
  <c r="N581" i="17"/>
  <c r="M52" i="17"/>
  <c r="N449" i="17"/>
  <c r="N207" i="17"/>
  <c r="M99" i="17"/>
  <c r="M345" i="17"/>
  <c r="N596" i="17"/>
  <c r="N552" i="17"/>
  <c r="N447" i="17"/>
  <c r="M228" i="17"/>
  <c r="M265" i="17"/>
  <c r="M564" i="17"/>
  <c r="N275" i="17"/>
  <c r="M609" i="17"/>
  <c r="M453" i="17"/>
  <c r="M237" i="17"/>
  <c r="M586" i="17"/>
  <c r="N195" i="17"/>
  <c r="M415" i="17"/>
  <c r="M321" i="17"/>
  <c r="M408" i="17"/>
  <c r="M46" i="17"/>
  <c r="M125" i="17"/>
  <c r="N221" i="17"/>
  <c r="M465" i="17"/>
  <c r="N388" i="17"/>
  <c r="M20" i="17"/>
  <c r="N317" i="17"/>
  <c r="N14" i="17"/>
  <c r="N358" i="17"/>
  <c r="M282" i="17"/>
  <c r="M19" i="17"/>
  <c r="M358" i="17"/>
  <c r="M225" i="17"/>
  <c r="M163" i="17"/>
  <c r="N199" i="17"/>
  <c r="M594" i="17"/>
  <c r="M596" i="17"/>
  <c r="M201" i="17"/>
  <c r="M258" i="17"/>
  <c r="N35" i="17"/>
  <c r="M434" i="17"/>
  <c r="N339" i="17"/>
  <c r="M145" i="17"/>
  <c r="M375" i="17"/>
  <c r="M356" i="17"/>
  <c r="M101" i="17"/>
  <c r="M51" i="17"/>
  <c r="M68" i="17"/>
  <c r="M183" i="17"/>
  <c r="N157" i="17"/>
  <c r="M85" i="17"/>
  <c r="M488" i="17"/>
  <c r="M579" i="17"/>
  <c r="N39" i="17"/>
  <c r="M572" i="17"/>
  <c r="M557" i="17"/>
  <c r="N399" i="17"/>
  <c r="M603" i="17"/>
  <c r="M216" i="17"/>
  <c r="M74" i="17"/>
  <c r="N546" i="17"/>
  <c r="N182" i="17"/>
  <c r="M220" i="17"/>
  <c r="N127" i="17"/>
  <c r="N223" i="17"/>
  <c r="N307" i="17"/>
  <c r="N433" i="17"/>
  <c r="M576" i="17"/>
  <c r="N133" i="17"/>
  <c r="N422" i="17"/>
  <c r="N250" i="17"/>
  <c r="N542" i="17"/>
  <c r="N174" i="17"/>
  <c r="M200" i="17"/>
  <c r="N134" i="17"/>
  <c r="N393" i="17"/>
  <c r="N58" i="17"/>
  <c r="M289" i="17"/>
  <c r="M197" i="17"/>
  <c r="N440" i="17"/>
  <c r="M437" i="17"/>
  <c r="N154" i="17"/>
  <c r="M121" i="17"/>
  <c r="M211" i="17"/>
  <c r="M55" i="17"/>
  <c r="N417" i="17"/>
  <c r="M339" i="17"/>
  <c r="M36" i="17"/>
  <c r="I627" i="25"/>
  <c r="I622" i="25"/>
  <c r="J622" i="25"/>
  <c r="J627" i="25"/>
  <c r="M239" i="17"/>
  <c r="N400" i="17"/>
  <c r="N141" i="17"/>
  <c r="N602" i="17"/>
  <c r="N248" i="17"/>
  <c r="M504" i="17"/>
  <c r="N468" i="17"/>
  <c r="N298" i="17"/>
  <c r="M248" i="17"/>
  <c r="M299" i="17"/>
  <c r="N383" i="17"/>
  <c r="M96" i="17"/>
  <c r="M287" i="17"/>
  <c r="M209" i="17"/>
  <c r="N79" i="17"/>
  <c r="N469" i="17"/>
  <c r="N74" i="17"/>
  <c r="N395" i="17"/>
  <c r="M100" i="17"/>
  <c r="N280" i="17"/>
  <c r="N368" i="17"/>
  <c r="M69" i="17"/>
  <c r="M66" i="17"/>
  <c r="N213" i="17"/>
  <c r="M173" i="17"/>
  <c r="N346" i="17"/>
  <c r="N492" i="17"/>
  <c r="M458" i="17"/>
  <c r="N563" i="17"/>
  <c r="N566" i="17"/>
  <c r="N515" i="17"/>
  <c r="M251" i="17"/>
  <c r="N163" i="17"/>
  <c r="N545" i="17"/>
  <c r="M371" i="17"/>
  <c r="N503" i="17"/>
  <c r="N420" i="17"/>
  <c r="M357" i="17"/>
  <c r="M489" i="17"/>
  <c r="M547" i="17"/>
  <c r="N501" i="17"/>
  <c r="M591" i="17"/>
  <c r="M399" i="17"/>
  <c r="N604" i="17"/>
  <c r="N380" i="17"/>
  <c r="N75" i="17"/>
  <c r="N205" i="17"/>
  <c r="M498" i="17"/>
  <c r="M202" i="17"/>
  <c r="N55" i="17"/>
  <c r="N559" i="17"/>
  <c r="N526" i="17"/>
  <c r="M207" i="17"/>
  <c r="N28" i="17"/>
  <c r="N416" i="17"/>
  <c r="N334" i="17"/>
  <c r="N46" i="17"/>
  <c r="M565" i="17"/>
  <c r="N452" i="17"/>
  <c r="N208" i="17"/>
  <c r="N366" i="17"/>
  <c r="N284" i="17"/>
  <c r="N363" i="17"/>
  <c r="N122" i="17"/>
  <c r="M559" i="17"/>
  <c r="N63" i="17"/>
  <c r="N185" i="17"/>
  <c r="M33" i="17"/>
  <c r="M110" i="17"/>
  <c r="M600" i="17"/>
  <c r="M590" i="17"/>
  <c r="N271" i="17"/>
  <c r="M38" i="17"/>
  <c r="M552" i="17"/>
  <c r="M269" i="17"/>
  <c r="N319" i="17"/>
  <c r="N412" i="17"/>
  <c r="N401" i="17"/>
  <c r="M169" i="17"/>
  <c r="N72" i="17"/>
  <c r="N172" i="17"/>
  <c r="N71" i="17"/>
  <c r="N231" i="17"/>
  <c r="M301" i="17"/>
  <c r="N164" i="17"/>
  <c r="M45" i="17"/>
  <c r="M438" i="17"/>
  <c r="M141" i="17"/>
  <c r="M541" i="17"/>
  <c r="M486" i="17"/>
  <c r="M168" i="17"/>
  <c r="N336" i="17"/>
  <c r="N495" i="17"/>
  <c r="N541" i="17"/>
  <c r="N156" i="17"/>
  <c r="N528" i="17"/>
  <c r="M457" i="17"/>
  <c r="M338" i="17"/>
  <c r="N507" i="17"/>
  <c r="N571" i="17"/>
  <c r="N448" i="17"/>
  <c r="M533" i="17"/>
  <c r="M463" i="17"/>
  <c r="M47" i="17"/>
  <c r="M67" i="17"/>
  <c r="M123" i="17"/>
  <c r="N512" i="17"/>
  <c r="N337" i="17"/>
  <c r="M322" i="17"/>
  <c r="N245" i="17"/>
  <c r="M106" i="17"/>
  <c r="N212" i="17"/>
  <c r="N215" i="17"/>
  <c r="M593" i="17"/>
  <c r="N36" i="17"/>
  <c r="M580" i="17"/>
  <c r="N520" i="17"/>
  <c r="N146" i="17"/>
  <c r="N510" i="17"/>
  <c r="M219" i="17"/>
  <c r="M95" i="17"/>
  <c r="N344" i="17"/>
  <c r="N374" i="17"/>
  <c r="M588" i="17"/>
  <c r="M455" i="17"/>
  <c r="M312" i="17"/>
  <c r="N536" i="17"/>
  <c r="N353" i="17"/>
  <c r="N161" i="17"/>
  <c r="N240" i="17"/>
  <c r="N573" i="17"/>
  <c r="N500" i="17"/>
  <c r="N155" i="17"/>
  <c r="N238" i="17"/>
  <c r="N87" i="17"/>
  <c r="N377" i="17"/>
  <c r="N252" i="17"/>
  <c r="N537" i="17"/>
  <c r="N612" i="17"/>
  <c r="N90" i="17"/>
  <c r="N562" i="17"/>
  <c r="M461" i="17"/>
  <c r="M127" i="17"/>
  <c r="M88" i="17"/>
  <c r="M366" i="17"/>
  <c r="M532" i="17"/>
  <c r="M548" i="17"/>
  <c r="N111" i="17"/>
  <c r="M327" i="17"/>
  <c r="M13" i="17"/>
  <c r="N178" i="17"/>
  <c r="N609" i="17"/>
  <c r="N179" i="17"/>
  <c r="N378" i="17"/>
  <c r="N555" i="17"/>
  <c r="N565" i="17"/>
  <c r="M507" i="17"/>
  <c r="N554" i="17"/>
  <c r="M37" i="17"/>
  <c r="M159" i="17"/>
  <c r="N470" i="17"/>
  <c r="N421" i="17"/>
  <c r="M103" i="17"/>
  <c r="M475" i="17"/>
  <c r="M41" i="17"/>
  <c r="M186" i="17"/>
  <c r="N310" i="17"/>
  <c r="N577" i="17"/>
  <c r="N150" i="17"/>
  <c r="N119" i="17"/>
  <c r="M512" i="17"/>
  <c r="N350" i="17"/>
  <c r="N408" i="17"/>
  <c r="N578" i="17"/>
  <c r="N611" i="17"/>
  <c r="M482" i="17"/>
  <c r="M344" i="17"/>
  <c r="M134" i="17"/>
  <c r="N41" i="17"/>
  <c r="M257" i="17"/>
  <c r="N297" i="17"/>
  <c r="M120" i="17"/>
  <c r="N100" i="17"/>
  <c r="N296" i="17"/>
  <c r="M281" i="17"/>
  <c r="M522" i="17"/>
  <c r="N112" i="17"/>
  <c r="N84" i="17"/>
  <c r="N594" i="17"/>
  <c r="N391" i="17"/>
  <c r="M385" i="17"/>
  <c r="N47" i="17"/>
  <c r="M140" i="17"/>
  <c r="M315" i="17"/>
  <c r="M132" i="17"/>
  <c r="N148" i="17"/>
  <c r="N131" i="17"/>
  <c r="N34" i="17"/>
  <c r="M148" i="17"/>
  <c r="M429" i="17"/>
  <c r="M39" i="17"/>
  <c r="N306" i="17"/>
  <c r="M500" i="17"/>
  <c r="N474" i="17"/>
  <c r="M14" i="17"/>
  <c r="N355" i="17"/>
  <c r="N591" i="17"/>
  <c r="M223" i="17"/>
  <c r="M199" i="17"/>
  <c r="N455" i="17"/>
  <c r="N589" i="17"/>
  <c r="N301" i="17"/>
  <c r="N626" i="17"/>
  <c r="M24" i="17"/>
  <c r="N103" i="17"/>
  <c r="N62" i="17"/>
  <c r="N96" i="17"/>
  <c r="N147" i="17"/>
  <c r="N394" i="17"/>
  <c r="N398" i="17"/>
  <c r="N315" i="17"/>
  <c r="N226" i="17"/>
  <c r="N405" i="17"/>
  <c r="N437" i="17"/>
  <c r="N498" i="17"/>
  <c r="M136" i="17"/>
  <c r="N446" i="17"/>
  <c r="N584" i="17"/>
  <c r="M319" i="17"/>
  <c r="M508" i="17"/>
  <c r="M444" i="17"/>
  <c r="M470" i="17"/>
  <c r="M542" i="17"/>
  <c r="N291" i="17"/>
  <c r="N53" i="17"/>
  <c r="N516" i="17"/>
  <c r="M597" i="17"/>
  <c r="N233" i="17"/>
  <c r="N506" i="17"/>
  <c r="N305" i="17"/>
  <c r="M157" i="17"/>
  <c r="M42" i="17"/>
  <c r="M506" i="17"/>
  <c r="N128" i="17"/>
  <c r="M50" i="17"/>
  <c r="M527" i="17"/>
  <c r="M243" i="17"/>
  <c r="N56" i="17"/>
  <c r="N318" i="17"/>
  <c r="M467" i="17"/>
  <c r="N220" i="17"/>
  <c r="N517" i="17"/>
  <c r="M384" i="17"/>
  <c r="M531" i="17"/>
  <c r="N425" i="17"/>
  <c r="N456" i="17"/>
  <c r="M305" i="17"/>
  <c r="N593" i="17"/>
  <c r="M336" i="17"/>
  <c r="M468" i="17"/>
  <c r="M191" i="17"/>
  <c r="N338" i="17"/>
  <c r="M240" i="17"/>
  <c r="N534" i="17"/>
  <c r="N170" i="17"/>
  <c r="M484" i="17"/>
  <c r="M424" i="17"/>
  <c r="N543" i="17"/>
  <c r="N450" i="17"/>
  <c r="M550" i="17"/>
  <c r="N592" i="17"/>
  <c r="M361" i="17"/>
  <c r="M442" i="17"/>
  <c r="N70" i="17"/>
  <c r="M466" i="17"/>
  <c r="J557" i="25"/>
  <c r="J550" i="25"/>
  <c r="J212" i="25"/>
  <c r="I255" i="25"/>
  <c r="I304" i="25"/>
  <c r="I359" i="25"/>
  <c r="I435" i="25"/>
  <c r="J97" i="25"/>
  <c r="I598" i="25"/>
  <c r="I286" i="25"/>
  <c r="J508" i="25"/>
  <c r="I418" i="25"/>
  <c r="I574" i="25"/>
  <c r="J130" i="25"/>
  <c r="I425" i="25"/>
  <c r="J119" i="25"/>
  <c r="J574" i="25"/>
  <c r="J27" i="25"/>
  <c r="I250" i="25"/>
  <c r="J553" i="25"/>
  <c r="J585" i="25"/>
  <c r="I485" i="25"/>
  <c r="I104" i="25"/>
  <c r="J136" i="25"/>
  <c r="J59" i="25"/>
  <c r="J426" i="25"/>
  <c r="I442" i="25"/>
  <c r="I570" i="25"/>
  <c r="J235" i="25"/>
  <c r="I305" i="25"/>
  <c r="I399" i="25"/>
  <c r="I413" i="25"/>
  <c r="I578" i="25"/>
  <c r="I210" i="25"/>
  <c r="J286" i="25"/>
  <c r="J108" i="25"/>
  <c r="I371" i="25"/>
  <c r="J411" i="25"/>
  <c r="I70" i="25"/>
  <c r="J218" i="25"/>
  <c r="I495" i="25"/>
  <c r="I589" i="25"/>
  <c r="I381" i="25"/>
  <c r="J338" i="25"/>
  <c r="J101" i="25"/>
  <c r="I186" i="25"/>
  <c r="J488" i="25"/>
  <c r="I200" i="25"/>
  <c r="J247" i="25"/>
  <c r="J596" i="25"/>
  <c r="J504" i="25"/>
  <c r="I26" i="25"/>
  <c r="J324" i="25"/>
  <c r="J311" i="25"/>
  <c r="J157" i="25"/>
  <c r="J495" i="25"/>
  <c r="J459" i="25"/>
  <c r="I480" i="25"/>
  <c r="J527" i="25"/>
  <c r="I246" i="25"/>
  <c r="J297" i="25"/>
  <c r="I388" i="25"/>
  <c r="I562" i="25"/>
  <c r="J375" i="25"/>
  <c r="I43" i="25"/>
  <c r="I479" i="25"/>
  <c r="I155" i="25"/>
  <c r="I99" i="25"/>
  <c r="I539" i="25"/>
  <c r="J576" i="25"/>
  <c r="I386" i="25"/>
  <c r="I390" i="25"/>
  <c r="J530" i="25"/>
  <c r="I431" i="25"/>
  <c r="I238" i="25"/>
  <c r="I139" i="25"/>
  <c r="I419" i="25"/>
  <c r="I428" i="25"/>
  <c r="J445" i="25"/>
  <c r="J190" i="25"/>
  <c r="J68" i="25"/>
  <c r="I231" i="25"/>
  <c r="I356" i="25"/>
  <c r="I275" i="25"/>
  <c r="J599" i="25"/>
  <c r="I47" i="25"/>
  <c r="I330" i="25"/>
  <c r="I130" i="25"/>
  <c r="I573" i="25"/>
  <c r="I195" i="25"/>
  <c r="I284" i="25"/>
  <c r="I117" i="25"/>
  <c r="I526" i="25"/>
  <c r="J425" i="25"/>
  <c r="I161" i="25"/>
  <c r="J222" i="25"/>
  <c r="I552" i="25"/>
  <c r="I298" i="25"/>
  <c r="I171" i="25"/>
  <c r="J128" i="25"/>
  <c r="I124" i="25"/>
  <c r="I232" i="25"/>
  <c r="I288" i="25"/>
  <c r="J416" i="25"/>
  <c r="J554" i="25"/>
  <c r="J134" i="25"/>
  <c r="J285" i="25"/>
  <c r="I317" i="25"/>
  <c r="I575" i="25"/>
  <c r="J215" i="25"/>
  <c r="J127" i="25"/>
  <c r="J14" i="25"/>
  <c r="J463" i="25"/>
  <c r="J261" i="25"/>
  <c r="J349" i="25"/>
  <c r="J538" i="25"/>
  <c r="I308" i="25"/>
  <c r="I550" i="25"/>
  <c r="I492" i="25"/>
  <c r="J178" i="25"/>
  <c r="J394" i="25"/>
  <c r="J304" i="25"/>
  <c r="I137" i="25"/>
  <c r="I164" i="25"/>
  <c r="I88" i="25"/>
  <c r="J302" i="25"/>
  <c r="I128" i="25"/>
  <c r="I218" i="25"/>
  <c r="J203" i="25"/>
  <c r="J114" i="25"/>
  <c r="I314" i="25"/>
  <c r="I166" i="25"/>
  <c r="I20" i="25"/>
  <c r="J228" i="25"/>
  <c r="I349" i="25"/>
  <c r="J496" i="25"/>
  <c r="I82" i="25"/>
  <c r="I105" i="25"/>
  <c r="I271" i="25"/>
  <c r="J479" i="25"/>
  <c r="J549" i="25"/>
  <c r="J569" i="25"/>
  <c r="J252" i="25"/>
  <c r="J461" i="25"/>
  <c r="J69" i="25"/>
  <c r="J401" i="25"/>
  <c r="J544" i="25"/>
  <c r="I283" i="25"/>
  <c r="J428" i="25"/>
  <c r="I208" i="25"/>
  <c r="J160" i="25"/>
  <c r="I430" i="25"/>
  <c r="I150" i="25"/>
  <c r="J291" i="25"/>
  <c r="I351" i="25"/>
  <c r="J533" i="25"/>
  <c r="I455" i="25"/>
  <c r="J189" i="25"/>
  <c r="J174" i="25"/>
  <c r="J523" i="25"/>
  <c r="I467" i="25"/>
  <c r="I521" i="25"/>
  <c r="J116" i="25"/>
  <c r="I115" i="25"/>
  <c r="J558" i="25"/>
  <c r="J457" i="25"/>
  <c r="J243" i="25"/>
  <c r="J256" i="25"/>
  <c r="J587" i="25"/>
  <c r="I339" i="25"/>
  <c r="J51" i="25"/>
  <c r="J210" i="25"/>
  <c r="I548" i="25"/>
  <c r="J220" i="25"/>
  <c r="J417" i="25"/>
  <c r="J223" i="25"/>
  <c r="J329" i="25"/>
  <c r="I572" i="25"/>
  <c r="J120" i="25"/>
  <c r="I274" i="25"/>
  <c r="J200" i="25"/>
  <c r="I223" i="25"/>
  <c r="I46" i="25"/>
  <c r="J48" i="25"/>
  <c r="I571" i="25"/>
  <c r="I532" i="25"/>
  <c r="I415" i="25"/>
  <c r="J524" i="25"/>
  <c r="I121" i="25"/>
  <c r="I312" i="25"/>
  <c r="J571" i="25"/>
  <c r="I252" i="25"/>
  <c r="I453" i="25"/>
  <c r="I427" i="25"/>
  <c r="I224" i="25"/>
  <c r="J340" i="25"/>
  <c r="I173" i="25"/>
  <c r="I101" i="25"/>
  <c r="J456" i="25"/>
  <c r="I290" i="25"/>
  <c r="J105" i="25"/>
  <c r="J623" i="25"/>
  <c r="I107" i="25"/>
  <c r="I370" i="25"/>
  <c r="J430" i="25"/>
  <c r="I405" i="25"/>
  <c r="I536" i="25"/>
  <c r="J52" i="25"/>
  <c r="I410" i="25"/>
  <c r="J399" i="25"/>
  <c r="J169" i="25"/>
  <c r="J207" i="25"/>
  <c r="J390" i="25"/>
  <c r="J451" i="25"/>
  <c r="J442" i="25"/>
  <c r="I132" i="25"/>
  <c r="I365" i="25"/>
  <c r="J70" i="25"/>
  <c r="J280" i="25"/>
  <c r="I392" i="25"/>
  <c r="I311" i="25"/>
  <c r="I241" i="25"/>
  <c r="I118" i="25"/>
  <c r="J427" i="25"/>
  <c r="J537" i="25"/>
  <c r="I321" i="25"/>
  <c r="J74" i="25"/>
  <c r="I626" i="25"/>
  <c r="I103" i="25"/>
  <c r="J276" i="25"/>
  <c r="J221" i="25"/>
  <c r="I600" i="25"/>
  <c r="J267" i="25"/>
  <c r="J595" i="25"/>
  <c r="J526" i="25"/>
  <c r="I260" i="25"/>
  <c r="I373" i="25"/>
  <c r="I389" i="25"/>
  <c r="J471" i="25"/>
  <c r="J15" i="25"/>
  <c r="I563" i="25"/>
  <c r="I363" i="25"/>
  <c r="I19" i="25"/>
  <c r="I176" i="25"/>
  <c r="J577" i="25"/>
  <c r="J260" i="25"/>
  <c r="J449" i="25"/>
  <c r="I278" i="25"/>
  <c r="J610" i="25"/>
  <c r="I83" i="25"/>
  <c r="J327" i="25"/>
  <c r="I177" i="25"/>
  <c r="I175" i="25"/>
  <c r="J458" i="25"/>
  <c r="I108" i="25"/>
  <c r="I209" i="25"/>
  <c r="I451" i="25"/>
  <c r="I533" i="25"/>
  <c r="J597" i="25"/>
  <c r="J580" i="25"/>
  <c r="I567" i="25"/>
  <c r="I579" i="25"/>
  <c r="J540" i="25"/>
  <c r="J226" i="25"/>
  <c r="I424" i="25"/>
  <c r="I458" i="25"/>
  <c r="J236" i="25"/>
  <c r="I52" i="25"/>
  <c r="J370" i="25"/>
  <c r="I167" i="25"/>
  <c r="I53" i="25"/>
  <c r="I505" i="25"/>
  <c r="J478" i="25"/>
  <c r="J505" i="25"/>
  <c r="I151" i="25"/>
  <c r="I75" i="25"/>
  <c r="I378" i="25"/>
  <c r="I180" i="25"/>
  <c r="I511" i="25"/>
  <c r="I565" i="25"/>
  <c r="J58" i="25"/>
  <c r="I358" i="25"/>
  <c r="J590" i="25"/>
  <c r="I324" i="25"/>
  <c r="I494" i="25"/>
  <c r="I603" i="25"/>
  <c r="I109" i="25"/>
  <c r="J314" i="25"/>
  <c r="I165" i="25"/>
  <c r="J229" i="25"/>
  <c r="I36" i="25"/>
  <c r="J476" i="25"/>
  <c r="I360" i="25"/>
  <c r="I523" i="25"/>
  <c r="I190" i="25"/>
  <c r="I18" i="25"/>
  <c r="J594" i="25"/>
  <c r="J288" i="25"/>
  <c r="J306" i="25"/>
  <c r="I197" i="25"/>
  <c r="I178" i="25"/>
  <c r="J605" i="25"/>
  <c r="J534" i="25"/>
  <c r="J626" i="25"/>
  <c r="J132" i="25"/>
  <c r="I38" i="25"/>
  <c r="J173" i="25"/>
  <c r="I577" i="25"/>
  <c r="J194" i="25"/>
  <c r="I416" i="25"/>
  <c r="J138" i="25"/>
  <c r="I211" i="25"/>
  <c r="J248" i="25"/>
  <c r="I326" i="25"/>
  <c r="I282" i="25"/>
  <c r="J468" i="25"/>
  <c r="I559" i="25"/>
  <c r="J237" i="25"/>
  <c r="I491" i="25"/>
  <c r="I353" i="25"/>
  <c r="J589" i="25"/>
  <c r="J133" i="25"/>
  <c r="J363" i="25"/>
  <c r="J336" i="25"/>
  <c r="I459" i="25"/>
  <c r="J499" i="25"/>
  <c r="I40" i="25"/>
  <c r="J240" i="25"/>
  <c r="J608" i="25"/>
  <c r="I300" i="25"/>
  <c r="I498" i="25"/>
  <c r="I414" i="25"/>
  <c r="J106" i="25"/>
  <c r="J364" i="25"/>
  <c r="J422" i="25"/>
  <c r="I594" i="25"/>
  <c r="I604" i="25"/>
  <c r="J511" i="25"/>
  <c r="I276" i="25"/>
  <c r="J437" i="25"/>
  <c r="J92" i="25"/>
  <c r="J147" i="25"/>
  <c r="J405" i="25"/>
  <c r="J397" i="25"/>
  <c r="J87" i="25"/>
  <c r="I307" i="25"/>
  <c r="J374" i="25"/>
  <c r="I28" i="25"/>
  <c r="J154" i="25"/>
  <c r="I272" i="25"/>
  <c r="I560" i="25"/>
  <c r="J316" i="25"/>
  <c r="J73" i="25"/>
  <c r="I412" i="25"/>
  <c r="J175" i="25"/>
  <c r="J158" i="25"/>
  <c r="I512" i="25"/>
  <c r="J126" i="25"/>
  <c r="J575" i="25"/>
  <c r="I417" i="25"/>
  <c r="J205" i="25"/>
  <c r="I376" i="25"/>
  <c r="J163" i="25"/>
  <c r="J254" i="25"/>
  <c r="I597" i="25"/>
  <c r="I530" i="25"/>
  <c r="I520" i="25"/>
  <c r="J53" i="25"/>
  <c r="J409" i="25"/>
  <c r="I131" i="25"/>
  <c r="I84" i="25"/>
  <c r="I368" i="25"/>
  <c r="J433" i="25"/>
  <c r="J586" i="25"/>
  <c r="J259" i="25"/>
  <c r="J583" i="25"/>
  <c r="J335" i="25"/>
  <c r="J536" i="25"/>
  <c r="I194" i="25"/>
  <c r="I457" i="25"/>
  <c r="I507" i="25"/>
  <c r="I229" i="25"/>
  <c r="I593" i="25"/>
  <c r="I50" i="25"/>
  <c r="I362" i="25"/>
  <c r="J369" i="25"/>
  <c r="J346" i="25"/>
  <c r="J217" i="25"/>
  <c r="J111" i="25"/>
  <c r="J208" i="25"/>
  <c r="I89" i="25"/>
  <c r="I588" i="25"/>
  <c r="J197" i="25"/>
  <c r="J289" i="25"/>
  <c r="I74" i="25"/>
  <c r="J403" i="25"/>
  <c r="I470" i="25"/>
  <c r="J238" i="25"/>
  <c r="J282" i="25"/>
  <c r="J271" i="25"/>
  <c r="J290" i="25"/>
  <c r="I434" i="25"/>
  <c r="J172" i="25"/>
  <c r="J611" i="25"/>
  <c r="J34" i="25"/>
  <c r="J350" i="25"/>
  <c r="J141" i="25"/>
  <c r="I429" i="25"/>
  <c r="J250" i="25"/>
  <c r="J367" i="25"/>
  <c r="J592" i="25"/>
  <c r="I590" i="25"/>
  <c r="I81" i="25"/>
  <c r="I29" i="25"/>
  <c r="I476" i="25"/>
  <c r="J423" i="25"/>
  <c r="J440" i="25"/>
  <c r="J171" i="25"/>
  <c r="J341" i="25"/>
  <c r="J94" i="25"/>
  <c r="I420" i="25"/>
  <c r="I243" i="25"/>
  <c r="I206" i="25"/>
  <c r="I500" i="25"/>
  <c r="I174" i="25"/>
  <c r="J601" i="25"/>
  <c r="J489" i="25"/>
  <c r="I201" i="25"/>
  <c r="J209" i="25"/>
  <c r="J49" i="25"/>
  <c r="I469" i="25"/>
  <c r="I136" i="25"/>
  <c r="I110" i="25"/>
  <c r="I266" i="25"/>
  <c r="I213" i="25"/>
  <c r="J406" i="25"/>
  <c r="I187" i="25"/>
  <c r="I24" i="25"/>
  <c r="J339" i="25"/>
  <c r="I556" i="25"/>
  <c r="I294" i="25"/>
  <c r="I439" i="25"/>
  <c r="J230" i="25"/>
  <c r="J628" i="25"/>
  <c r="J274" i="25"/>
  <c r="I37" i="25"/>
  <c r="I236" i="25"/>
  <c r="J365" i="25"/>
  <c r="J179" i="25"/>
  <c r="J441" i="25"/>
  <c r="I159" i="25"/>
  <c r="J231" i="25"/>
  <c r="I542" i="25"/>
  <c r="I146" i="25"/>
  <c r="J347" i="25"/>
  <c r="I398" i="25"/>
  <c r="J466" i="25"/>
  <c r="I569" i="25"/>
  <c r="J518" i="25"/>
  <c r="J86" i="25"/>
  <c r="I226" i="25"/>
  <c r="I57" i="25"/>
  <c r="I80" i="25"/>
  <c r="I13" i="25"/>
  <c r="I67" i="25"/>
  <c r="J32" i="25"/>
  <c r="J435" i="25"/>
  <c r="I502" i="25"/>
  <c r="J84" i="25"/>
  <c r="I45" i="25"/>
  <c r="J313" i="25"/>
  <c r="J322" i="25"/>
  <c r="J467" i="25"/>
  <c r="I394" i="25"/>
  <c r="J198" i="25"/>
  <c r="I170" i="25"/>
  <c r="J279" i="25"/>
  <c r="J404" i="25"/>
  <c r="A624" i="25"/>
  <c r="I203" i="25"/>
  <c r="I233" i="25"/>
  <c r="J514" i="25"/>
  <c r="I270" i="25"/>
  <c r="I531" i="25"/>
  <c r="J88" i="25"/>
  <c r="J588" i="25"/>
  <c r="J541" i="25"/>
  <c r="J469" i="25"/>
  <c r="J443" i="25"/>
  <c r="J211" i="25"/>
  <c r="I259" i="25"/>
  <c r="I564" i="25"/>
  <c r="J609" i="25"/>
  <c r="J386" i="25"/>
  <c r="I152" i="25"/>
  <c r="J151" i="25"/>
  <c r="I228" i="25"/>
  <c r="I527" i="25"/>
  <c r="J234" i="25"/>
  <c r="J265" i="25"/>
  <c r="J334" i="25"/>
  <c r="I160" i="25"/>
  <c r="I95" i="25"/>
  <c r="J356" i="25"/>
  <c r="I299" i="25"/>
  <c r="I63" i="25"/>
  <c r="I157" i="25"/>
  <c r="J485" i="25"/>
  <c r="I148" i="25"/>
  <c r="J31" i="25"/>
  <c r="I350" i="25"/>
  <c r="I338" i="25"/>
  <c r="J381" i="25"/>
  <c r="J613" i="25"/>
  <c r="I606" i="25"/>
  <c r="J344" i="25"/>
  <c r="I15" i="25"/>
  <c r="I471" i="25"/>
  <c r="I182" i="25"/>
  <c r="J312" i="25"/>
  <c r="J358" i="25"/>
  <c r="I602" i="25"/>
  <c r="J320" i="25"/>
  <c r="I397" i="25"/>
  <c r="I404" i="25"/>
  <c r="J579" i="25"/>
  <c r="J444" i="25"/>
  <c r="I86" i="25"/>
  <c r="I289" i="25"/>
  <c r="J100" i="25"/>
  <c r="I279" i="25"/>
  <c r="J281" i="25"/>
  <c r="I607" i="25"/>
  <c r="J393" i="25"/>
  <c r="I85" i="25"/>
  <c r="I297" i="25"/>
  <c r="J529" i="25"/>
  <c r="I454" i="25"/>
  <c r="J421" i="25"/>
  <c r="I191" i="25"/>
  <c r="J408" i="25"/>
  <c r="J410" i="25"/>
  <c r="J354" i="25"/>
  <c r="I437" i="25"/>
  <c r="I605" i="25"/>
  <c r="J233" i="25"/>
  <c r="I202" i="25"/>
  <c r="I320" i="25"/>
  <c r="I448" i="25"/>
  <c r="J57" i="25"/>
  <c r="J135" i="25"/>
  <c r="J112" i="25"/>
  <c r="I114" i="25"/>
  <c r="I611" i="25"/>
  <c r="I449" i="25"/>
  <c r="I49" i="25"/>
  <c r="J44" i="25"/>
  <c r="J584" i="25"/>
  <c r="J400" i="25"/>
  <c r="I92" i="25"/>
  <c r="I612" i="25"/>
  <c r="I487" i="25"/>
  <c r="J490" i="25"/>
  <c r="I126" i="25"/>
  <c r="I337" i="25"/>
  <c r="J548" i="25"/>
  <c r="I296" i="25"/>
  <c r="J582" i="25"/>
  <c r="I551" i="25"/>
  <c r="J333" i="25"/>
  <c r="J434" i="25"/>
  <c r="I396" i="25"/>
  <c r="J64" i="25"/>
  <c r="J420" i="25"/>
  <c r="J258" i="25"/>
  <c r="I16" i="25"/>
  <c r="I71" i="25"/>
  <c r="J328" i="25"/>
  <c r="J71" i="25"/>
  <c r="I436" i="25"/>
  <c r="I403" i="25"/>
  <c r="I328" i="25"/>
  <c r="J43" i="25"/>
  <c r="J301" i="25"/>
  <c r="I383" i="25"/>
  <c r="I474" i="25"/>
  <c r="J129" i="25"/>
  <c r="J181" i="25"/>
  <c r="J568" i="25"/>
  <c r="I214" i="25"/>
  <c r="I377" i="25"/>
  <c r="J353" i="25"/>
  <c r="I345" i="25"/>
  <c r="I549" i="25"/>
  <c r="I222" i="25"/>
  <c r="J168" i="25"/>
  <c r="J465" i="25"/>
  <c r="J150" i="25"/>
  <c r="J104" i="25"/>
  <c r="J177" i="25"/>
  <c r="I510" i="25"/>
  <c r="W624" i="25"/>
  <c r="I248" i="25"/>
  <c r="I499" i="25"/>
  <c r="I509" i="25"/>
  <c r="J45" i="25"/>
  <c r="J206" i="25"/>
  <c r="I592" i="25"/>
  <c r="I140" i="25"/>
  <c r="J493" i="25"/>
  <c r="J447" i="25"/>
  <c r="I503" i="25"/>
  <c r="I267" i="25"/>
  <c r="J337" i="25"/>
  <c r="I464" i="25"/>
  <c r="I220" i="25"/>
  <c r="I302" i="25"/>
  <c r="J239" i="25"/>
  <c r="J359" i="25"/>
  <c r="I465" i="25"/>
  <c r="I98" i="25"/>
  <c r="J199" i="25"/>
  <c r="J144" i="25"/>
  <c r="I303" i="25"/>
  <c r="J539" i="25"/>
  <c r="J103" i="25"/>
  <c r="J75" i="25"/>
  <c r="I21" i="25"/>
  <c r="J565" i="25"/>
  <c r="J391" i="25"/>
  <c r="J470" i="25"/>
  <c r="I97" i="25"/>
  <c r="I596" i="25"/>
  <c r="I262" i="25"/>
  <c r="I466" i="25"/>
  <c r="I608" i="25"/>
  <c r="J307" i="25"/>
  <c r="I295" i="25"/>
  <c r="J305" i="25"/>
  <c r="I628" i="25"/>
  <c r="Q628" i="25" s="1"/>
  <c r="I285" i="25"/>
  <c r="I162" i="25"/>
  <c r="I402" i="25"/>
  <c r="I287" i="25"/>
  <c r="J436" i="25"/>
  <c r="J309" i="25"/>
  <c r="J33" i="25"/>
  <c r="J446" i="25"/>
  <c r="I331" i="25"/>
  <c r="J246" i="25"/>
  <c r="I212" i="25"/>
  <c r="J310" i="25"/>
  <c r="J17" i="25"/>
  <c r="I423" i="25"/>
  <c r="I450" i="25"/>
  <c r="I580" i="25"/>
  <c r="I41" i="25"/>
  <c r="I484" i="25"/>
  <c r="I369" i="25"/>
  <c r="I253" i="25"/>
  <c r="I141" i="25"/>
  <c r="I426" i="25"/>
  <c r="J35" i="25"/>
  <c r="I558" i="25"/>
  <c r="J492" i="25"/>
  <c r="I490" i="25"/>
  <c r="I122" i="25"/>
  <c r="I153" i="25"/>
  <c r="I48" i="25"/>
  <c r="J99" i="25"/>
  <c r="J326" i="25"/>
  <c r="I256" i="25"/>
  <c r="I96" i="25"/>
  <c r="I280" i="25"/>
  <c r="I199" i="25"/>
  <c r="J13" i="25"/>
  <c r="J507" i="25"/>
  <c r="J522" i="25"/>
  <c r="J368" i="25"/>
  <c r="J593" i="25"/>
  <c r="I306" i="25"/>
  <c r="J123" i="25"/>
  <c r="I528" i="25"/>
  <c r="C634" i="25"/>
  <c r="J93" i="25"/>
  <c r="I355" i="25"/>
  <c r="J414" i="25"/>
  <c r="J165" i="25"/>
  <c r="J36" i="25"/>
  <c r="J257" i="25"/>
  <c r="J319" i="25"/>
  <c r="I293" i="25"/>
  <c r="J153" i="25"/>
  <c r="I65" i="25"/>
  <c r="J176" i="25"/>
  <c r="J143" i="25"/>
  <c r="J591" i="25"/>
  <c r="I251" i="25"/>
  <c r="I32" i="25"/>
  <c r="J22" i="25"/>
  <c r="I401" i="25"/>
  <c r="I477" i="25"/>
  <c r="J564" i="25"/>
  <c r="I393" i="25"/>
  <c r="J559" i="25"/>
  <c r="J188" i="25"/>
  <c r="I441" i="25"/>
  <c r="I73" i="25"/>
  <c r="J607" i="25"/>
  <c r="I185" i="25"/>
  <c r="J318" i="25"/>
  <c r="J555" i="25"/>
  <c r="J38" i="25"/>
  <c r="I446" i="25"/>
  <c r="I493" i="25"/>
  <c r="J317" i="25"/>
  <c r="J37" i="25"/>
  <c r="I463" i="25"/>
  <c r="J159" i="25"/>
  <c r="I31" i="25"/>
  <c r="J415" i="25"/>
  <c r="I447" i="25"/>
  <c r="I513" i="25"/>
  <c r="I51" i="25"/>
  <c r="J121" i="25"/>
  <c r="J506" i="25"/>
  <c r="J298" i="25"/>
  <c r="J262" i="25"/>
  <c r="J241" i="25"/>
  <c r="J90" i="25"/>
  <c r="J398" i="25"/>
  <c r="J602" i="25"/>
  <c r="I379" i="25"/>
  <c r="I547" i="25"/>
  <c r="J21" i="25"/>
  <c r="I100" i="25"/>
  <c r="J376" i="25"/>
  <c r="I245" i="25"/>
  <c r="I17" i="25"/>
  <c r="J255" i="25"/>
  <c r="J164" i="25"/>
  <c r="I242" i="25"/>
  <c r="I497" i="25"/>
  <c r="I183" i="25"/>
  <c r="J475" i="25"/>
  <c r="I375" i="25"/>
  <c r="J517" i="25"/>
  <c r="J352" i="25"/>
  <c r="I25" i="25"/>
  <c r="J29" i="25"/>
  <c r="J62" i="25"/>
  <c r="J195" i="25"/>
  <c r="J598" i="25"/>
  <c r="J429" i="25"/>
  <c r="J419" i="25"/>
  <c r="I595" i="25"/>
  <c r="I227" i="25"/>
  <c r="I440" i="25"/>
  <c r="J224" i="25"/>
  <c r="J494" i="25"/>
  <c r="I541" i="25"/>
  <c r="J180" i="25"/>
  <c r="J42" i="25"/>
  <c r="J321" i="25"/>
  <c r="J515" i="25"/>
  <c r="J125" i="25"/>
  <c r="J142" i="25"/>
  <c r="I273" i="25"/>
  <c r="J155" i="25"/>
  <c r="J474" i="25"/>
  <c r="J26" i="25"/>
  <c r="J251" i="25"/>
  <c r="J472" i="25"/>
  <c r="I445" i="25"/>
  <c r="I583" i="25"/>
  <c r="I586" i="25"/>
  <c r="I264" i="25"/>
  <c r="I329" i="25"/>
  <c r="J412" i="25"/>
  <c r="J351" i="25"/>
  <c r="J573" i="25"/>
  <c r="I42" i="25"/>
  <c r="I281" i="25"/>
  <c r="J551" i="25"/>
  <c r="J604" i="25"/>
  <c r="J115" i="25"/>
  <c r="I198" i="25"/>
  <c r="J480" i="25"/>
  <c r="I342" i="25"/>
  <c r="J124" i="25"/>
  <c r="I473" i="25"/>
  <c r="J486" i="25"/>
  <c r="J385" i="25"/>
  <c r="J30" i="25"/>
  <c r="I400" i="25"/>
  <c r="J380" i="25"/>
  <c r="J65" i="25"/>
  <c r="J186" i="25"/>
  <c r="J432" i="25"/>
  <c r="J572" i="25"/>
  <c r="J348" i="25"/>
  <c r="I216" i="25"/>
  <c r="I55" i="25"/>
  <c r="J264" i="25"/>
  <c r="J407" i="25"/>
  <c r="J497" i="25"/>
  <c r="J204" i="25"/>
  <c r="I557" i="25"/>
  <c r="J481" i="25"/>
  <c r="I102" i="25"/>
  <c r="J295" i="25"/>
  <c r="I113" i="25"/>
  <c r="I58" i="25"/>
  <c r="J510" i="25"/>
  <c r="I461" i="25"/>
  <c r="I543" i="25"/>
  <c r="I249" i="25"/>
  <c r="I69" i="25"/>
  <c r="J161" i="25"/>
  <c r="I482" i="25"/>
  <c r="J379" i="25"/>
  <c r="I217" i="25"/>
  <c r="I129" i="25"/>
  <c r="J182" i="25"/>
  <c r="I347" i="25"/>
  <c r="J227" i="25"/>
  <c r="I576" i="25"/>
  <c r="I515" i="25"/>
  <c r="J131" i="25"/>
  <c r="J464" i="25"/>
  <c r="I409" i="25"/>
  <c r="J606" i="25"/>
  <c r="I91" i="25"/>
  <c r="J287" i="25"/>
  <c r="J500" i="25"/>
  <c r="I366" i="25"/>
  <c r="J392" i="25"/>
  <c r="J413" i="25"/>
  <c r="J213" i="25"/>
  <c r="I582" i="25"/>
  <c r="I344" i="25"/>
  <c r="I538" i="25"/>
  <c r="I516" i="25"/>
  <c r="I181" i="25"/>
  <c r="J460" i="25"/>
  <c r="I481" i="25"/>
  <c r="J25" i="25"/>
  <c r="I237" i="25"/>
  <c r="I301" i="25"/>
  <c r="J371" i="25"/>
  <c r="I407" i="25"/>
  <c r="I352" i="25"/>
  <c r="J566" i="25"/>
  <c r="J152" i="25"/>
  <c r="I316" i="25"/>
  <c r="I239" i="25"/>
  <c r="I522" i="25"/>
  <c r="J513" i="25"/>
  <c r="I584" i="25"/>
  <c r="I119" i="25"/>
  <c r="J600" i="25"/>
  <c r="I489" i="25"/>
  <c r="J191" i="25"/>
  <c r="I269" i="25"/>
  <c r="J509" i="25"/>
  <c r="J455" i="25"/>
  <c r="I488" i="25"/>
  <c r="I133" i="25"/>
  <c r="J85" i="25"/>
  <c r="J355" i="25"/>
  <c r="J431" i="25"/>
  <c r="J383" i="25"/>
  <c r="I240" i="25"/>
  <c r="I519" i="25"/>
  <c r="J263" i="25"/>
  <c r="I610" i="25"/>
  <c r="J525" i="25"/>
  <c r="J96" i="25"/>
  <c r="J395" i="25"/>
  <c r="I382" i="25"/>
  <c r="J183" i="25"/>
  <c r="I168" i="25"/>
  <c r="J192" i="25"/>
  <c r="I346" i="25"/>
  <c r="I263" i="25"/>
  <c r="I384" i="25"/>
  <c r="I147" i="25"/>
  <c r="I106" i="25"/>
  <c r="I313" i="25"/>
  <c r="I134" i="25"/>
  <c r="J23" i="25"/>
  <c r="J196" i="25"/>
  <c r="J552" i="25"/>
  <c r="I142" i="25"/>
  <c r="I315" i="25"/>
  <c r="J245" i="25"/>
  <c r="J272" i="25"/>
  <c r="I372" i="25"/>
  <c r="I472" i="25"/>
  <c r="J389" i="25"/>
  <c r="I367" i="25"/>
  <c r="I261" i="25"/>
  <c r="J531" i="25"/>
  <c r="J268" i="25"/>
  <c r="I496" i="25"/>
  <c r="J528" i="25"/>
  <c r="I196" i="25"/>
  <c r="I587" i="25"/>
  <c r="J501" i="25"/>
  <c r="J118" i="25"/>
  <c r="J315" i="25"/>
  <c r="J373" i="25"/>
  <c r="I254" i="25"/>
  <c r="I323" i="25"/>
  <c r="J503" i="25"/>
  <c r="J578" i="25"/>
  <c r="J162" i="25"/>
  <c r="I421" i="25"/>
  <c r="J50" i="25"/>
  <c r="I623" i="25"/>
  <c r="J345" i="25"/>
  <c r="I291" i="25"/>
  <c r="I432" i="25"/>
  <c r="I56" i="25"/>
  <c r="J219" i="25"/>
  <c r="J184" i="25"/>
  <c r="I354" i="25"/>
  <c r="I156" i="25"/>
  <c r="J462" i="25"/>
  <c r="J47" i="25"/>
  <c r="J46" i="25"/>
  <c r="I506" i="25"/>
  <c r="I348" i="25"/>
  <c r="I387" i="25"/>
  <c r="I408" i="25"/>
  <c r="I22" i="25"/>
  <c r="J563" i="25"/>
  <c r="I336" i="25"/>
  <c r="J266" i="25"/>
  <c r="J102" i="25"/>
  <c r="J418" i="25"/>
  <c r="J232" i="25"/>
  <c r="I225" i="25"/>
  <c r="J543" i="25"/>
  <c r="J424" i="25"/>
  <c r="J149" i="25"/>
  <c r="J79" i="25"/>
  <c r="J323" i="25"/>
  <c r="I553" i="25"/>
  <c r="J325" i="25"/>
  <c r="J360" i="25"/>
  <c r="J366" i="25"/>
  <c r="I192" i="25"/>
  <c r="I268" i="25"/>
  <c r="I112" i="25"/>
  <c r="I39" i="25"/>
  <c r="J308" i="25"/>
  <c r="J148" i="25"/>
  <c r="J519" i="25"/>
  <c r="J484" i="25"/>
  <c r="J24" i="25"/>
  <c r="J343" i="25"/>
  <c r="I361" i="25"/>
  <c r="I380" i="25"/>
  <c r="J547" i="25"/>
  <c r="J187" i="25"/>
  <c r="I334" i="25"/>
  <c r="I230" i="25"/>
  <c r="I292" i="25"/>
  <c r="J137" i="25"/>
  <c r="I143" i="25"/>
  <c r="I332" i="25"/>
  <c r="I163" i="25"/>
  <c r="J378" i="25"/>
  <c r="I68" i="25"/>
  <c r="I66" i="25"/>
  <c r="I205" i="25"/>
  <c r="J140" i="25"/>
  <c r="J83" i="25"/>
  <c r="J109" i="25"/>
  <c r="I535" i="25"/>
  <c r="J439" i="25"/>
  <c r="J502" i="25"/>
  <c r="J612" i="25"/>
  <c r="J292" i="25"/>
  <c r="J107" i="25"/>
  <c r="J296" i="25"/>
  <c r="I62" i="25"/>
  <c r="I169" i="25"/>
  <c r="J244" i="25"/>
  <c r="J40" i="25"/>
  <c r="I591" i="25"/>
  <c r="J63" i="25"/>
  <c r="I325" i="25"/>
  <c r="J76" i="25"/>
  <c r="I395" i="25"/>
  <c r="I125" i="25"/>
  <c r="J216" i="25"/>
  <c r="I277" i="25"/>
  <c r="I257" i="25"/>
  <c r="J452" i="25"/>
  <c r="I35" i="25"/>
  <c r="J78" i="25"/>
  <c r="I599" i="25"/>
  <c r="I341" i="25"/>
  <c r="I517" i="25"/>
  <c r="I460" i="25"/>
  <c r="J270" i="25"/>
  <c r="J166" i="25"/>
  <c r="I138" i="25"/>
  <c r="J357" i="25"/>
  <c r="J372" i="25"/>
  <c r="J560" i="25"/>
  <c r="J156" i="25"/>
  <c r="I438" i="25"/>
  <c r="I30" i="25"/>
  <c r="I343" i="25"/>
  <c r="I540" i="25"/>
  <c r="J277" i="25"/>
  <c r="I561" i="25"/>
  <c r="I529" i="25"/>
  <c r="I144" i="25"/>
  <c r="J438" i="25"/>
  <c r="I406" i="25"/>
  <c r="J146" i="25"/>
  <c r="I219" i="25"/>
  <c r="J275" i="25"/>
  <c r="I127" i="25"/>
  <c r="J95" i="25"/>
  <c r="J384" i="25"/>
  <c r="I444" i="25"/>
  <c r="J473" i="25"/>
  <c r="I116" i="25"/>
  <c r="I364" i="25"/>
  <c r="J20" i="25"/>
  <c r="I247" i="25"/>
  <c r="I374" i="25"/>
  <c r="I524" i="25"/>
  <c r="J193" i="25"/>
  <c r="J170" i="25"/>
  <c r="I585" i="25"/>
  <c r="J283" i="25"/>
  <c r="J521" i="25"/>
  <c r="I554" i="25"/>
  <c r="I60" i="25"/>
  <c r="J19" i="25"/>
  <c r="I188" i="25"/>
  <c r="I443" i="25"/>
  <c r="J294" i="25"/>
  <c r="I545" i="25"/>
  <c r="J214" i="25"/>
  <c r="I555" i="25"/>
  <c r="J278" i="25"/>
  <c r="I566" i="25"/>
  <c r="I64" i="25"/>
  <c r="I44" i="25"/>
  <c r="J201" i="25"/>
  <c r="J249" i="25"/>
  <c r="J82" i="25"/>
  <c r="J89" i="25"/>
  <c r="J293" i="25"/>
  <c r="J167" i="25"/>
  <c r="I335" i="25"/>
  <c r="J491" i="25"/>
  <c r="J91" i="25"/>
  <c r="I609" i="25"/>
  <c r="I33" i="25"/>
  <c r="I158" i="25"/>
  <c r="I154" i="25"/>
  <c r="I184" i="25"/>
  <c r="I189" i="25"/>
  <c r="I23" i="25"/>
  <c r="J545" i="25"/>
  <c r="J28" i="25"/>
  <c r="J477" i="25"/>
  <c r="J269" i="25"/>
  <c r="J448" i="25"/>
  <c r="I333" i="25"/>
  <c r="J450" i="25"/>
  <c r="J388" i="25"/>
  <c r="J299" i="25"/>
  <c r="J520" i="25"/>
  <c r="J581" i="25"/>
  <c r="J561" i="25"/>
  <c r="J483" i="25"/>
  <c r="I221" i="25"/>
  <c r="J362" i="25"/>
  <c r="J145" i="25"/>
  <c r="I93" i="25"/>
  <c r="J242" i="25"/>
  <c r="J284" i="25"/>
  <c r="I90" i="25"/>
  <c r="I77" i="25"/>
  <c r="I452" i="25"/>
  <c r="J66" i="25"/>
  <c r="I544" i="25"/>
  <c r="I244" i="25"/>
  <c r="J342" i="25"/>
  <c r="J117" i="25"/>
  <c r="I385" i="25"/>
  <c r="I59" i="25"/>
  <c r="I79" i="25"/>
  <c r="J377" i="25"/>
  <c r="J453" i="25"/>
  <c r="J303" i="25"/>
  <c r="I135" i="25"/>
  <c r="I456" i="25"/>
  <c r="I207" i="25"/>
  <c r="I145" i="25"/>
  <c r="I179" i="25"/>
  <c r="J41" i="25"/>
  <c r="I235" i="25"/>
  <c r="I504" i="25"/>
  <c r="J39" i="25"/>
  <c r="J113" i="25"/>
  <c r="J81" i="25"/>
  <c r="J387" i="25"/>
  <c r="J55" i="25"/>
  <c r="I433" i="25"/>
  <c r="I215" i="25"/>
  <c r="J72" i="25"/>
  <c r="I309" i="25"/>
  <c r="J300" i="25"/>
  <c r="I149" i="25"/>
  <c r="I27" i="25"/>
  <c r="J546" i="25"/>
  <c r="I319" i="25"/>
  <c r="J512" i="25"/>
  <c r="J498" i="25"/>
  <c r="I120" i="25"/>
  <c r="J454" i="25"/>
  <c r="J396" i="25"/>
  <c r="I204" i="25"/>
  <c r="I61" i="25"/>
  <c r="I475" i="25"/>
  <c r="J202" i="25"/>
  <c r="J110" i="25"/>
  <c r="I54" i="25"/>
  <c r="J361" i="25"/>
  <c r="J60" i="25"/>
  <c r="J122" i="25"/>
  <c r="I422" i="25"/>
  <c r="I518" i="25"/>
  <c r="J535" i="25"/>
  <c r="J67" i="25"/>
  <c r="I111" i="25"/>
  <c r="I72" i="25"/>
  <c r="I483" i="25"/>
  <c r="I525" i="25"/>
  <c r="I568" i="25"/>
  <c r="J482" i="25"/>
  <c r="I468" i="25"/>
  <c r="J56" i="25"/>
  <c r="I318" i="25"/>
  <c r="J77" i="25"/>
  <c r="J603" i="25"/>
  <c r="J570" i="25"/>
  <c r="J567" i="25"/>
  <c r="I94" i="25"/>
  <c r="J516" i="25"/>
  <c r="I310" i="25"/>
  <c r="I486" i="25"/>
  <c r="I76" i="25"/>
  <c r="J225" i="25"/>
  <c r="I258" i="25"/>
  <c r="J556" i="25"/>
  <c r="I581" i="25"/>
  <c r="I534" i="25"/>
  <c r="I411" i="25"/>
  <c r="J332" i="25"/>
  <c r="I327" i="25"/>
  <c r="J253" i="25"/>
  <c r="J18" i="25"/>
  <c r="I322" i="25"/>
  <c r="I14" i="25"/>
  <c r="J487" i="25"/>
  <c r="I172" i="25"/>
  <c r="I514" i="25"/>
  <c r="I265" i="25"/>
  <c r="J16" i="25"/>
  <c r="I478" i="25"/>
  <c r="I462" i="25"/>
  <c r="I601" i="25"/>
  <c r="I546" i="25"/>
  <c r="J273" i="25"/>
  <c r="J542" i="25"/>
  <c r="I501" i="25"/>
  <c r="J139" i="25"/>
  <c r="J402" i="25"/>
  <c r="J98" i="25"/>
  <c r="J532" i="25"/>
  <c r="J330" i="25"/>
  <c r="J61" i="25"/>
  <c r="I613" i="25"/>
  <c r="I234" i="25"/>
  <c r="I123" i="25"/>
  <c r="I78" i="25"/>
  <c r="J185" i="25"/>
  <c r="J80" i="25"/>
  <c r="J562" i="25"/>
  <c r="J54" i="25"/>
  <c r="I537" i="25"/>
  <c r="I87" i="25"/>
  <c r="J331" i="25"/>
  <c r="I357" i="25"/>
  <c r="I34" i="25"/>
  <c r="J382" i="25"/>
  <c r="I193" i="25"/>
  <c r="I340" i="25"/>
  <c r="I391" i="25"/>
  <c r="I508" i="25"/>
  <c r="J625" i="25"/>
  <c r="K627" i="17"/>
  <c r="N247" i="17"/>
  <c r="M402" i="17"/>
  <c r="M367" i="17"/>
  <c r="N86" i="17"/>
  <c r="M518" i="17"/>
  <c r="N265" i="17"/>
  <c r="N488" i="17"/>
  <c r="M152" i="17"/>
  <c r="M602" i="17"/>
  <c r="M623" i="17"/>
  <c r="M428" i="17"/>
  <c r="M108" i="17"/>
  <c r="N333" i="17"/>
  <c r="N439" i="17"/>
  <c r="M238" i="17"/>
  <c r="M203" i="17"/>
  <c r="M348" i="17"/>
  <c r="N413" i="17"/>
  <c r="N482" i="17"/>
  <c r="N107" i="17"/>
  <c r="N484" i="17"/>
  <c r="N322" i="17"/>
  <c r="M391" i="17"/>
  <c r="M244" i="17"/>
  <c r="M451" i="17"/>
  <c r="M133" i="17"/>
  <c r="M363" i="17"/>
  <c r="M396" i="17"/>
  <c r="M387" i="17"/>
  <c r="N292" i="17"/>
  <c r="M102" i="17"/>
  <c r="N116" i="17"/>
  <c r="N304" i="17"/>
  <c r="M114" i="17"/>
  <c r="M180" i="17"/>
  <c r="N204" i="17"/>
  <c r="M545" i="17"/>
  <c r="M445" i="17"/>
  <c r="N331" i="17"/>
  <c r="M233" i="17"/>
  <c r="M232" i="17"/>
  <c r="M575" i="17"/>
  <c r="N483" i="17"/>
  <c r="M483" i="17"/>
  <c r="N367" i="17"/>
  <c r="N570" i="17"/>
  <c r="N386" i="17"/>
  <c r="M214" i="17"/>
  <c r="M229" i="17"/>
  <c r="M255" i="17"/>
  <c r="M473" i="17"/>
  <c r="N198" i="17"/>
  <c r="N329" i="17"/>
  <c r="M90" i="17"/>
  <c r="N551" i="17"/>
  <c r="M135" i="17"/>
  <c r="N181" i="17"/>
  <c r="N475" i="17"/>
  <c r="N266" i="17"/>
  <c r="M398" i="17"/>
  <c r="N459" i="17"/>
  <c r="N586" i="17"/>
  <c r="N332" i="17"/>
  <c r="N57" i="17"/>
  <c r="N558" i="17"/>
  <c r="M555" i="17"/>
  <c r="M81" i="17"/>
  <c r="M318" i="17"/>
  <c r="N81" i="17"/>
  <c r="N525" i="17"/>
  <c r="N409" i="17"/>
  <c r="N436" i="17"/>
  <c r="M142" i="17"/>
  <c r="M329" i="17"/>
  <c r="N260" i="17"/>
  <c r="N561" i="17"/>
  <c r="M589" i="17"/>
  <c r="M131" i="17"/>
  <c r="M419" i="17"/>
  <c r="N143" i="17"/>
  <c r="M511" i="17"/>
  <c r="M544" i="17"/>
  <c r="N149" i="17"/>
  <c r="M292" i="17"/>
  <c r="N342" i="17"/>
  <c r="N557" i="17"/>
  <c r="N480" i="17"/>
  <c r="M607" i="17"/>
  <c r="N444" i="17"/>
  <c r="M568" i="17"/>
  <c r="N110" i="17"/>
  <c r="N25" i="17"/>
  <c r="M394" i="17"/>
  <c r="N362" i="17"/>
  <c r="M307" i="17"/>
  <c r="N264" i="17"/>
  <c r="N89" i="17"/>
  <c r="N249" i="17"/>
  <c r="N403" i="17"/>
  <c r="M562" i="17"/>
  <c r="N432" i="17"/>
  <c r="M221" i="17"/>
  <c r="M304" i="17"/>
  <c r="N242" i="17"/>
  <c r="M353" i="17"/>
  <c r="N106" i="17"/>
  <c r="N467" i="17"/>
  <c r="M78" i="17"/>
  <c r="M84" i="17"/>
  <c r="N406" i="17"/>
  <c r="N136" i="17"/>
  <c r="M601" i="17"/>
  <c r="N505" i="17"/>
  <c r="N140" i="17"/>
  <c r="N255" i="17"/>
  <c r="C627" i="17"/>
  <c r="D627" i="17"/>
  <c r="L622" i="17"/>
  <c r="L627" i="17"/>
  <c r="K622" i="17"/>
  <c r="K509" i="17"/>
  <c r="K444" i="17"/>
  <c r="K437" i="17"/>
  <c r="K570" i="17"/>
  <c r="K67" i="17"/>
  <c r="L535" i="17"/>
  <c r="K88" i="17"/>
  <c r="L359" i="17"/>
  <c r="K202" i="17"/>
  <c r="K250" i="17"/>
  <c r="L219" i="17"/>
  <c r="K42" i="17"/>
  <c r="K575" i="17"/>
  <c r="K269" i="17"/>
  <c r="K69" i="17"/>
  <c r="K395" i="17"/>
  <c r="K511" i="17"/>
  <c r="L459" i="17"/>
  <c r="K185" i="17"/>
  <c r="L287" i="17"/>
  <c r="L158" i="17"/>
  <c r="K483" i="17"/>
  <c r="K187" i="17"/>
  <c r="L498" i="17"/>
  <c r="K224" i="17"/>
  <c r="L194" i="17"/>
  <c r="L224" i="17"/>
  <c r="K454" i="17"/>
  <c r="L601" i="17"/>
  <c r="K140" i="17"/>
  <c r="K367" i="17"/>
  <c r="L198" i="17"/>
  <c r="K443" i="17"/>
  <c r="L260" i="17"/>
  <c r="L529" i="17"/>
  <c r="K136" i="17"/>
  <c r="K121" i="17"/>
  <c r="L463" i="17"/>
  <c r="K439" i="17"/>
  <c r="L500" i="17"/>
  <c r="K257" i="17"/>
  <c r="L175" i="17"/>
  <c r="L114" i="17"/>
  <c r="L538" i="17"/>
  <c r="L98" i="17"/>
  <c r="L381" i="17"/>
  <c r="K162" i="17"/>
  <c r="L365" i="17"/>
  <c r="K403" i="17"/>
  <c r="K451" i="17"/>
  <c r="K59" i="17"/>
  <c r="L48" i="17"/>
  <c r="K163" i="17"/>
  <c r="K13" i="17"/>
  <c r="L578" i="17"/>
  <c r="L205" i="17"/>
  <c r="L439" i="17"/>
  <c r="L253" i="17"/>
  <c r="K521" i="17"/>
  <c r="K273" i="17"/>
  <c r="K604" i="17"/>
  <c r="K292" i="17"/>
  <c r="K494" i="17"/>
  <c r="K384" i="17"/>
  <c r="K135" i="17"/>
  <c r="K585" i="17"/>
  <c r="L610" i="17"/>
  <c r="K471" i="17"/>
  <c r="L83" i="17"/>
  <c r="K138" i="17"/>
  <c r="L92" i="17"/>
  <c r="K381" i="17"/>
  <c r="K352" i="17"/>
  <c r="L599" i="17"/>
  <c r="L81" i="17"/>
  <c r="L512" i="17"/>
  <c r="L86" i="17"/>
  <c r="K271" i="17"/>
  <c r="K428" i="17"/>
  <c r="L292" i="17"/>
  <c r="L82" i="17"/>
  <c r="K96" i="17"/>
  <c r="L600" i="17"/>
  <c r="L447" i="17"/>
  <c r="W625" i="17"/>
  <c r="L120" i="17"/>
  <c r="L311" i="17"/>
  <c r="K529" i="17"/>
  <c r="K192" i="17"/>
  <c r="L162" i="17"/>
  <c r="K71" i="17"/>
  <c r="K486" i="17"/>
  <c r="K582" i="17"/>
  <c r="K313" i="17"/>
  <c r="K243" i="17"/>
  <c r="L286" i="17"/>
  <c r="K458" i="17"/>
  <c r="K477" i="17"/>
  <c r="L473" i="17"/>
  <c r="L352" i="17"/>
  <c r="L117" i="17"/>
  <c r="L346" i="17"/>
  <c r="K316" i="17"/>
  <c r="L462" i="17"/>
  <c r="K453" i="17"/>
  <c r="K118" i="17"/>
  <c r="L121" i="17"/>
  <c r="K418" i="17"/>
  <c r="K142" i="17"/>
  <c r="L458" i="17"/>
  <c r="K264" i="17"/>
  <c r="L234" i="17"/>
  <c r="L307" i="17"/>
  <c r="K414" i="17"/>
  <c r="L555" i="17"/>
  <c r="K180" i="17"/>
  <c r="K131" i="17"/>
  <c r="L230" i="17"/>
  <c r="K514" i="17"/>
  <c r="L115" i="17"/>
  <c r="K515" i="17"/>
  <c r="K371" i="17"/>
  <c r="K467" i="17"/>
  <c r="K38" i="17"/>
  <c r="L64" i="17"/>
  <c r="K147" i="17"/>
  <c r="K29" i="17"/>
  <c r="K461" i="17"/>
  <c r="L189" i="17"/>
  <c r="L563" i="17"/>
  <c r="K209" i="17"/>
  <c r="K537" i="17"/>
  <c r="K249" i="17"/>
  <c r="L321" i="17"/>
  <c r="K276" i="17"/>
  <c r="K510" i="17"/>
  <c r="K368" i="17"/>
  <c r="L109" i="17"/>
  <c r="L536" i="17"/>
  <c r="K262" i="17"/>
  <c r="K442" i="17"/>
  <c r="L327" i="17"/>
  <c r="L214" i="17"/>
  <c r="K145" i="17"/>
  <c r="L203" i="17"/>
  <c r="L297" i="17"/>
  <c r="K92" i="17"/>
  <c r="K179" i="17"/>
  <c r="K245" i="17"/>
  <c r="L142" i="17"/>
  <c r="K555" i="17"/>
  <c r="L17" i="17"/>
  <c r="L570" i="17"/>
  <c r="K519" i="17"/>
  <c r="K343" i="17"/>
  <c r="K255" i="17"/>
  <c r="K379" i="17"/>
  <c r="K104" i="17"/>
  <c r="K82" i="17"/>
  <c r="L296" i="17"/>
  <c r="K396" i="17"/>
  <c r="L414" i="17"/>
  <c r="L505" i="17"/>
  <c r="L320" i="17"/>
  <c r="L290" i="17"/>
  <c r="K154" i="17"/>
  <c r="K358" i="17"/>
  <c r="L494" i="17"/>
  <c r="L18" i="17"/>
  <c r="K294" i="17"/>
  <c r="L209" i="17"/>
  <c r="K324" i="17"/>
  <c r="K579" i="17"/>
  <c r="L345" i="17"/>
  <c r="K488" i="17"/>
  <c r="L245" i="17"/>
  <c r="L46" i="17"/>
  <c r="L20" i="17"/>
  <c r="L437" i="17"/>
  <c r="L299" i="17"/>
  <c r="L374" i="17"/>
  <c r="L249" i="17"/>
  <c r="L104" i="17"/>
  <c r="L455" i="17"/>
  <c r="L433" i="17"/>
  <c r="L398" i="17"/>
  <c r="L157" i="17"/>
  <c r="K599" i="17"/>
  <c r="L108" i="17"/>
  <c r="L422" i="17"/>
  <c r="L34" i="17"/>
  <c r="K182" i="17"/>
  <c r="L153" i="17"/>
  <c r="K386" i="17"/>
  <c r="K70" i="17"/>
  <c r="L400" i="17"/>
  <c r="K54" i="17"/>
  <c r="L88" i="17"/>
  <c r="K351" i="17"/>
  <c r="K77" i="17"/>
  <c r="K500" i="17"/>
  <c r="L165" i="17"/>
  <c r="K546" i="17"/>
  <c r="K161" i="17"/>
  <c r="L385" i="17"/>
  <c r="K252" i="17"/>
  <c r="L337" i="17"/>
  <c r="K268" i="17"/>
  <c r="K423" i="17"/>
  <c r="K336" i="17"/>
  <c r="L28" i="17"/>
  <c r="L520" i="17"/>
  <c r="K113" i="17"/>
  <c r="L387" i="17"/>
  <c r="L369" i="17"/>
  <c r="L141" i="17"/>
  <c r="K94" i="17"/>
  <c r="K296" i="17"/>
  <c r="K400" i="17"/>
  <c r="L255" i="17"/>
  <c r="L577" i="17"/>
  <c r="K518" i="17"/>
  <c r="L254" i="17"/>
  <c r="K119" i="17"/>
  <c r="L193" i="17"/>
  <c r="K95" i="17"/>
  <c r="L187" i="17"/>
  <c r="L244" i="17"/>
  <c r="K363" i="17"/>
  <c r="K159" i="17"/>
  <c r="K299" i="17"/>
  <c r="L26" i="17"/>
  <c r="K56" i="17"/>
  <c r="K117" i="17"/>
  <c r="L116" i="17"/>
  <c r="K47" i="17"/>
  <c r="K20" i="17"/>
  <c r="L608" i="17"/>
  <c r="L377" i="17"/>
  <c r="K424" i="17"/>
  <c r="L213" i="17"/>
  <c r="L602" i="17"/>
  <c r="L52" i="17"/>
  <c r="L469" i="17"/>
  <c r="K87" i="17"/>
  <c r="L524" i="17"/>
  <c r="K337" i="17"/>
  <c r="L16" i="17"/>
  <c r="L283" i="17"/>
  <c r="L548" i="17"/>
  <c r="L566" i="17"/>
  <c r="K373" i="17"/>
  <c r="K75" i="17"/>
  <c r="L49" i="17"/>
  <c r="K411" i="17"/>
  <c r="L131" i="17"/>
  <c r="K610" i="17"/>
  <c r="K377" i="17"/>
  <c r="L91" i="17"/>
  <c r="K31" i="17"/>
  <c r="K407" i="17"/>
  <c r="K465" i="17"/>
  <c r="L285" i="17"/>
  <c r="K86" i="17"/>
  <c r="L93" i="17"/>
  <c r="L397" i="17"/>
  <c r="K421" i="17"/>
  <c r="K404" i="17"/>
  <c r="L281" i="17"/>
  <c r="L72" i="17"/>
  <c r="L223" i="17"/>
  <c r="L19" i="17"/>
  <c r="K319" i="17"/>
  <c r="K85" i="17"/>
  <c r="K436" i="17"/>
  <c r="L125" i="17"/>
  <c r="K578" i="17"/>
  <c r="K153" i="17"/>
  <c r="L401" i="17"/>
  <c r="K236" i="17"/>
  <c r="K487" i="17"/>
  <c r="L380" i="17"/>
  <c r="K447" i="17"/>
  <c r="L406" i="17"/>
  <c r="L76" i="17"/>
  <c r="K489" i="17"/>
  <c r="K17" i="17"/>
  <c r="L371" i="17"/>
  <c r="L177" i="17"/>
  <c r="K539" i="17"/>
  <c r="L53" i="17"/>
  <c r="K308" i="17"/>
  <c r="L343" i="17"/>
  <c r="L509" i="17"/>
  <c r="L460" i="17"/>
  <c r="L490" i="17"/>
  <c r="L568" i="17"/>
  <c r="L551" i="17"/>
  <c r="K490" i="17"/>
  <c r="L428" i="17"/>
  <c r="K232" i="17"/>
  <c r="K226" i="17"/>
  <c r="K364" i="17"/>
  <c r="L295" i="17"/>
  <c r="L605" i="17"/>
  <c r="L74" i="17"/>
  <c r="L350" i="17"/>
  <c r="L304" i="17"/>
  <c r="K80" i="17"/>
  <c r="K32" i="17"/>
  <c r="L167" i="17"/>
  <c r="L370" i="17"/>
  <c r="L291" i="17"/>
  <c r="K194" i="17"/>
  <c r="L580" i="17"/>
  <c r="K528" i="17"/>
  <c r="K341" i="17"/>
  <c r="K30" i="17"/>
  <c r="L65" i="17"/>
  <c r="L341" i="17"/>
  <c r="L402" i="17"/>
  <c r="K527" i="17"/>
  <c r="K165" i="17"/>
  <c r="L47" i="17"/>
  <c r="K146" i="17"/>
  <c r="K495" i="17"/>
  <c r="L491" i="17"/>
  <c r="K201" i="17"/>
  <c r="L284" i="17"/>
  <c r="K49" i="17"/>
  <c r="K538" i="17"/>
  <c r="K558" i="17"/>
  <c r="L613" i="17"/>
  <c r="K205" i="17"/>
  <c r="L27" i="17"/>
  <c r="L367" i="17"/>
  <c r="K534" i="17"/>
  <c r="L315" i="17"/>
  <c r="K318" i="17"/>
  <c r="K111" i="17"/>
  <c r="L29" i="17"/>
  <c r="K600" i="17"/>
  <c r="K387" i="17"/>
  <c r="L407" i="17"/>
  <c r="L412" i="17"/>
  <c r="L75" i="17"/>
  <c r="L326" i="17"/>
  <c r="L274" i="17"/>
  <c r="K340" i="17"/>
  <c r="L298" i="17"/>
  <c r="K583" i="17"/>
  <c r="K334" i="17"/>
  <c r="L425" i="17"/>
  <c r="K228" i="17"/>
  <c r="L534" i="17"/>
  <c r="L364" i="17"/>
  <c r="L626" i="17"/>
  <c r="K441" i="17"/>
  <c r="L84" i="17"/>
  <c r="K473" i="17"/>
  <c r="K57" i="17"/>
  <c r="L339" i="17"/>
  <c r="L169" i="17"/>
  <c r="K523" i="17"/>
  <c r="K181" i="17"/>
  <c r="K34" i="17"/>
  <c r="K197" i="17"/>
  <c r="K409" i="17"/>
  <c r="L557" i="17"/>
  <c r="L56" i="17"/>
  <c r="K23" i="17"/>
  <c r="L404" i="17"/>
  <c r="K61" i="17"/>
  <c r="K172" i="17"/>
  <c r="K505" i="17"/>
  <c r="K62" i="17"/>
  <c r="K440" i="17"/>
  <c r="L171" i="17"/>
  <c r="L267" i="17"/>
  <c r="K251" i="17"/>
  <c r="L208" i="17"/>
  <c r="L256" i="17"/>
  <c r="L562" i="17"/>
  <c r="K311" i="17"/>
  <c r="K178" i="17"/>
  <c r="K274" i="17"/>
  <c r="K123" i="17"/>
  <c r="K36" i="17"/>
  <c r="K298" i="17"/>
  <c r="L139" i="17"/>
  <c r="L526" i="17"/>
  <c r="L427" i="17"/>
  <c r="K169" i="17"/>
  <c r="L220" i="17"/>
  <c r="K81" i="17"/>
  <c r="L544" i="17"/>
  <c r="K51" i="17"/>
  <c r="K551" i="17"/>
  <c r="K293" i="17"/>
  <c r="K45" i="17"/>
  <c r="K14" i="17"/>
  <c r="K470" i="17"/>
  <c r="K569" i="17"/>
  <c r="K124" i="17"/>
  <c r="K335" i="17"/>
  <c r="L182" i="17"/>
  <c r="K459" i="17"/>
  <c r="L212" i="17"/>
  <c r="L537" i="17"/>
  <c r="K128" i="17"/>
  <c r="L110" i="17"/>
  <c r="K584" i="17"/>
  <c r="K455" i="17"/>
  <c r="L468" i="17"/>
  <c r="K241" i="17"/>
  <c r="L159" i="17"/>
  <c r="K16" i="17"/>
  <c r="L549" i="17"/>
  <c r="L22" i="17"/>
  <c r="L607" i="17"/>
  <c r="K237" i="17"/>
  <c r="K101" i="17"/>
  <c r="L604" i="17"/>
  <c r="K349" i="17"/>
  <c r="K591" i="17"/>
  <c r="K397" i="17"/>
  <c r="L465" i="17"/>
  <c r="K204" i="17"/>
  <c r="L542" i="17"/>
  <c r="L356" i="17"/>
  <c r="K332" i="17"/>
  <c r="K512" i="17"/>
  <c r="L15" i="17"/>
  <c r="K603" i="17"/>
  <c r="K89" i="17"/>
  <c r="L323" i="17"/>
  <c r="L137" i="17"/>
  <c r="L492" i="17"/>
  <c r="K149" i="17"/>
  <c r="K175" i="17"/>
  <c r="K272" i="17"/>
  <c r="L128" i="17"/>
  <c r="L436" i="17"/>
  <c r="L366" i="17"/>
  <c r="L118" i="17"/>
  <c r="K333" i="17"/>
  <c r="L416" i="17"/>
  <c r="L241" i="17"/>
  <c r="K132" i="17"/>
  <c r="L275" i="17"/>
  <c r="L312" i="17"/>
  <c r="L293" i="17"/>
  <c r="L443" i="17"/>
  <c r="L399" i="17"/>
  <c r="L488" i="17"/>
  <c r="K302" i="17"/>
  <c r="K215" i="17"/>
  <c r="K263" i="17"/>
  <c r="K565" i="17"/>
  <c r="L586" i="17"/>
  <c r="K84" i="17"/>
  <c r="K60" i="17"/>
  <c r="K174" i="17"/>
  <c r="L259" i="17"/>
  <c r="K535" i="17"/>
  <c r="K28" i="17"/>
  <c r="K502" i="17"/>
  <c r="L531" i="17"/>
  <c r="K297" i="17"/>
  <c r="L271" i="17"/>
  <c r="L150" i="17"/>
  <c r="K491" i="17"/>
  <c r="K139" i="17"/>
  <c r="L506" i="17"/>
  <c r="K216" i="17"/>
  <c r="L186" i="17"/>
  <c r="K282" i="17"/>
  <c r="K342" i="17"/>
  <c r="L478" i="17"/>
  <c r="L123" i="17"/>
  <c r="K291" i="17"/>
  <c r="L310" i="17"/>
  <c r="K434" i="17"/>
  <c r="K110" i="17"/>
  <c r="L466" i="17"/>
  <c r="K256" i="17"/>
  <c r="L226" i="17"/>
  <c r="L179" i="17"/>
  <c r="K430" i="17"/>
  <c r="L587" i="17"/>
  <c r="K164" i="17"/>
  <c r="K322" i="17"/>
  <c r="L222" i="17"/>
  <c r="K419" i="17"/>
  <c r="L183" i="17"/>
  <c r="L579" i="17"/>
  <c r="K160" i="17"/>
  <c r="L130" i="17"/>
  <c r="L418" i="17"/>
  <c r="K148" i="17"/>
  <c r="L497" i="17"/>
  <c r="K196" i="17"/>
  <c r="K526" i="17"/>
  <c r="L340" i="17"/>
  <c r="K366" i="17"/>
  <c r="K496" i="17"/>
  <c r="L33" i="17"/>
  <c r="L590" i="17"/>
  <c r="L270" i="17"/>
  <c r="L444" i="17"/>
  <c r="L113" i="17"/>
  <c r="L476" i="17"/>
  <c r="K125" i="17"/>
  <c r="K347" i="17"/>
  <c r="K248" i="17"/>
  <c r="K552" i="17"/>
  <c r="L545" i="17"/>
  <c r="K275" i="17"/>
  <c r="K427" i="17"/>
  <c r="K557" i="17"/>
  <c r="K176" i="17"/>
  <c r="L390" i="17"/>
  <c r="L300" i="17"/>
  <c r="K481" i="17"/>
  <c r="K457" i="17"/>
  <c r="K382" i="17"/>
  <c r="L358" i="17"/>
  <c r="L207" i="17"/>
  <c r="L168" i="17"/>
  <c r="K115" i="17"/>
  <c r="L160" i="17"/>
  <c r="L540" i="17"/>
  <c r="K469" i="17"/>
  <c r="L585" i="17"/>
  <c r="K554" i="17"/>
  <c r="K106" i="17"/>
  <c r="L163" i="17"/>
  <c r="L211" i="17"/>
  <c r="K388" i="17"/>
  <c r="K266" i="17"/>
  <c r="K58" i="17"/>
  <c r="K231" i="17"/>
  <c r="K374" i="17"/>
  <c r="L510" i="17"/>
  <c r="K220" i="17"/>
  <c r="K227" i="17"/>
  <c r="L278" i="17"/>
  <c r="K466" i="17"/>
  <c r="K445" i="17"/>
  <c r="L481" i="17"/>
  <c r="L344" i="17"/>
  <c r="L314" i="17"/>
  <c r="L78" i="17"/>
  <c r="L36" i="17"/>
  <c r="L453" i="17"/>
  <c r="L248" i="17"/>
  <c r="L342" i="17"/>
  <c r="L233" i="17"/>
  <c r="L392" i="17"/>
  <c r="L423" i="17"/>
  <c r="L441" i="17"/>
  <c r="L384" i="17"/>
  <c r="L149" i="17"/>
  <c r="K412" i="17"/>
  <c r="L388" i="17"/>
  <c r="L438" i="17"/>
  <c r="K532" i="17"/>
  <c r="K166" i="17"/>
  <c r="L145" i="17"/>
  <c r="K394" i="17"/>
  <c r="K254" i="17"/>
  <c r="L434" i="17"/>
  <c r="K288" i="17"/>
  <c r="L258" i="17"/>
  <c r="L572" i="17"/>
  <c r="L316" i="17"/>
  <c r="K556" i="17"/>
  <c r="L332" i="17"/>
  <c r="K390" i="17"/>
  <c r="K464" i="17"/>
  <c r="L45" i="17"/>
  <c r="L574" i="17"/>
  <c r="L246" i="17"/>
  <c r="L515" i="17"/>
  <c r="K369" i="17"/>
  <c r="L606" i="17"/>
  <c r="K326" i="17"/>
  <c r="K315" i="17"/>
  <c r="K200" i="17"/>
  <c r="L330" i="17"/>
  <c r="L528" i="17"/>
  <c r="K190" i="17"/>
  <c r="K550" i="17"/>
  <c r="L449" i="17"/>
  <c r="L266" i="17"/>
  <c r="K540" i="17"/>
  <c r="L519" i="17"/>
  <c r="L483" i="17"/>
  <c r="L521" i="17"/>
  <c r="L584" i="17"/>
  <c r="K561" i="17"/>
  <c r="L454" i="17"/>
  <c r="K353" i="17"/>
  <c r="K225" i="17"/>
  <c r="L317" i="17"/>
  <c r="K330" i="17"/>
  <c r="K167" i="17"/>
  <c r="K543" i="17"/>
  <c r="L54" i="17"/>
  <c r="L322" i="17"/>
  <c r="L431" i="17"/>
  <c r="K35" i="17"/>
  <c r="K170" i="17"/>
  <c r="K218" i="17"/>
  <c r="L391" i="17"/>
  <c r="L472" i="17"/>
  <c r="L164" i="17"/>
  <c r="L591" i="17"/>
  <c r="L68" i="17"/>
  <c r="L485" i="17"/>
  <c r="K573" i="17"/>
  <c r="K278" i="17"/>
  <c r="L201" i="17"/>
  <c r="K338" i="17"/>
  <c r="K587" i="17"/>
  <c r="L353" i="17"/>
  <c r="K472" i="17"/>
  <c r="L237" i="17"/>
  <c r="K107" i="17"/>
  <c r="L57" i="17"/>
  <c r="L325" i="17"/>
  <c r="L176" i="17"/>
  <c r="L546" i="17"/>
  <c r="K361" i="17"/>
  <c r="L99" i="17"/>
  <c r="L541" i="17"/>
  <c r="K415" i="17"/>
  <c r="K449" i="17"/>
  <c r="L277" i="17"/>
  <c r="K102" i="17"/>
  <c r="L101" i="17"/>
  <c r="L413" i="17"/>
  <c r="K306" i="17"/>
  <c r="K372" i="17"/>
  <c r="L273" i="17"/>
  <c r="L80" i="17"/>
  <c r="L448" i="17"/>
  <c r="L409" i="17"/>
  <c r="K360" i="17"/>
  <c r="L181" i="17"/>
  <c r="K446" i="17"/>
  <c r="K416" i="17"/>
  <c r="K398" i="17"/>
  <c r="K448" i="17"/>
  <c r="L69" i="17"/>
  <c r="K592" i="17"/>
  <c r="L238" i="17"/>
  <c r="L499" i="17"/>
  <c r="K321" i="17"/>
  <c r="K593" i="17"/>
  <c r="K168" i="17"/>
  <c r="K207" i="17"/>
  <c r="K184" i="17"/>
  <c r="K279" i="17"/>
  <c r="K433" i="17"/>
  <c r="K267" i="17"/>
  <c r="L583" i="17"/>
  <c r="K72" i="17"/>
  <c r="L429" i="17"/>
  <c r="L97" i="17"/>
  <c r="K260" i="17"/>
  <c r="K588" i="17"/>
  <c r="K346" i="17"/>
  <c r="K602" i="17"/>
  <c r="K422" i="17"/>
  <c r="K93" i="17"/>
  <c r="K203" i="17"/>
  <c r="K244" i="17"/>
  <c r="L103" i="17"/>
  <c r="K198" i="17"/>
  <c r="L308" i="17"/>
  <c r="K380" i="17"/>
  <c r="K476" i="17"/>
  <c r="K547" i="17"/>
  <c r="K83" i="17"/>
  <c r="L495" i="17"/>
  <c r="K626" i="17"/>
  <c r="L119" i="17"/>
  <c r="L383" i="17"/>
  <c r="L479" i="17"/>
  <c r="L611" i="17"/>
  <c r="K66" i="17"/>
  <c r="L215" i="17"/>
  <c r="K46" i="17"/>
  <c r="L73" i="17"/>
  <c r="L357" i="17"/>
  <c r="K52" i="17"/>
  <c r="K493" i="17"/>
  <c r="K329" i="17"/>
  <c r="L24" i="17"/>
  <c r="L155" i="17"/>
  <c r="L556" i="17"/>
  <c r="L550" i="17"/>
  <c r="K365" i="17"/>
  <c r="L252" i="17"/>
  <c r="K65" i="17"/>
  <c r="K564" i="17"/>
  <c r="L319" i="17"/>
  <c r="K549" i="17"/>
  <c r="K189" i="17"/>
  <c r="L35" i="17"/>
  <c r="K290" i="17"/>
  <c r="K542" i="17"/>
  <c r="K611" i="17"/>
  <c r="K405" i="17"/>
  <c r="K27" i="17"/>
  <c r="L37" i="17"/>
  <c r="K597" i="17"/>
  <c r="K355" i="17"/>
  <c r="L375" i="17"/>
  <c r="K401" i="17"/>
  <c r="L79" i="17"/>
  <c r="K258" i="17"/>
  <c r="K612" i="17"/>
  <c r="K513" i="17"/>
  <c r="L309" i="17"/>
  <c r="L85" i="17"/>
  <c r="L593" i="17"/>
  <c r="L77" i="17"/>
  <c r="K560" i="17"/>
  <c r="L190" i="17"/>
  <c r="L467" i="17"/>
  <c r="L305" i="17"/>
  <c r="K577" i="17"/>
  <c r="K120" i="17"/>
  <c r="L272" i="17"/>
  <c r="K408" i="17"/>
  <c r="K183" i="17"/>
  <c r="K504" i="17"/>
  <c r="K359" i="17"/>
  <c r="K531" i="17"/>
  <c r="L456" i="17"/>
  <c r="L445" i="17"/>
  <c r="K103" i="17"/>
  <c r="L530" i="17"/>
  <c r="K393" i="17"/>
  <c r="L558" i="17"/>
  <c r="K41" i="17"/>
  <c r="L221" i="17"/>
  <c r="L136" i="17"/>
  <c r="L161" i="17"/>
  <c r="K281" i="17"/>
  <c r="L513" i="17"/>
  <c r="L378" i="17"/>
  <c r="K606" i="17"/>
  <c r="L372" i="17"/>
  <c r="K499" i="17"/>
  <c r="L102" i="17"/>
  <c r="L264" i="17"/>
  <c r="K143" i="17"/>
  <c r="L276" i="17"/>
  <c r="K127" i="17"/>
  <c r="K223" i="17"/>
  <c r="K375" i="17"/>
  <c r="K90" i="17"/>
  <c r="L386" i="17"/>
  <c r="K130" i="17"/>
  <c r="L148" i="17"/>
  <c r="K171" i="17"/>
  <c r="L188" i="17"/>
  <c r="K97" i="17"/>
  <c r="L560" i="17"/>
  <c r="L362" i="17"/>
  <c r="L496" i="17"/>
  <c r="K157" i="17"/>
  <c r="L51" i="17"/>
  <c r="K287" i="17"/>
  <c r="K503" i="17"/>
  <c r="L475" i="17"/>
  <c r="K193" i="17"/>
  <c r="L303" i="17"/>
  <c r="L166" i="17"/>
  <c r="K475" i="17"/>
  <c r="L180" i="17"/>
  <c r="K562" i="17"/>
  <c r="K112" i="17"/>
  <c r="K21" i="17"/>
  <c r="K485" i="17"/>
  <c r="K463" i="17"/>
  <c r="L452" i="17"/>
  <c r="K233" i="17"/>
  <c r="L127" i="17"/>
  <c r="K25" i="17"/>
  <c r="L581" i="17"/>
  <c r="L70" i="17"/>
  <c r="L596" i="17"/>
  <c r="K229" i="17"/>
  <c r="K109" i="17"/>
  <c r="K15" i="17"/>
  <c r="L573" i="17"/>
  <c r="L363" i="17"/>
  <c r="K137" i="17"/>
  <c r="L126" i="17"/>
  <c r="L419" i="17"/>
  <c r="L174" i="17"/>
  <c r="L451" i="17"/>
  <c r="L289" i="17"/>
  <c r="K545" i="17"/>
  <c r="K309" i="17"/>
  <c r="K100" i="17"/>
  <c r="K376" i="17"/>
  <c r="L231" i="17"/>
  <c r="L507" i="17"/>
  <c r="L263" i="17"/>
  <c r="L484" i="17"/>
  <c r="K586" i="17"/>
  <c r="L493" i="17"/>
  <c r="K76" i="17"/>
  <c r="L565" i="17"/>
  <c r="L30" i="17"/>
  <c r="K362" i="17"/>
  <c r="L379" i="17"/>
  <c r="K270" i="17"/>
  <c r="K144" i="17"/>
  <c r="L348" i="17"/>
  <c r="L172" i="17"/>
  <c r="K392" i="17"/>
  <c r="K425" i="17"/>
  <c r="K312" i="17"/>
  <c r="L60" i="17"/>
  <c r="K323" i="17"/>
  <c r="L547" i="17"/>
  <c r="L527" i="17"/>
  <c r="K26" i="17"/>
  <c r="L354" i="17"/>
  <c r="K517" i="17"/>
  <c r="K327" i="17"/>
  <c r="L90" i="17"/>
  <c r="L42" i="17"/>
  <c r="K126" i="17"/>
  <c r="L112" i="17"/>
  <c r="K63" i="17"/>
  <c r="L232" i="17"/>
  <c r="L199" i="17"/>
  <c r="K222" i="17"/>
  <c r="L239" i="17"/>
  <c r="L134" i="17"/>
  <c r="K507" i="17"/>
  <c r="K99" i="17"/>
  <c r="K559" i="17"/>
  <c r="K285" i="17"/>
  <c r="K53" i="17"/>
  <c r="K39" i="17"/>
  <c r="K478" i="17"/>
  <c r="K553" i="17"/>
  <c r="K116" i="17"/>
  <c r="K259" i="17"/>
  <c r="L294" i="17"/>
  <c r="K450" i="17"/>
  <c r="K219" i="17"/>
  <c r="L482" i="17"/>
  <c r="K240" i="17"/>
  <c r="L210" i="17"/>
  <c r="L147" i="17"/>
  <c r="K438" i="17"/>
  <c r="A625" i="17"/>
  <c r="K156" i="17"/>
  <c r="K383" i="17"/>
  <c r="L206" i="17"/>
  <c r="K435" i="17"/>
  <c r="L135" i="17"/>
  <c r="L525" i="17"/>
  <c r="K152" i="17"/>
  <c r="L122" i="17"/>
  <c r="L106" i="17"/>
  <c r="K431" i="17"/>
  <c r="L516" i="17"/>
  <c r="K265" i="17"/>
  <c r="L225" i="17"/>
  <c r="L523" i="17"/>
  <c r="L265" i="17"/>
  <c r="K566" i="17"/>
  <c r="K261" i="17"/>
  <c r="L559" i="17"/>
  <c r="K320" i="17"/>
  <c r="L196" i="17"/>
  <c r="L411" i="17"/>
  <c r="L597" i="17"/>
  <c r="L430" i="17"/>
  <c r="K571" i="17"/>
  <c r="L501" i="17"/>
  <c r="K108" i="17"/>
  <c r="K548" i="17"/>
  <c r="L62" i="17"/>
  <c r="K370" i="17"/>
  <c r="L191" i="17"/>
  <c r="L39" i="17"/>
  <c r="L522" i="17"/>
  <c r="L415" i="17"/>
  <c r="L571" i="17"/>
  <c r="L403" i="17"/>
  <c r="K567" i="17"/>
  <c r="L373" i="17"/>
  <c r="L539" i="17"/>
  <c r="L282" i="17"/>
  <c r="L477" i="17"/>
  <c r="L503" i="17"/>
  <c r="K480" i="17"/>
  <c r="L623" i="17"/>
  <c r="L228" i="17"/>
  <c r="L235" i="17"/>
  <c r="K331" i="17"/>
  <c r="K283" i="17"/>
  <c r="L240" i="17"/>
  <c r="L288" i="17"/>
  <c r="L382" i="17"/>
  <c r="L151" i="17"/>
  <c r="K48" i="17"/>
  <c r="K79" i="17"/>
  <c r="K155" i="17"/>
  <c r="K484" i="17"/>
  <c r="K195" i="17"/>
  <c r="L262" i="17"/>
  <c r="K482" i="17"/>
  <c r="K391" i="17"/>
  <c r="L514" i="17"/>
  <c r="K208" i="17"/>
  <c r="L178" i="17"/>
  <c r="K186" i="17"/>
  <c r="K350" i="17"/>
  <c r="L486" i="17"/>
  <c r="L13" i="17"/>
  <c r="K310" i="17"/>
  <c r="L217" i="17"/>
  <c r="L410" i="17"/>
  <c r="L594" i="17"/>
  <c r="L457" i="17"/>
  <c r="L368" i="17"/>
  <c r="L133" i="17"/>
  <c r="K348" i="17"/>
  <c r="L396" i="17"/>
  <c r="L446" i="17"/>
  <c r="L66" i="17"/>
  <c r="K134" i="17"/>
  <c r="L129" i="17"/>
  <c r="K410" i="17"/>
  <c r="K238" i="17"/>
  <c r="L442" i="17"/>
  <c r="K280" i="17"/>
  <c r="L250" i="17"/>
  <c r="K339" i="17"/>
  <c r="K406" i="17"/>
  <c r="K541" i="17"/>
  <c r="K188" i="17"/>
  <c r="K221" i="17"/>
  <c r="L628" i="17"/>
  <c r="K253" i="17"/>
  <c r="L553" i="17"/>
  <c r="L360" i="17"/>
  <c r="L132" i="17"/>
  <c r="L395" i="17"/>
  <c r="L480" i="17"/>
  <c r="L470" i="17"/>
  <c r="K210" i="17"/>
  <c r="L576" i="17"/>
  <c r="L335" i="17"/>
  <c r="L552" i="17"/>
  <c r="L504" i="17"/>
  <c r="K402" i="17"/>
  <c r="L143" i="17"/>
  <c r="L55" i="17"/>
  <c r="K230" i="17"/>
  <c r="L242" i="17"/>
  <c r="L146" i="17"/>
  <c r="K468" i="17"/>
  <c r="K378" i="17"/>
  <c r="K492" i="17"/>
  <c r="K462" i="17"/>
  <c r="L63" i="17"/>
  <c r="L511" i="17"/>
  <c r="L609" i="17"/>
  <c r="K284" i="17"/>
  <c r="K133" i="17"/>
  <c r="L393" i="17"/>
  <c r="L152" i="17"/>
  <c r="L279" i="17"/>
  <c r="L424" i="17"/>
  <c r="K590" i="17"/>
  <c r="L334" i="17"/>
  <c r="K247" i="17"/>
  <c r="K295" i="17"/>
  <c r="K607" i="17"/>
  <c r="L408" i="17"/>
  <c r="K242" i="17"/>
  <c r="L338" i="17"/>
  <c r="K206" i="17"/>
  <c r="K303" i="17"/>
  <c r="K246" i="17"/>
  <c r="L185" i="17"/>
  <c r="K354" i="17"/>
  <c r="K516" i="17"/>
  <c r="L489" i="17"/>
  <c r="L336" i="17"/>
  <c r="L306" i="17"/>
  <c r="L94" i="17"/>
  <c r="L44" i="17"/>
  <c r="L461" i="17"/>
  <c r="K55" i="17"/>
  <c r="L569" i="17"/>
  <c r="K345" i="17"/>
  <c r="L107" i="17"/>
  <c r="K563" i="17"/>
  <c r="L329" i="17"/>
  <c r="K417" i="17"/>
  <c r="L261" i="17"/>
  <c r="L14" i="17"/>
  <c r="L105" i="17"/>
  <c r="L421" i="17"/>
  <c r="K191" i="17"/>
  <c r="L394" i="17"/>
  <c r="L257" i="17"/>
  <c r="L96" i="17"/>
  <c r="K520" i="17"/>
  <c r="L417" i="17"/>
  <c r="K344" i="17"/>
  <c r="L173" i="17"/>
  <c r="L351" i="17"/>
  <c r="L100" i="17"/>
  <c r="L517" i="17"/>
  <c r="L184" i="17"/>
  <c r="K304" i="17"/>
  <c r="K114" i="17"/>
  <c r="L328" i="17"/>
  <c r="K50" i="17"/>
  <c r="L331" i="17"/>
  <c r="L487" i="17"/>
  <c r="L502" i="17"/>
  <c r="L280" i="17"/>
  <c r="K608" i="17"/>
  <c r="K501" i="17"/>
  <c r="K474" i="17"/>
  <c r="L440" i="17"/>
  <c r="K426" i="17"/>
  <c r="L268" i="17"/>
  <c r="L67" i="17"/>
  <c r="K214" i="17"/>
  <c r="L218" i="17"/>
  <c r="L543" i="17"/>
  <c r="K325" i="17"/>
  <c r="K212" i="17"/>
  <c r="L588" i="17"/>
  <c r="L197" i="17"/>
  <c r="L603" i="17"/>
  <c r="L302" i="17"/>
  <c r="K177" i="17"/>
  <c r="K460" i="17"/>
  <c r="K40" i="17"/>
  <c r="L140" i="17"/>
  <c r="L31" i="17"/>
  <c r="K536" i="17"/>
  <c r="L202" i="17"/>
  <c r="K235" i="17"/>
  <c r="L144" i="17"/>
  <c r="L192" i="17"/>
  <c r="K568" i="17"/>
  <c r="L532" i="17"/>
  <c r="L554" i="17"/>
  <c r="C635" i="17"/>
  <c r="K158" i="17"/>
  <c r="K68" i="17"/>
  <c r="K44" i="17"/>
  <c r="K452" i="17"/>
  <c r="L58" i="17"/>
  <c r="K429" i="17"/>
  <c r="L313" i="17"/>
  <c r="L40" i="17"/>
  <c r="L595" i="17"/>
  <c r="L361" i="17"/>
  <c r="K456" i="17"/>
  <c r="L229" i="17"/>
  <c r="K22" i="17"/>
  <c r="L61" i="17"/>
  <c r="L333" i="17"/>
  <c r="K508" i="17"/>
  <c r="L575" i="17"/>
  <c r="K173" i="17"/>
  <c r="L43" i="17"/>
  <c r="K239" i="17"/>
  <c r="K572" i="17"/>
  <c r="K598" i="17"/>
  <c r="K389" i="17"/>
  <c r="K43" i="17"/>
  <c r="L41" i="17"/>
  <c r="K605" i="17"/>
  <c r="L227" i="17"/>
  <c r="K413" i="17"/>
  <c r="K385" i="17"/>
  <c r="L87" i="17"/>
  <c r="L251" i="17"/>
  <c r="K601" i="17"/>
  <c r="K497" i="17"/>
  <c r="L301" i="17"/>
  <c r="K78" i="17"/>
  <c r="L89" i="17"/>
  <c r="L389" i="17"/>
  <c r="K623" i="17"/>
  <c r="K544" i="17"/>
  <c r="K74" i="17"/>
  <c r="K595" i="17"/>
  <c r="K524" i="17"/>
  <c r="K525" i="17"/>
  <c r="L216" i="17"/>
  <c r="K613" i="17"/>
  <c r="K314" i="17"/>
  <c r="K498" i="17"/>
  <c r="L156" i="17"/>
  <c r="L95" i="17"/>
  <c r="L204" i="17"/>
  <c r="L71" i="17"/>
  <c r="K150" i="17"/>
  <c r="L170" i="17"/>
  <c r="L464" i="17"/>
  <c r="K317" i="17"/>
  <c r="L450" i="17"/>
  <c r="K305" i="17"/>
  <c r="L561" i="17"/>
  <c r="K105" i="17"/>
  <c r="L324" i="17"/>
  <c r="K91" i="17"/>
  <c r="L376" i="17"/>
  <c r="K432" i="17"/>
  <c r="K399" i="17"/>
  <c r="K609" i="17"/>
  <c r="L21" i="17"/>
  <c r="L435" i="17"/>
  <c r="L518" i="17"/>
  <c r="K286" i="17"/>
  <c r="K151" i="17"/>
  <c r="K199" i="17"/>
  <c r="K574" i="17"/>
  <c r="L38" i="17"/>
  <c r="K628" i="17"/>
  <c r="L533" i="17"/>
  <c r="K356" i="17"/>
  <c r="L195" i="17"/>
  <c r="L243" i="17"/>
  <c r="L200" i="17"/>
  <c r="K234" i="17"/>
  <c r="L432" i="17"/>
  <c r="K141" i="17"/>
  <c r="L59" i="17"/>
  <c r="K24" i="17"/>
  <c r="L564" i="17"/>
  <c r="K576" i="17"/>
  <c r="K357" i="17"/>
  <c r="L236" i="17"/>
  <c r="K73" i="17"/>
  <c r="K580" i="17"/>
  <c r="K19" i="17"/>
  <c r="K594" i="17"/>
  <c r="K301" i="17"/>
  <c r="K37" i="17"/>
  <c r="K328" i="17"/>
  <c r="K479" i="17"/>
  <c r="L420" i="17"/>
  <c r="K217" i="17"/>
  <c r="L111" i="17"/>
  <c r="K33" i="17"/>
  <c r="K522" i="17"/>
  <c r="K589" i="17"/>
  <c r="L612" i="17"/>
  <c r="K213" i="17"/>
  <c r="L23" i="17"/>
  <c r="K64" i="17"/>
  <c r="L589" i="17"/>
  <c r="L347" i="17"/>
  <c r="K129" i="17"/>
  <c r="L124" i="17"/>
  <c r="L25" i="17"/>
  <c r="L592" i="17"/>
  <c r="L318" i="17"/>
  <c r="L598" i="17"/>
  <c r="K420" i="17"/>
  <c r="K533" i="17"/>
  <c r="L50" i="17"/>
  <c r="L349" i="17"/>
  <c r="K122" i="17"/>
  <c r="K506" i="17"/>
  <c r="K18" i="17"/>
  <c r="L32" i="17"/>
  <c r="K211" i="17"/>
  <c r="L138" i="17"/>
  <c r="K307" i="17"/>
  <c r="L154" i="17"/>
  <c r="L471" i="17"/>
  <c r="L269" i="17"/>
  <c r="L474" i="17"/>
  <c r="K289" i="17"/>
  <c r="K596" i="17"/>
  <c r="K300" i="17"/>
  <c r="L247" i="17"/>
  <c r="K277" i="17"/>
  <c r="L355" i="17"/>
  <c r="K581" i="17"/>
  <c r="L405" i="17"/>
  <c r="L508" i="17"/>
  <c r="L426" i="17"/>
  <c r="L582" i="17"/>
  <c r="K530" i="17"/>
  <c r="K98" i="17"/>
  <c r="L567" i="17"/>
  <c r="I212" i="17"/>
  <c r="J529" i="17"/>
  <c r="J527" i="17"/>
  <c r="J328" i="17"/>
  <c r="J598" i="17"/>
  <c r="J596" i="17"/>
  <c r="I346" i="17"/>
  <c r="I344" i="17"/>
  <c r="I148" i="17"/>
  <c r="I515" i="17"/>
  <c r="I513" i="17"/>
  <c r="I264" i="17"/>
  <c r="J556" i="17"/>
  <c r="J554" i="17"/>
  <c r="J384" i="17"/>
  <c r="J382" i="17"/>
  <c r="I289" i="17"/>
  <c r="I451" i="17"/>
  <c r="I449" i="17"/>
  <c r="I200" i="17"/>
  <c r="I588" i="17"/>
  <c r="I584" i="17"/>
  <c r="J320" i="17"/>
  <c r="I608" i="17"/>
  <c r="I225" i="17"/>
  <c r="I490" i="17"/>
  <c r="I488" i="17"/>
  <c r="I136" i="17"/>
  <c r="I503" i="17"/>
  <c r="I501" i="17"/>
  <c r="I256" i="17"/>
  <c r="J544" i="17"/>
  <c r="I161" i="17"/>
  <c r="I426" i="17"/>
  <c r="I424" i="17"/>
  <c r="I277" i="17"/>
  <c r="I439" i="17"/>
  <c r="I437" i="17"/>
  <c r="I192" i="17"/>
  <c r="I564" i="17"/>
  <c r="J610" i="17"/>
  <c r="J608" i="17"/>
  <c r="I362" i="17"/>
  <c r="I360" i="17"/>
  <c r="I213" i="17"/>
  <c r="I478" i="17"/>
  <c r="I476" i="17"/>
  <c r="I128" i="17"/>
  <c r="I491" i="17"/>
  <c r="J572" i="17"/>
  <c r="J570" i="17"/>
  <c r="J400" i="17"/>
  <c r="J398" i="17"/>
  <c r="I149" i="17"/>
  <c r="I414" i="17"/>
  <c r="I412" i="17"/>
  <c r="I269" i="17"/>
  <c r="I427" i="17"/>
  <c r="J533" i="17"/>
  <c r="J531" i="17"/>
  <c r="J336" i="17"/>
  <c r="J602" i="17"/>
  <c r="J600" i="17"/>
  <c r="I350" i="17"/>
  <c r="I348" i="17"/>
  <c r="I205" i="17"/>
  <c r="I466" i="17"/>
  <c r="I520" i="17"/>
  <c r="I517" i="17"/>
  <c r="I272" i="17"/>
  <c r="J560" i="17"/>
  <c r="J558" i="17"/>
  <c r="J388" i="17"/>
  <c r="J386" i="17"/>
  <c r="I141" i="17"/>
  <c r="I402" i="17"/>
  <c r="I455" i="17"/>
  <c r="I453" i="17"/>
  <c r="I208" i="17"/>
  <c r="J521" i="17"/>
  <c r="I592" i="17"/>
  <c r="J324" i="17"/>
  <c r="C634" i="17"/>
  <c r="A624" i="17"/>
  <c r="I338" i="17"/>
  <c r="I494" i="17"/>
  <c r="I492" i="17"/>
  <c r="I144" i="17"/>
  <c r="I507" i="17"/>
  <c r="I505" i="17"/>
  <c r="I260" i="17"/>
  <c r="J552" i="17"/>
  <c r="J550" i="17"/>
  <c r="J376" i="17"/>
  <c r="I430" i="17"/>
  <c r="I428" i="17"/>
  <c r="I285" i="17"/>
  <c r="I443" i="17"/>
  <c r="I441" i="17"/>
  <c r="I196" i="17"/>
  <c r="I580" i="17"/>
  <c r="I576" i="17"/>
  <c r="I366" i="17"/>
  <c r="I364" i="17"/>
  <c r="I221" i="17"/>
  <c r="I482" i="17"/>
  <c r="I480" i="17"/>
  <c r="I132" i="17"/>
  <c r="I499" i="17"/>
  <c r="I497" i="17"/>
  <c r="J404" i="17"/>
  <c r="J402" i="17"/>
  <c r="I157" i="17"/>
  <c r="I418" i="17"/>
  <c r="I416" i="17"/>
  <c r="I273" i="17"/>
  <c r="I435" i="17"/>
  <c r="I433" i="17"/>
  <c r="J340" i="17"/>
  <c r="I613" i="17"/>
  <c r="I609" i="17"/>
  <c r="I354" i="17"/>
  <c r="I352" i="17"/>
  <c r="I209" i="17"/>
  <c r="I474" i="17"/>
  <c r="I472" i="17"/>
  <c r="I120" i="17"/>
  <c r="I276" i="17"/>
  <c r="J568" i="17"/>
  <c r="J566" i="17"/>
  <c r="J392" i="17"/>
  <c r="J390" i="17"/>
  <c r="I145" i="17"/>
  <c r="I410" i="17"/>
  <c r="I408" i="17"/>
  <c r="I400" i="17"/>
  <c r="I253" i="17"/>
  <c r="J582" i="17"/>
  <c r="I530" i="17"/>
  <c r="J250" i="17"/>
  <c r="I198" i="17"/>
  <c r="J276" i="17"/>
  <c r="J423" i="17"/>
  <c r="J49" i="17"/>
  <c r="I551" i="17"/>
  <c r="J129" i="17"/>
  <c r="I36" i="17"/>
  <c r="I591" i="17"/>
  <c r="I336" i="17"/>
  <c r="I189" i="17"/>
  <c r="I454" i="17"/>
  <c r="I452" i="17"/>
  <c r="I164" i="17"/>
  <c r="J547" i="17"/>
  <c r="J543" i="17"/>
  <c r="I372" i="17"/>
  <c r="J267" i="17"/>
  <c r="J516" i="17"/>
  <c r="J122" i="17"/>
  <c r="I134" i="17"/>
  <c r="J212" i="17"/>
  <c r="J359" i="17"/>
  <c r="J537" i="17"/>
  <c r="I578" i="17"/>
  <c r="I49" i="17"/>
  <c r="J206" i="17"/>
  <c r="I297" i="17"/>
  <c r="J405" i="17"/>
  <c r="I623" i="17"/>
  <c r="I626" i="17"/>
  <c r="J410" i="17"/>
  <c r="J243" i="17"/>
  <c r="J492" i="17"/>
  <c r="J34" i="17"/>
  <c r="I170" i="17"/>
  <c r="J248" i="17"/>
  <c r="J395" i="17"/>
  <c r="I612" i="17"/>
  <c r="J561" i="17"/>
  <c r="I117" i="17"/>
  <c r="J286" i="17"/>
  <c r="I188" i="17"/>
  <c r="J441" i="17"/>
  <c r="J43" i="17"/>
  <c r="J77" i="17"/>
  <c r="I420" i="17"/>
  <c r="J283" i="17"/>
  <c r="I531" i="17"/>
  <c r="J154" i="17"/>
  <c r="J156" i="17"/>
  <c r="I116" i="17"/>
  <c r="J464" i="17"/>
  <c r="I536" i="17"/>
  <c r="I389" i="17"/>
  <c r="J260" i="17"/>
  <c r="J408" i="17"/>
  <c r="I534" i="17"/>
  <c r="I546" i="17"/>
  <c r="J309" i="17"/>
  <c r="J40" i="17"/>
  <c r="I404" i="17"/>
  <c r="J343" i="17"/>
  <c r="J317" i="17"/>
  <c r="I72" i="17"/>
  <c r="J147" i="17"/>
  <c r="J161" i="17"/>
  <c r="J546" i="17"/>
  <c r="J228" i="17"/>
  <c r="J46" i="17"/>
  <c r="J489" i="17"/>
  <c r="I393" i="17"/>
  <c r="I104" i="17"/>
  <c r="J59" i="17"/>
  <c r="I539" i="17"/>
  <c r="J509" i="17"/>
  <c r="I313" i="17"/>
  <c r="J374" i="17"/>
  <c r="I597" i="17"/>
  <c r="I390" i="17"/>
  <c r="I388" i="17"/>
  <c r="I305" i="17"/>
  <c r="J530" i="17"/>
  <c r="J528" i="17"/>
  <c r="J330" i="17"/>
  <c r="J203" i="17"/>
  <c r="J452" i="17"/>
  <c r="I129" i="17"/>
  <c r="I275" i="17"/>
  <c r="J148" i="17"/>
  <c r="I397" i="17"/>
  <c r="I514" i="17"/>
  <c r="J498" i="17"/>
  <c r="I106" i="17"/>
  <c r="J30" i="17"/>
  <c r="I601" i="17"/>
  <c r="J341" i="17"/>
  <c r="I143" i="17"/>
  <c r="J269" i="17"/>
  <c r="I306" i="17"/>
  <c r="J179" i="17"/>
  <c r="J428" i="17"/>
  <c r="I51" i="17"/>
  <c r="I311" i="17"/>
  <c r="J184" i="17"/>
  <c r="J331" i="17"/>
  <c r="J522" i="17"/>
  <c r="I537" i="17"/>
  <c r="I73" i="17"/>
  <c r="J158" i="17"/>
  <c r="I229" i="17"/>
  <c r="J377" i="17"/>
  <c r="I215" i="17"/>
  <c r="I341" i="17"/>
  <c r="J346" i="17"/>
  <c r="J219" i="17"/>
  <c r="J468" i="17"/>
  <c r="J82" i="17"/>
  <c r="J104" i="17"/>
  <c r="J536" i="17"/>
  <c r="J431" i="17"/>
  <c r="J450" i="17"/>
  <c r="J298" i="17"/>
  <c r="J112" i="17"/>
  <c r="I201" i="17"/>
  <c r="J432" i="17"/>
  <c r="J497" i="17"/>
  <c r="J210" i="17"/>
  <c r="I77" i="17"/>
  <c r="I270" i="17"/>
  <c r="J201" i="17"/>
  <c r="J275" i="17"/>
  <c r="I152" i="17"/>
  <c r="J80" i="17"/>
  <c r="J45" i="17"/>
  <c r="I174" i="17"/>
  <c r="I109" i="17"/>
  <c r="J133" i="17"/>
  <c r="J259" i="17"/>
  <c r="I103" i="17"/>
  <c r="J316" i="17"/>
  <c r="J22" i="17"/>
  <c r="I568" i="17"/>
  <c r="I339" i="17"/>
  <c r="J352" i="17"/>
  <c r="J520" i="17"/>
  <c r="J407" i="17"/>
  <c r="I600" i="17"/>
  <c r="I598" i="17"/>
  <c r="I326" i="17"/>
  <c r="I324" i="17"/>
  <c r="I241" i="17"/>
  <c r="I467" i="17"/>
  <c r="I465" i="17"/>
  <c r="I266" i="17"/>
  <c r="J139" i="17"/>
  <c r="J491" i="17"/>
  <c r="I88" i="17"/>
  <c r="I155" i="17"/>
  <c r="J24" i="17"/>
  <c r="J273" i="17"/>
  <c r="I342" i="17"/>
  <c r="J434" i="17"/>
  <c r="I42" i="17"/>
  <c r="I47" i="17"/>
  <c r="J523" i="17"/>
  <c r="I379" i="17"/>
  <c r="I553" i="17"/>
  <c r="J141" i="17"/>
  <c r="I242" i="17"/>
  <c r="J115" i="17"/>
  <c r="J467" i="17"/>
  <c r="I40" i="17"/>
  <c r="I227" i="17"/>
  <c r="J120" i="17"/>
  <c r="I345" i="17"/>
  <c r="I450" i="17"/>
  <c r="J474" i="17"/>
  <c r="I82" i="17"/>
  <c r="J78" i="17"/>
  <c r="J590" i="17"/>
  <c r="I415" i="17"/>
  <c r="I589" i="17"/>
  <c r="J213" i="17"/>
  <c r="I282" i="17"/>
  <c r="J155" i="17"/>
  <c r="J507" i="17"/>
  <c r="I99" i="17"/>
  <c r="I78" i="17"/>
  <c r="J342" i="17"/>
  <c r="I369" i="17"/>
  <c r="J401" i="17"/>
  <c r="J98" i="17"/>
  <c r="I29" i="17"/>
  <c r="I457" i="17"/>
  <c r="J387" i="17"/>
  <c r="J361" i="17"/>
  <c r="I83" i="17"/>
  <c r="J95" i="17"/>
  <c r="I118" i="17"/>
  <c r="J118" i="17"/>
  <c r="J131" i="17"/>
  <c r="I302" i="17"/>
  <c r="J27" i="17"/>
  <c r="I59" i="17"/>
  <c r="I521" i="17"/>
  <c r="I573" i="17"/>
  <c r="J372" i="17"/>
  <c r="J144" i="17"/>
  <c r="J130" i="17"/>
  <c r="J502" i="17"/>
  <c r="I356" i="17"/>
  <c r="J435" i="17"/>
  <c r="I89" i="17"/>
  <c r="I456" i="17"/>
  <c r="J585" i="17"/>
  <c r="J306" i="17"/>
  <c r="I405" i="17"/>
  <c r="J258" i="17"/>
  <c r="J241" i="17"/>
  <c r="I593" i="17"/>
  <c r="I312" i="17"/>
  <c r="J579" i="17"/>
  <c r="J575" i="17"/>
  <c r="J364" i="17"/>
  <c r="J362" i="17"/>
  <c r="I177" i="17"/>
  <c r="I506" i="17"/>
  <c r="I504" i="17"/>
  <c r="I202" i="17"/>
  <c r="J280" i="17"/>
  <c r="J427" i="17"/>
  <c r="J57" i="17"/>
  <c r="I559" i="17"/>
  <c r="J88" i="17"/>
  <c r="J145" i="17"/>
  <c r="I280" i="17"/>
  <c r="J473" i="17"/>
  <c r="J75" i="17"/>
  <c r="I44" i="17"/>
  <c r="I500" i="17"/>
  <c r="I315" i="17"/>
  <c r="I582" i="17"/>
  <c r="J218" i="17"/>
  <c r="I178" i="17"/>
  <c r="J256" i="17"/>
  <c r="J403" i="17"/>
  <c r="J623" i="17"/>
  <c r="J595" i="17"/>
  <c r="J52" i="17"/>
  <c r="J217" i="17"/>
  <c r="J380" i="17"/>
  <c r="J513" i="17"/>
  <c r="I18" i="17"/>
  <c r="I95" i="17"/>
  <c r="I493" i="17"/>
  <c r="I351" i="17"/>
  <c r="J557" i="17"/>
  <c r="J290" i="17"/>
  <c r="I218" i="17"/>
  <c r="J296" i="17"/>
  <c r="J443" i="17"/>
  <c r="J89" i="17"/>
  <c r="J31" i="17"/>
  <c r="I206" i="17"/>
  <c r="J278" i="17"/>
  <c r="I355" i="17"/>
  <c r="J41" i="17"/>
  <c r="I46" i="17"/>
  <c r="I310" i="17"/>
  <c r="J297" i="17"/>
  <c r="J311" i="17"/>
  <c r="I511" i="17"/>
  <c r="I159" i="17"/>
  <c r="I587" i="17"/>
  <c r="I52" i="17"/>
  <c r="J188" i="17"/>
  <c r="I571" i="17"/>
  <c r="J424" i="17"/>
  <c r="I475" i="17"/>
  <c r="I403" i="17"/>
  <c r="J399" i="17"/>
  <c r="I384" i="17"/>
  <c r="I14" i="17"/>
  <c r="I303" i="17"/>
  <c r="J76" i="17"/>
  <c r="I399" i="17"/>
  <c r="J322" i="17"/>
  <c r="I191" i="17"/>
  <c r="I458" i="17"/>
  <c r="J411" i="17"/>
  <c r="I22" i="17"/>
  <c r="I222" i="17"/>
  <c r="J447" i="17"/>
  <c r="J406" i="17"/>
  <c r="I473" i="17"/>
  <c r="I65" i="17"/>
  <c r="J279" i="17"/>
  <c r="J548" i="17"/>
  <c r="I248" i="17"/>
  <c r="I548" i="17"/>
  <c r="I544" i="17"/>
  <c r="I300" i="17"/>
  <c r="J628" i="17"/>
  <c r="J607" i="17"/>
  <c r="I442" i="17"/>
  <c r="I440" i="17"/>
  <c r="I138" i="17"/>
  <c r="J216" i="17"/>
  <c r="J363" i="17"/>
  <c r="J563" i="17"/>
  <c r="I594" i="17"/>
  <c r="I41" i="17"/>
  <c r="J222" i="17"/>
  <c r="I309" i="17"/>
  <c r="J409" i="17"/>
  <c r="J626" i="17"/>
  <c r="J13" i="17"/>
  <c r="I332" i="17"/>
  <c r="J251" i="17"/>
  <c r="J500" i="17"/>
  <c r="J18" i="17"/>
  <c r="I114" i="17"/>
  <c r="J192" i="17"/>
  <c r="J339" i="17"/>
  <c r="J606" i="17"/>
  <c r="J569" i="17"/>
  <c r="I125" i="17"/>
  <c r="J294" i="17"/>
  <c r="I216" i="17"/>
  <c r="J449" i="17"/>
  <c r="J51" i="17"/>
  <c r="J93" i="17"/>
  <c r="I432" i="17"/>
  <c r="J287" i="17"/>
  <c r="I535" i="17"/>
  <c r="J162" i="17"/>
  <c r="I154" i="17"/>
  <c r="J232" i="17"/>
  <c r="J379" i="17"/>
  <c r="I438" i="17"/>
  <c r="I561" i="17"/>
  <c r="I251" i="17"/>
  <c r="I121" i="17"/>
  <c r="J211" i="17"/>
  <c r="J564" i="17"/>
  <c r="I247" i="17"/>
  <c r="I162" i="17"/>
  <c r="J214" i="17"/>
  <c r="J163" i="17"/>
  <c r="J332" i="17"/>
  <c r="I558" i="17"/>
  <c r="J518" i="17"/>
  <c r="J245" i="17"/>
  <c r="J72" i="17"/>
  <c r="J433" i="17"/>
  <c r="J169" i="17"/>
  <c r="J562" i="17"/>
  <c r="J288" i="17"/>
  <c r="J126" i="17"/>
  <c r="I287" i="17"/>
  <c r="I519" i="17"/>
  <c r="J111" i="17"/>
  <c r="I413" i="17"/>
  <c r="J35" i="17"/>
  <c r="J225" i="17"/>
  <c r="J444" i="17"/>
  <c r="J350" i="17"/>
  <c r="I590" i="17"/>
  <c r="I186" i="17"/>
  <c r="J25" i="17"/>
  <c r="J108" i="17"/>
  <c r="J396" i="17"/>
  <c r="J517" i="17"/>
  <c r="I87" i="17"/>
  <c r="I359" i="17"/>
  <c r="J300" i="17"/>
  <c r="J97" i="17"/>
  <c r="J185" i="17"/>
  <c r="J90" i="17"/>
  <c r="J418" i="17"/>
  <c r="I278" i="17"/>
  <c r="I459" i="17"/>
  <c r="J47" i="17"/>
  <c r="I184" i="17"/>
  <c r="I483" i="17"/>
  <c r="I481" i="17"/>
  <c r="I236" i="17"/>
  <c r="J588" i="17"/>
  <c r="J586" i="17"/>
  <c r="I378" i="17"/>
  <c r="I376" i="17"/>
  <c r="I279" i="17"/>
  <c r="J152" i="17"/>
  <c r="I401" i="17"/>
  <c r="I431" i="17"/>
  <c r="J506" i="17"/>
  <c r="I105" i="17"/>
  <c r="J14" i="17"/>
  <c r="I611" i="17"/>
  <c r="J345" i="17"/>
  <c r="I151" i="17"/>
  <c r="J277" i="17"/>
  <c r="I314" i="17"/>
  <c r="J187" i="17"/>
  <c r="J436" i="17"/>
  <c r="I35" i="17"/>
  <c r="I243" i="17"/>
  <c r="J128" i="17"/>
  <c r="I361" i="17"/>
  <c r="J526" i="17"/>
  <c r="I541" i="17"/>
  <c r="I69" i="17"/>
  <c r="J166" i="17"/>
  <c r="I245" i="17"/>
  <c r="J385" i="17"/>
  <c r="I231" i="17"/>
  <c r="I357" i="17"/>
  <c r="J358" i="17"/>
  <c r="J223" i="17"/>
  <c r="J472" i="17"/>
  <c r="J74" i="17"/>
  <c r="I295" i="17"/>
  <c r="J168" i="17"/>
  <c r="J315" i="17"/>
  <c r="I156" i="17"/>
  <c r="J488" i="17"/>
  <c r="J553" i="17"/>
  <c r="J21" i="17"/>
  <c r="J272" i="17"/>
  <c r="I358" i="17"/>
  <c r="I542" i="17"/>
  <c r="I179" i="17"/>
  <c r="I79" i="17"/>
  <c r="J224" i="17"/>
  <c r="I153" i="17"/>
  <c r="J503" i="17"/>
  <c r="J477" i="17"/>
  <c r="J146" i="17"/>
  <c r="I97" i="17"/>
  <c r="J195" i="17"/>
  <c r="J61" i="17"/>
  <c r="I210" i="17"/>
  <c r="I57" i="17"/>
  <c r="J189" i="17"/>
  <c r="J426" i="17"/>
  <c r="I409" i="17"/>
  <c r="J496" i="17"/>
  <c r="J105" i="17"/>
  <c r="I137" i="17"/>
  <c r="I150" i="17"/>
  <c r="I76" i="17"/>
  <c r="J532" i="17"/>
  <c r="I579" i="17"/>
  <c r="I261" i="17"/>
  <c r="I419" i="17"/>
  <c r="I417" i="17"/>
  <c r="I172" i="17"/>
  <c r="J555" i="17"/>
  <c r="J551" i="17"/>
  <c r="J416" i="17"/>
  <c r="J414" i="17"/>
  <c r="I163" i="17"/>
  <c r="J20" i="17"/>
  <c r="J281" i="17"/>
  <c r="I370" i="17"/>
  <c r="J442" i="17"/>
  <c r="I50" i="17"/>
  <c r="I31" i="17"/>
  <c r="J535" i="17"/>
  <c r="I383" i="17"/>
  <c r="I557" i="17"/>
  <c r="J149" i="17"/>
  <c r="I250" i="17"/>
  <c r="J123" i="17"/>
  <c r="J475" i="17"/>
  <c r="I56" i="17"/>
  <c r="J609" i="17"/>
  <c r="J44" i="17"/>
  <c r="J233" i="17"/>
  <c r="I462" i="17"/>
  <c r="J478" i="17"/>
  <c r="I86" i="17"/>
  <c r="J70" i="17"/>
  <c r="I610" i="17"/>
  <c r="J321" i="17"/>
  <c r="J597" i="17"/>
  <c r="J229" i="17"/>
  <c r="I286" i="17"/>
  <c r="J159" i="17"/>
  <c r="J511" i="17"/>
  <c r="I91" i="17"/>
  <c r="I195" i="17"/>
  <c r="I127" i="17"/>
  <c r="J313" i="17"/>
  <c r="J539" i="17"/>
  <c r="J439" i="17"/>
  <c r="J454" i="17"/>
  <c r="J117" i="17"/>
  <c r="J124" i="17"/>
  <c r="I265" i="17"/>
  <c r="J456" i="17"/>
  <c r="I586" i="17"/>
  <c r="I325" i="17"/>
  <c r="J28" i="17"/>
  <c r="I468" i="17"/>
  <c r="J367" i="17"/>
  <c r="J329" i="17"/>
  <c r="I96" i="17"/>
  <c r="J67" i="17"/>
  <c r="J48" i="17"/>
  <c r="I19" i="17"/>
  <c r="I562" i="17"/>
  <c r="I581" i="17"/>
  <c r="J73" i="17"/>
  <c r="J291" i="17"/>
  <c r="I63" i="17"/>
  <c r="J181" i="17"/>
  <c r="I168" i="17"/>
  <c r="I274" i="17"/>
  <c r="J190" i="17"/>
  <c r="J234" i="17"/>
  <c r="J534" i="17"/>
  <c r="J68" i="17"/>
  <c r="I197" i="17"/>
  <c r="I563" i="17"/>
  <c r="J84" i="17"/>
  <c r="J153" i="17"/>
  <c r="I296" i="17"/>
  <c r="J481" i="17"/>
  <c r="J83" i="17"/>
  <c r="I60" i="17"/>
  <c r="I512" i="17"/>
  <c r="I319" i="17"/>
  <c r="J226" i="17"/>
  <c r="J264" i="17"/>
  <c r="J310" i="17"/>
  <c r="J573" i="17"/>
  <c r="I605" i="17"/>
  <c r="I394" i="17"/>
  <c r="I392" i="17"/>
  <c r="I249" i="17"/>
  <c r="I471" i="17"/>
  <c r="I469" i="17"/>
  <c r="I288" i="17"/>
  <c r="J587" i="17"/>
  <c r="I524" i="17"/>
  <c r="I37" i="17"/>
  <c r="J230" i="17"/>
  <c r="I124" i="17"/>
  <c r="J417" i="17"/>
  <c r="J19" i="17"/>
  <c r="J29" i="17"/>
  <c r="I340" i="17"/>
  <c r="J255" i="17"/>
  <c r="J504" i="17"/>
  <c r="I115" i="17"/>
  <c r="I122" i="17"/>
  <c r="J200" i="17"/>
  <c r="J347" i="17"/>
  <c r="I556" i="17"/>
  <c r="I554" i="17"/>
  <c r="I61" i="17"/>
  <c r="J182" i="17"/>
  <c r="I220" i="17"/>
  <c r="J453" i="17"/>
  <c r="J55" i="17"/>
  <c r="J101" i="17"/>
  <c r="I448" i="17"/>
  <c r="J295" i="17"/>
  <c r="I543" i="17"/>
  <c r="J178" i="17"/>
  <c r="I158" i="17"/>
  <c r="J236" i="17"/>
  <c r="J383" i="17"/>
  <c r="J580" i="17"/>
  <c r="I540" i="17"/>
  <c r="I21" i="17"/>
  <c r="J262" i="17"/>
  <c r="I214" i="17"/>
  <c r="J113" i="17"/>
  <c r="I367" i="17"/>
  <c r="J65" i="17"/>
  <c r="I58" i="17"/>
  <c r="J334" i="17"/>
  <c r="I329" i="17"/>
  <c r="J369" i="17"/>
  <c r="I43" i="17"/>
  <c r="J99" i="17"/>
  <c r="I142" i="17"/>
  <c r="J150" i="17"/>
  <c r="J143" i="17"/>
  <c r="I252" i="17"/>
  <c r="I523" i="17"/>
  <c r="J476" i="17"/>
  <c r="J611" i="17"/>
  <c r="J304" i="17"/>
  <c r="J238" i="17"/>
  <c r="I436" i="17"/>
  <c r="I66" i="17"/>
  <c r="I204" i="17"/>
  <c r="J601" i="17"/>
  <c r="I133" i="17"/>
  <c r="I577" i="17"/>
  <c r="J197" i="17"/>
  <c r="I228" i="17"/>
  <c r="I606" i="17"/>
  <c r="I330" i="17"/>
  <c r="I328" i="17"/>
  <c r="I185" i="17"/>
  <c r="I510" i="17"/>
  <c r="I508" i="17"/>
  <c r="I224" i="17"/>
  <c r="I447" i="17"/>
  <c r="J510" i="17"/>
  <c r="I101" i="17"/>
  <c r="I123" i="17"/>
  <c r="I165" i="17"/>
  <c r="J353" i="17"/>
  <c r="I167" i="17"/>
  <c r="J293" i="17"/>
  <c r="J318" i="17"/>
  <c r="J191" i="17"/>
  <c r="J440" i="17"/>
  <c r="I27" i="17"/>
  <c r="I259" i="17"/>
  <c r="J136" i="17"/>
  <c r="I377" i="17"/>
  <c r="I486" i="17"/>
  <c r="J486" i="17"/>
  <c r="I94" i="17"/>
  <c r="J54" i="17"/>
  <c r="I257" i="17"/>
  <c r="J389" i="17"/>
  <c r="I239" i="17"/>
  <c r="I365" i="17"/>
  <c r="J378" i="17"/>
  <c r="J231" i="17"/>
  <c r="J480" i="17"/>
  <c r="J58" i="17"/>
  <c r="I299" i="17"/>
  <c r="J172" i="17"/>
  <c r="J319" i="17"/>
  <c r="I487" i="17"/>
  <c r="I525" i="17"/>
  <c r="I85" i="17"/>
  <c r="J134" i="17"/>
  <c r="I283" i="17"/>
  <c r="J86" i="17"/>
  <c r="J215" i="17"/>
  <c r="J576" i="17"/>
  <c r="I263" i="17"/>
  <c r="I182" i="17"/>
  <c r="J246" i="17"/>
  <c r="I335" i="17"/>
  <c r="J538" i="17"/>
  <c r="I183" i="17"/>
  <c r="I595" i="17"/>
  <c r="I84" i="17"/>
  <c r="J196" i="17"/>
  <c r="I602" i="17"/>
  <c r="J483" i="17"/>
  <c r="J289" i="17"/>
  <c r="I238" i="17"/>
  <c r="I33" i="17"/>
  <c r="J261" i="17"/>
  <c r="I291" i="17"/>
  <c r="I522" i="17"/>
  <c r="J370" i="17"/>
  <c r="J208" i="17"/>
  <c r="J305" i="17"/>
  <c r="J85" i="17"/>
  <c r="J425" i="17"/>
  <c r="I518" i="17"/>
  <c r="I347" i="17"/>
  <c r="J591" i="17"/>
  <c r="J368" i="17"/>
  <c r="J366" i="17"/>
  <c r="W624" i="17"/>
  <c r="I446" i="17"/>
  <c r="I444" i="17"/>
  <c r="I160" i="17"/>
  <c r="I374" i="17"/>
  <c r="J446" i="17"/>
  <c r="I54" i="17"/>
  <c r="I23" i="17"/>
  <c r="J559" i="17"/>
  <c r="I391" i="17"/>
  <c r="I565" i="17"/>
  <c r="J165" i="17"/>
  <c r="I254" i="17"/>
  <c r="J127" i="17"/>
  <c r="J479" i="17"/>
  <c r="I64" i="17"/>
  <c r="I603" i="17"/>
  <c r="J36" i="17"/>
  <c r="J249" i="17"/>
  <c r="J412" i="17"/>
  <c r="J422" i="17"/>
  <c r="I30" i="17"/>
  <c r="I71" i="17"/>
  <c r="J604" i="17"/>
  <c r="J325" i="17"/>
  <c r="J605" i="17"/>
  <c r="J237" i="17"/>
  <c r="I294" i="17"/>
  <c r="J167" i="17"/>
  <c r="J519" i="17"/>
  <c r="I75" i="17"/>
  <c r="I203" i="17"/>
  <c r="I135" i="17"/>
  <c r="I321" i="17"/>
  <c r="I422" i="17"/>
  <c r="J462" i="17"/>
  <c r="I70" i="17"/>
  <c r="J102" i="17"/>
  <c r="J593" i="17"/>
  <c r="J53" i="17"/>
  <c r="J284" i="17"/>
  <c r="I386" i="17"/>
  <c r="J565" i="17"/>
  <c r="I211" i="17"/>
  <c r="I39" i="17"/>
  <c r="J183" i="17"/>
  <c r="J344" i="17"/>
  <c r="I574" i="17"/>
  <c r="I533" i="17"/>
  <c r="J285" i="17"/>
  <c r="J60" i="17"/>
  <c r="I396" i="17"/>
  <c r="J335" i="17"/>
  <c r="J109" i="17"/>
  <c r="J577" i="17"/>
  <c r="I607" i="17"/>
  <c r="I32" i="17"/>
  <c r="J458" i="17"/>
  <c r="J323" i="17"/>
  <c r="I171" i="17"/>
  <c r="J471" i="17"/>
  <c r="J574" i="17"/>
  <c r="I226" i="17"/>
  <c r="J66" i="17"/>
  <c r="J584" i="17"/>
  <c r="J469" i="17"/>
  <c r="J312" i="17"/>
  <c r="J360" i="17"/>
  <c r="J282" i="17"/>
  <c r="J541" i="17"/>
  <c r="J495" i="17"/>
  <c r="I423" i="17"/>
  <c r="I560" i="17"/>
  <c r="I304" i="17"/>
  <c r="I596" i="17"/>
  <c r="J594" i="17"/>
  <c r="I382" i="17"/>
  <c r="I380" i="17"/>
  <c r="I301" i="17"/>
  <c r="I308" i="17"/>
  <c r="J485" i="17"/>
  <c r="J87" i="17"/>
  <c r="I68" i="17"/>
  <c r="I429" i="17"/>
  <c r="I327" i="17"/>
  <c r="I526" i="17"/>
  <c r="J242" i="17"/>
  <c r="I190" i="17"/>
  <c r="J268" i="17"/>
  <c r="J415" i="17"/>
  <c r="J33" i="17"/>
  <c r="I547" i="17"/>
  <c r="J100" i="17"/>
  <c r="J121" i="17"/>
  <c r="I244" i="17"/>
  <c r="J461" i="17"/>
  <c r="J63" i="17"/>
  <c r="I20" i="17"/>
  <c r="J524" i="17"/>
  <c r="I363" i="17"/>
  <c r="J581" i="17"/>
  <c r="J314" i="17"/>
  <c r="I230" i="17"/>
  <c r="J308" i="17"/>
  <c r="J455" i="17"/>
  <c r="I16" i="17"/>
  <c r="I583" i="17"/>
  <c r="J64" i="17"/>
  <c r="J193" i="17"/>
  <c r="J348" i="17"/>
  <c r="J501" i="17"/>
  <c r="J103" i="17"/>
  <c r="I100" i="17"/>
  <c r="J470" i="17"/>
  <c r="J157" i="17"/>
  <c r="J132" i="17"/>
  <c r="I293" i="17"/>
  <c r="J460" i="17"/>
  <c r="I532" i="17"/>
  <c r="I373" i="17"/>
  <c r="J240" i="17"/>
  <c r="I181" i="17"/>
  <c r="J515" i="17"/>
  <c r="J493" i="17"/>
  <c r="J194" i="17"/>
  <c r="I93" i="17"/>
  <c r="I258" i="17"/>
  <c r="J177" i="17"/>
  <c r="J26" i="17"/>
  <c r="J365" i="17"/>
  <c r="J463" i="17"/>
  <c r="I470" i="17"/>
  <c r="I323" i="17"/>
  <c r="J62" i="17"/>
  <c r="J457" i="17"/>
  <c r="I131" i="17"/>
  <c r="J445" i="17"/>
  <c r="J227" i="17"/>
  <c r="J175" i="17"/>
  <c r="I516" i="17"/>
  <c r="J202" i="17"/>
  <c r="J549" i="17"/>
  <c r="I147" i="17"/>
  <c r="J499" i="17"/>
  <c r="I489" i="17"/>
  <c r="I240" i="17"/>
  <c r="J571" i="17"/>
  <c r="J567" i="17"/>
  <c r="I318" i="17"/>
  <c r="I316" i="17"/>
  <c r="I237" i="17"/>
  <c r="I140" i="17"/>
  <c r="J421" i="17"/>
  <c r="J23" i="17"/>
  <c r="J37" i="17"/>
  <c r="I368" i="17"/>
  <c r="J263" i="17"/>
  <c r="J512" i="17"/>
  <c r="J114" i="17"/>
  <c r="I126" i="17"/>
  <c r="J204" i="17"/>
  <c r="J351" i="17"/>
  <c r="J525" i="17"/>
  <c r="I570" i="17"/>
  <c r="I53" i="17"/>
  <c r="J198" i="17"/>
  <c r="I281" i="17"/>
  <c r="J397" i="17"/>
  <c r="I255" i="17"/>
  <c r="I381" i="17"/>
  <c r="I460" i="17"/>
  <c r="J299" i="17"/>
  <c r="I550" i="17"/>
  <c r="J186" i="17"/>
  <c r="I166" i="17"/>
  <c r="J244" i="17"/>
  <c r="J391" i="17"/>
  <c r="J592" i="17"/>
  <c r="J545" i="17"/>
  <c r="I17" i="17"/>
  <c r="J270" i="17"/>
  <c r="I180" i="17"/>
  <c r="J437" i="17"/>
  <c r="J39" i="17"/>
  <c r="J69" i="17"/>
  <c r="J429" i="17"/>
  <c r="J42" i="17"/>
  <c r="I13" i="17"/>
  <c r="I509" i="17"/>
  <c r="J419" i="17"/>
  <c r="J438" i="17"/>
  <c r="J274" i="17"/>
  <c r="I111" i="17"/>
  <c r="I496" i="17"/>
  <c r="J371" i="17"/>
  <c r="J349" i="17"/>
  <c r="I107" i="17"/>
  <c r="J79" i="17"/>
  <c r="I110" i="17"/>
  <c r="J110" i="17"/>
  <c r="I193" i="17"/>
  <c r="J119" i="17"/>
  <c r="J302" i="17"/>
  <c r="I461" i="17"/>
  <c r="J176" i="17"/>
  <c r="J266" i="17"/>
  <c r="J247" i="17"/>
  <c r="I406" i="17"/>
  <c r="I98" i="17"/>
  <c r="I549" i="17"/>
  <c r="J252" i="17"/>
  <c r="I331" i="17"/>
  <c r="I268" i="17"/>
  <c r="I566" i="17"/>
  <c r="J459" i="17"/>
  <c r="J209" i="17"/>
  <c r="I108" i="17"/>
  <c r="J292" i="17"/>
  <c r="J207" i="17"/>
  <c r="I92" i="17"/>
  <c r="J465" i="17"/>
  <c r="J355" i="17"/>
  <c r="I425" i="17"/>
  <c r="I176" i="17"/>
  <c r="J542" i="17"/>
  <c r="J540" i="17"/>
  <c r="J356" i="17"/>
  <c r="J354" i="17"/>
  <c r="I173" i="17"/>
  <c r="I169" i="17"/>
  <c r="J357" i="17"/>
  <c r="I175" i="17"/>
  <c r="J301" i="17"/>
  <c r="J326" i="17"/>
  <c r="J199" i="17"/>
  <c r="J448" i="17"/>
  <c r="I113" i="17"/>
  <c r="I267" i="17"/>
  <c r="J140" i="17"/>
  <c r="I385" i="17"/>
  <c r="I502" i="17"/>
  <c r="J494" i="17"/>
  <c r="I102" i="17"/>
  <c r="J38" i="17"/>
  <c r="J599" i="17"/>
  <c r="J333" i="17"/>
  <c r="I599" i="17"/>
  <c r="J253" i="17"/>
  <c r="J394" i="17"/>
  <c r="J235" i="17"/>
  <c r="J484" i="17"/>
  <c r="J50" i="17"/>
  <c r="I307" i="17"/>
  <c r="J180" i="17"/>
  <c r="J327" i="17"/>
  <c r="I495" i="17"/>
  <c r="I529" i="17"/>
  <c r="I81" i="17"/>
  <c r="J142" i="17"/>
  <c r="I217" i="17"/>
  <c r="J373" i="17"/>
  <c r="I207" i="17"/>
  <c r="I333" i="17"/>
  <c r="I387" i="17"/>
  <c r="J81" i="17"/>
  <c r="I62" i="17"/>
  <c r="J338" i="17"/>
  <c r="I353" i="17"/>
  <c r="J393" i="17"/>
  <c r="J106" i="17"/>
  <c r="I45" i="17"/>
  <c r="I290" i="17"/>
  <c r="J265" i="17"/>
  <c r="J303" i="17"/>
  <c r="I463" i="17"/>
  <c r="J613" i="17"/>
  <c r="I575" i="17"/>
  <c r="I28" i="17"/>
  <c r="I246" i="17"/>
  <c r="J92" i="17"/>
  <c r="I317" i="17"/>
  <c r="I130" i="17"/>
  <c r="I90" i="17"/>
  <c r="I232" i="17"/>
  <c r="I119" i="17"/>
  <c r="I528" i="17"/>
  <c r="J137" i="17"/>
  <c r="I349" i="17"/>
  <c r="J160" i="17"/>
  <c r="I445" i="17"/>
  <c r="J96" i="17"/>
  <c r="J71" i="17"/>
  <c r="J307" i="17"/>
  <c r="I234" i="17"/>
  <c r="I24" i="17"/>
  <c r="J56" i="17"/>
  <c r="J505" i="17"/>
  <c r="I485" i="17"/>
  <c r="I398" i="17"/>
  <c r="I199" i="17"/>
  <c r="J612" i="17"/>
  <c r="J381" i="17"/>
  <c r="I464" i="17"/>
  <c r="I112" i="17"/>
  <c r="I479" i="17"/>
  <c r="I477" i="17"/>
  <c r="I292" i="17"/>
  <c r="I628" i="17"/>
  <c r="J603" i="17"/>
  <c r="J583" i="17"/>
  <c r="I395" i="17"/>
  <c r="I569" i="17"/>
  <c r="J173" i="17"/>
  <c r="I262" i="17"/>
  <c r="J135" i="17"/>
  <c r="J487" i="17"/>
  <c r="I80" i="17"/>
  <c r="I139" i="17"/>
  <c r="J32" i="17"/>
  <c r="J257" i="17"/>
  <c r="I334" i="17"/>
  <c r="J430" i="17"/>
  <c r="I38" i="17"/>
  <c r="I55" i="17"/>
  <c r="I552" i="17"/>
  <c r="I371" i="17"/>
  <c r="I545" i="17"/>
  <c r="J125" i="17"/>
  <c r="I298" i="17"/>
  <c r="J171" i="17"/>
  <c r="J420" i="17"/>
  <c r="I67" i="17"/>
  <c r="I219" i="17"/>
  <c r="J116" i="17"/>
  <c r="I337" i="17"/>
  <c r="I434" i="17"/>
  <c r="J466" i="17"/>
  <c r="I74" i="17"/>
  <c r="J94" i="17"/>
  <c r="J578" i="17"/>
  <c r="I411" i="17"/>
  <c r="I585" i="17"/>
  <c r="J205" i="17"/>
  <c r="J239" i="17"/>
  <c r="I604" i="17"/>
  <c r="J15" i="17"/>
  <c r="I194" i="17"/>
  <c r="J254" i="17"/>
  <c r="I343" i="17"/>
  <c r="J17" i="17"/>
  <c r="I26" i="17"/>
  <c r="I146" i="17"/>
  <c r="J174" i="17"/>
  <c r="J151" i="17"/>
  <c r="I284" i="17"/>
  <c r="I527" i="17"/>
  <c r="J514" i="17"/>
  <c r="J221" i="17"/>
  <c r="I555" i="17"/>
  <c r="I223" i="17"/>
  <c r="I48" i="17"/>
  <c r="J490" i="17"/>
  <c r="I538" i="17"/>
  <c r="I320" i="17"/>
  <c r="J91" i="17"/>
  <c r="J16" i="17"/>
  <c r="I421" i="17"/>
  <c r="I34" i="17"/>
  <c r="I233" i="17"/>
  <c r="I484" i="17"/>
  <c r="J107" i="17"/>
  <c r="I235" i="17"/>
  <c r="J220" i="17"/>
  <c r="J138" i="17"/>
  <c r="I187" i="17"/>
  <c r="J375" i="17"/>
  <c r="I498" i="17"/>
  <c r="I271" i="17"/>
  <c r="J482" i="17"/>
  <c r="J413" i="17"/>
  <c r="I15" i="17"/>
  <c r="J337" i="17"/>
  <c r="J589" i="17"/>
  <c r="I375" i="17"/>
  <c r="J271" i="17"/>
  <c r="I567" i="17"/>
  <c r="J170" i="17"/>
  <c r="I25" i="17"/>
  <c r="I407" i="17"/>
  <c r="I322" i="17"/>
  <c r="I572" i="17"/>
  <c r="J451" i="17"/>
  <c r="J164" i="17"/>
  <c r="J508" i="17"/>
  <c r="AA622" i="25"/>
  <c r="E632" i="25" s="1"/>
  <c r="AB622" i="25"/>
  <c r="AA622" i="17"/>
  <c r="E632" i="17" s="1"/>
  <c r="AB622" i="17"/>
  <c r="R628" i="25" l="1"/>
  <c r="S628" i="25" s="1"/>
  <c r="P625" i="25"/>
  <c r="O625" i="25"/>
  <c r="L625" i="25"/>
  <c r="N625" i="25"/>
  <c r="M625" i="25"/>
  <c r="C625" i="25"/>
  <c r="D625" i="25"/>
  <c r="K625" i="25"/>
  <c r="F625" i="25"/>
  <c r="AB625" i="25" s="1"/>
  <c r="E625" i="25"/>
  <c r="R622" i="25"/>
  <c r="S622" i="25" s="1"/>
  <c r="Q622" i="25"/>
  <c r="D632" i="25" s="1"/>
  <c r="Y625" i="25"/>
  <c r="AA627" i="25"/>
  <c r="AB627" i="25"/>
  <c r="Y95" i="17"/>
  <c r="Y418" i="17"/>
  <c r="Y295" i="17"/>
  <c r="Q627" i="25"/>
  <c r="R627" i="25"/>
  <c r="S627" i="25" s="1"/>
  <c r="AB627" i="17"/>
  <c r="Y428" i="17"/>
  <c r="X622" i="25"/>
  <c r="Y622" i="25"/>
  <c r="X622" i="17"/>
  <c r="R622" i="17"/>
  <c r="S622" i="17" s="1"/>
  <c r="X401" i="17"/>
  <c r="X588" i="17"/>
  <c r="X625" i="25"/>
  <c r="AA625" i="25"/>
  <c r="E635" i="25" s="1"/>
  <c r="X414" i="17"/>
  <c r="Y234" i="17"/>
  <c r="Q625" i="25"/>
  <c r="D635" i="25" s="1"/>
  <c r="X396" i="17"/>
  <c r="X403" i="17"/>
  <c r="Y213" i="17"/>
  <c r="X135" i="17"/>
  <c r="X443" i="17"/>
  <c r="Y238" i="17"/>
  <c r="X319" i="17"/>
  <c r="X178" i="17"/>
  <c r="Y54" i="17"/>
  <c r="Y193" i="17"/>
  <c r="X171" i="17"/>
  <c r="X227" i="17"/>
  <c r="Y189" i="17"/>
  <c r="X292" i="17"/>
  <c r="Y356" i="17"/>
  <c r="X226" i="17"/>
  <c r="Y562" i="25"/>
  <c r="R562" i="25"/>
  <c r="S562" i="25" s="1"/>
  <c r="Y202" i="25"/>
  <c r="R202" i="25"/>
  <c r="S202" i="25" s="1"/>
  <c r="X23" i="25"/>
  <c r="Q23" i="25"/>
  <c r="Y170" i="25"/>
  <c r="R170" i="25"/>
  <c r="S170" i="25" s="1"/>
  <c r="Y270" i="25"/>
  <c r="R270" i="25"/>
  <c r="S270" i="25" s="1"/>
  <c r="Y484" i="25"/>
  <c r="R484" i="25"/>
  <c r="S484" i="25" s="1"/>
  <c r="R373" i="25"/>
  <c r="S373" i="25" s="1"/>
  <c r="Y373" i="25"/>
  <c r="X382" i="25"/>
  <c r="Q382" i="25"/>
  <c r="X237" i="25"/>
  <c r="Q237" i="25"/>
  <c r="Q543" i="25"/>
  <c r="X543" i="25"/>
  <c r="Y551" i="25"/>
  <c r="R551" i="25"/>
  <c r="S551" i="25" s="1"/>
  <c r="Y195" i="25"/>
  <c r="R195" i="25"/>
  <c r="S195" i="25" s="1"/>
  <c r="X31" i="25"/>
  <c r="Q31" i="25"/>
  <c r="X393" i="25"/>
  <c r="Q393" i="25"/>
  <c r="X256" i="25"/>
  <c r="Q256" i="25"/>
  <c r="X580" i="25"/>
  <c r="Q580" i="25"/>
  <c r="X303" i="25"/>
  <c r="Q303" i="25"/>
  <c r="Y353" i="25"/>
  <c r="R353" i="25"/>
  <c r="S353" i="25" s="1"/>
  <c r="X92" i="25"/>
  <c r="Q92" i="25"/>
  <c r="X86" i="25"/>
  <c r="Q86" i="25"/>
  <c r="Y151" i="25"/>
  <c r="R151" i="25"/>
  <c r="S151" i="25" s="1"/>
  <c r="X13" i="25"/>
  <c r="Q13" i="25"/>
  <c r="U13" i="25" s="1"/>
  <c r="X136" i="25"/>
  <c r="Q136" i="25"/>
  <c r="Y271" i="25"/>
  <c r="R271" i="25"/>
  <c r="S271" i="25" s="1"/>
  <c r="Y53" i="25"/>
  <c r="R53" i="25"/>
  <c r="S53" i="25" s="1"/>
  <c r="X594" i="25"/>
  <c r="Q594" i="25"/>
  <c r="X209" i="25"/>
  <c r="Q209" i="25"/>
  <c r="Y52" i="25"/>
  <c r="R52" i="25"/>
  <c r="S52" i="25" s="1"/>
  <c r="X413" i="25"/>
  <c r="Q413" i="25"/>
  <c r="X534" i="25"/>
  <c r="Q534" i="25"/>
  <c r="Y453" i="25"/>
  <c r="R453" i="25"/>
  <c r="S453" i="25" s="1"/>
  <c r="X44" i="25"/>
  <c r="Q44" i="25"/>
  <c r="X406" i="25"/>
  <c r="Q406" i="25"/>
  <c r="X591" i="25"/>
  <c r="Q591" i="25"/>
  <c r="X156" i="25"/>
  <c r="Q156" i="25"/>
  <c r="R245" i="25"/>
  <c r="S245" i="25" s="1"/>
  <c r="Y245" i="25"/>
  <c r="X269" i="25"/>
  <c r="Q269" i="25"/>
  <c r="Y606" i="25"/>
  <c r="R606" i="25"/>
  <c r="S606" i="25" s="1"/>
  <c r="Y572" i="25"/>
  <c r="R572" i="25"/>
  <c r="S572" i="25" s="1"/>
  <c r="X273" i="25"/>
  <c r="Q273" i="25"/>
  <c r="X100" i="25"/>
  <c r="Q100" i="25"/>
  <c r="Y165" i="25"/>
  <c r="R165" i="25"/>
  <c r="S165" i="25" s="1"/>
  <c r="X592" i="25"/>
  <c r="Q592" i="25"/>
  <c r="X16" i="25"/>
  <c r="Q16" i="25"/>
  <c r="X437" i="25"/>
  <c r="Q437" i="25"/>
  <c r="X338" i="25"/>
  <c r="Q338" i="25"/>
  <c r="X203" i="25"/>
  <c r="Q203" i="25"/>
  <c r="Y365" i="25"/>
  <c r="R365" i="25"/>
  <c r="S365" i="25" s="1"/>
  <c r="Y423" i="25"/>
  <c r="R423" i="25"/>
  <c r="S423" i="25" s="1"/>
  <c r="X50" i="25"/>
  <c r="Q50" i="25"/>
  <c r="Y316" i="25"/>
  <c r="R316" i="25"/>
  <c r="S316" i="25" s="1"/>
  <c r="X353" i="25"/>
  <c r="Q353" i="25"/>
  <c r="X505" i="25"/>
  <c r="Q505" i="25"/>
  <c r="Y15" i="25"/>
  <c r="R15" i="25"/>
  <c r="S15" i="25" s="1"/>
  <c r="Y427" i="25"/>
  <c r="R427" i="25"/>
  <c r="S427" i="25" s="1"/>
  <c r="Y223" i="25"/>
  <c r="R223" i="25"/>
  <c r="S223" i="25" s="1"/>
  <c r="Y119" i="25"/>
  <c r="R119" i="25"/>
  <c r="S119" i="25" s="1"/>
  <c r="Y314" i="25"/>
  <c r="R314" i="25"/>
  <c r="S314" i="25" s="1"/>
  <c r="X468" i="25"/>
  <c r="Q468" i="25"/>
  <c r="Y375" i="25"/>
  <c r="R375" i="25"/>
  <c r="S375" i="25" s="1"/>
  <c r="X215" i="25"/>
  <c r="Q215" i="25"/>
  <c r="X200" i="25"/>
  <c r="Q200" i="25"/>
  <c r="Y543" i="25"/>
  <c r="R543" i="25"/>
  <c r="S543" i="25" s="1"/>
  <c r="Q252" i="25"/>
  <c r="X252" i="25"/>
  <c r="Y461" i="25"/>
  <c r="R461" i="25"/>
  <c r="S461" i="25" s="1"/>
  <c r="Y190" i="25"/>
  <c r="R190" i="25"/>
  <c r="S190" i="25" s="1"/>
  <c r="Y523" i="25"/>
  <c r="R523" i="25"/>
  <c r="S523" i="25" s="1"/>
  <c r="X546" i="25"/>
  <c r="Q546" i="25"/>
  <c r="Y222" i="25"/>
  <c r="R222" i="25"/>
  <c r="S222" i="25" s="1"/>
  <c r="X218" i="25"/>
  <c r="Q218" i="25"/>
  <c r="Y145" i="25"/>
  <c r="R145" i="25"/>
  <c r="S145" i="25" s="1"/>
  <c r="Y14" i="25"/>
  <c r="R14" i="25"/>
  <c r="S14" i="25" s="1"/>
  <c r="X66" i="25"/>
  <c r="Q66" i="25"/>
  <c r="Y626" i="25"/>
  <c r="R626" i="25"/>
  <c r="S626" i="25" s="1"/>
  <c r="Y80" i="25"/>
  <c r="R80" i="25"/>
  <c r="S80" i="25" s="1"/>
  <c r="X601" i="25"/>
  <c r="Q601" i="25"/>
  <c r="X581" i="25"/>
  <c r="Q581" i="25"/>
  <c r="Y482" i="25"/>
  <c r="R482" i="25"/>
  <c r="S482" i="25" s="1"/>
  <c r="X475" i="25"/>
  <c r="Q475" i="25"/>
  <c r="X433" i="25"/>
  <c r="Q433" i="25"/>
  <c r="Y377" i="25"/>
  <c r="R377" i="25"/>
  <c r="S377" i="25" s="1"/>
  <c r="Y362" i="25"/>
  <c r="R362" i="25"/>
  <c r="S362" i="25" s="1"/>
  <c r="X189" i="25"/>
  <c r="Q189" i="25"/>
  <c r="X64" i="25"/>
  <c r="Q64" i="25"/>
  <c r="Y193" i="25"/>
  <c r="R193" i="25"/>
  <c r="S193" i="25" s="1"/>
  <c r="Y438" i="25"/>
  <c r="R438" i="25"/>
  <c r="S438" i="25" s="1"/>
  <c r="X460" i="25"/>
  <c r="Q460" i="25"/>
  <c r="R40" i="25"/>
  <c r="S40" i="25" s="1"/>
  <c r="Y40" i="25"/>
  <c r="X68" i="25"/>
  <c r="Q68" i="25"/>
  <c r="Y519" i="25"/>
  <c r="R519" i="25"/>
  <c r="S519" i="25" s="1"/>
  <c r="X225" i="25"/>
  <c r="Q225" i="25"/>
  <c r="X354" i="25"/>
  <c r="Q354" i="25"/>
  <c r="Y315" i="25"/>
  <c r="R315" i="25"/>
  <c r="S315" i="25" s="1"/>
  <c r="X315" i="25"/>
  <c r="Q315" i="25"/>
  <c r="Y395" i="25"/>
  <c r="R395" i="25"/>
  <c r="S395" i="25" s="1"/>
  <c r="Y191" i="25"/>
  <c r="R191" i="25"/>
  <c r="S191" i="25" s="1"/>
  <c r="Y25" i="25"/>
  <c r="R25" i="25"/>
  <c r="S25" i="25" s="1"/>
  <c r="X409" i="25"/>
  <c r="Q409" i="25"/>
  <c r="X461" i="25"/>
  <c r="Q461" i="25"/>
  <c r="Y432" i="25"/>
  <c r="R432" i="25"/>
  <c r="S432" i="25" s="1"/>
  <c r="Q281" i="25"/>
  <c r="X281" i="25"/>
  <c r="Y142" i="25"/>
  <c r="R142" i="25"/>
  <c r="S142" i="25" s="1"/>
  <c r="Y62" i="25"/>
  <c r="R62" i="25"/>
  <c r="S62" i="25" s="1"/>
  <c r="Y21" i="25"/>
  <c r="R21" i="25"/>
  <c r="S21" i="25" s="1"/>
  <c r="R159" i="25"/>
  <c r="S159" i="25" s="1"/>
  <c r="Y159" i="25"/>
  <c r="Y564" i="25"/>
  <c r="R564" i="25"/>
  <c r="S564" i="25" s="1"/>
  <c r="Y414" i="25"/>
  <c r="R414" i="25"/>
  <c r="S414" i="25" s="1"/>
  <c r="Y326" i="25"/>
  <c r="R326" i="25"/>
  <c r="S326" i="25" s="1"/>
  <c r="X450" i="25"/>
  <c r="Q450" i="25"/>
  <c r="Y305" i="25"/>
  <c r="R305" i="25"/>
  <c r="S305" i="25" s="1"/>
  <c r="Y144" i="25"/>
  <c r="R144" i="25"/>
  <c r="S144" i="25" s="1"/>
  <c r="Y206" i="25"/>
  <c r="R206" i="25"/>
  <c r="S206" i="25" s="1"/>
  <c r="X377" i="25"/>
  <c r="Q377" i="25"/>
  <c r="Y258" i="25"/>
  <c r="R258" i="25"/>
  <c r="S258" i="25" s="1"/>
  <c r="Y400" i="25"/>
  <c r="R400" i="25"/>
  <c r="S400" i="25" s="1"/>
  <c r="Y354" i="25"/>
  <c r="R354" i="25"/>
  <c r="S354" i="25" s="1"/>
  <c r="Y444" i="25"/>
  <c r="R444" i="25"/>
  <c r="S444" i="25" s="1"/>
  <c r="X350" i="25"/>
  <c r="Q350" i="25"/>
  <c r="X152" i="25"/>
  <c r="Q152" i="25"/>
  <c r="N624" i="25"/>
  <c r="K624" i="25"/>
  <c r="O624" i="25"/>
  <c r="P624" i="25"/>
  <c r="C624" i="25"/>
  <c r="M624" i="25"/>
  <c r="D624" i="25"/>
  <c r="E624" i="25"/>
  <c r="I624" i="25"/>
  <c r="F624" i="25"/>
  <c r="J624" i="25"/>
  <c r="L624" i="25"/>
  <c r="X80" i="25"/>
  <c r="Q80" i="25"/>
  <c r="X236" i="25"/>
  <c r="Q236" i="25"/>
  <c r="X469" i="25"/>
  <c r="Q469" i="25"/>
  <c r="X476" i="25"/>
  <c r="Q476" i="25"/>
  <c r="Y282" i="25"/>
  <c r="R282" i="25"/>
  <c r="S282" i="25" s="1"/>
  <c r="X593" i="25"/>
  <c r="Q593" i="25"/>
  <c r="X520" i="25"/>
  <c r="Q520" i="25"/>
  <c r="X560" i="25"/>
  <c r="Q560" i="25"/>
  <c r="Y422" i="25"/>
  <c r="R422" i="25"/>
  <c r="S422" i="25" s="1"/>
  <c r="X491" i="25"/>
  <c r="Q491" i="25"/>
  <c r="Y534" i="25"/>
  <c r="R534" i="25"/>
  <c r="S534" i="25" s="1"/>
  <c r="X109" i="25"/>
  <c r="Q109" i="25"/>
  <c r="X53" i="25"/>
  <c r="Q53" i="25"/>
  <c r="X108" i="25"/>
  <c r="Q108" i="25"/>
  <c r="Y471" i="25"/>
  <c r="R471" i="25"/>
  <c r="S471" i="25" s="1"/>
  <c r="X118" i="25"/>
  <c r="Q118" i="25"/>
  <c r="X536" i="25"/>
  <c r="Q536" i="25"/>
  <c r="Y571" i="25"/>
  <c r="R571" i="25"/>
  <c r="S571" i="25" s="1"/>
  <c r="Y417" i="25"/>
  <c r="R417" i="25"/>
  <c r="S417" i="25" s="1"/>
  <c r="Y174" i="25"/>
  <c r="R174" i="25"/>
  <c r="S174" i="25" s="1"/>
  <c r="Y252" i="25"/>
  <c r="R252" i="25"/>
  <c r="S252" i="25" s="1"/>
  <c r="X128" i="25"/>
  <c r="Q128" i="25"/>
  <c r="Y127" i="25"/>
  <c r="R127" i="25"/>
  <c r="S127" i="25" s="1"/>
  <c r="X161" i="25"/>
  <c r="Q161" i="25"/>
  <c r="Y445" i="25"/>
  <c r="R445" i="25"/>
  <c r="S445" i="25" s="1"/>
  <c r="X562" i="25"/>
  <c r="Q562" i="25"/>
  <c r="Y488" i="25"/>
  <c r="R488" i="25"/>
  <c r="S488" i="25" s="1"/>
  <c r="X399" i="25"/>
  <c r="Q399" i="25"/>
  <c r="X425" i="25"/>
  <c r="Q425" i="25"/>
  <c r="Y185" i="25"/>
  <c r="R185" i="25"/>
  <c r="S185" i="25" s="1"/>
  <c r="X462" i="25"/>
  <c r="Q462" i="25"/>
  <c r="Y556" i="25"/>
  <c r="R556" i="25"/>
  <c r="S556" i="25" s="1"/>
  <c r="X568" i="25"/>
  <c r="Q568" i="25"/>
  <c r="X61" i="25"/>
  <c r="Q61" i="25"/>
  <c r="Y55" i="25"/>
  <c r="R55" i="25"/>
  <c r="S55" i="25" s="1"/>
  <c r="X79" i="25"/>
  <c r="Q79" i="25"/>
  <c r="X221" i="25"/>
  <c r="Q221" i="25"/>
  <c r="X184" i="25"/>
  <c r="Q184" i="25"/>
  <c r="X566" i="25"/>
  <c r="Q566" i="25"/>
  <c r="X524" i="25"/>
  <c r="Q524" i="25"/>
  <c r="X144" i="25"/>
  <c r="Q144" i="25"/>
  <c r="X517" i="25"/>
  <c r="Q517" i="25"/>
  <c r="Y244" i="25"/>
  <c r="R244" i="25"/>
  <c r="S244" i="25" s="1"/>
  <c r="Y378" i="25"/>
  <c r="R378" i="25"/>
  <c r="S378" i="25" s="1"/>
  <c r="Y148" i="25"/>
  <c r="R148" i="25"/>
  <c r="S148" i="25" s="1"/>
  <c r="Y232" i="25"/>
  <c r="R232" i="25"/>
  <c r="S232" i="25" s="1"/>
  <c r="Y184" i="25"/>
  <c r="R184" i="25"/>
  <c r="S184" i="25" s="1"/>
  <c r="Y118" i="25"/>
  <c r="R118" i="25"/>
  <c r="S118" i="25" s="1"/>
  <c r="X142" i="25"/>
  <c r="Q142" i="25"/>
  <c r="Y96" i="25"/>
  <c r="R96" i="25"/>
  <c r="S96" i="25" s="1"/>
  <c r="X489" i="25"/>
  <c r="Q489" i="25"/>
  <c r="X481" i="25"/>
  <c r="Q481" i="25"/>
  <c r="Y464" i="25"/>
  <c r="R464" i="25"/>
  <c r="S464" i="25" s="1"/>
  <c r="Y510" i="25"/>
  <c r="R510" i="25"/>
  <c r="S510" i="25" s="1"/>
  <c r="Y186" i="25"/>
  <c r="R186" i="25"/>
  <c r="S186" i="25" s="1"/>
  <c r="X42" i="25"/>
  <c r="Q42" i="25"/>
  <c r="Y125" i="25"/>
  <c r="R125" i="25"/>
  <c r="S125" i="25" s="1"/>
  <c r="Y29" i="25"/>
  <c r="R29" i="25"/>
  <c r="S29" i="25" s="1"/>
  <c r="X547" i="25"/>
  <c r="Q547" i="25"/>
  <c r="X463" i="25"/>
  <c r="Q463" i="25"/>
  <c r="X477" i="25"/>
  <c r="Q477" i="25"/>
  <c r="X355" i="25"/>
  <c r="Q355" i="25"/>
  <c r="Y99" i="25"/>
  <c r="R99" i="25"/>
  <c r="S99" i="25" s="1"/>
  <c r="X423" i="25"/>
  <c r="Q423" i="25"/>
  <c r="X295" i="25"/>
  <c r="Q295" i="25"/>
  <c r="Y199" i="25"/>
  <c r="R199" i="25"/>
  <c r="S199" i="25" s="1"/>
  <c r="Y45" i="25"/>
  <c r="R45" i="25"/>
  <c r="S45" i="25" s="1"/>
  <c r="X214" i="25"/>
  <c r="Q214" i="25"/>
  <c r="Y420" i="25"/>
  <c r="R420" i="25"/>
  <c r="S420" i="25" s="1"/>
  <c r="Y584" i="25"/>
  <c r="R584" i="25"/>
  <c r="S584" i="25" s="1"/>
  <c r="Y410" i="25"/>
  <c r="R410" i="25"/>
  <c r="S410" i="25" s="1"/>
  <c r="Y579" i="25"/>
  <c r="R579" i="25"/>
  <c r="S579" i="25" s="1"/>
  <c r="Y31" i="25"/>
  <c r="R31" i="25"/>
  <c r="S31" i="25" s="1"/>
  <c r="Y386" i="25"/>
  <c r="R386" i="25"/>
  <c r="S386" i="25" s="1"/>
  <c r="Y404" i="25"/>
  <c r="R404" i="25"/>
  <c r="S404" i="25" s="1"/>
  <c r="X57" i="25"/>
  <c r="Q57" i="25"/>
  <c r="X37" i="25"/>
  <c r="Q37" i="25"/>
  <c r="Y49" i="25"/>
  <c r="R49" i="25"/>
  <c r="S49" i="25" s="1"/>
  <c r="X29" i="25"/>
  <c r="Q29" i="25"/>
  <c r="R238" i="25"/>
  <c r="S238" i="25" s="1"/>
  <c r="Y238" i="25"/>
  <c r="X229" i="25"/>
  <c r="Q229" i="25"/>
  <c r="X530" i="25"/>
  <c r="Q530" i="25"/>
  <c r="X272" i="25"/>
  <c r="Q272" i="25"/>
  <c r="Y364" i="25"/>
  <c r="R364" i="25"/>
  <c r="S364" i="25" s="1"/>
  <c r="Y237" i="25"/>
  <c r="R237" i="25"/>
  <c r="S237" i="25" s="1"/>
  <c r="Y605" i="25"/>
  <c r="R605" i="25"/>
  <c r="S605" i="25" s="1"/>
  <c r="X603" i="25"/>
  <c r="Q603" i="25"/>
  <c r="X167" i="25"/>
  <c r="Q167" i="25"/>
  <c r="Y458" i="25"/>
  <c r="R458" i="25"/>
  <c r="S458" i="25" s="1"/>
  <c r="X389" i="25"/>
  <c r="Q389" i="25"/>
  <c r="X241" i="25"/>
  <c r="Q241" i="25"/>
  <c r="Q405" i="25"/>
  <c r="X405" i="25"/>
  <c r="X312" i="25"/>
  <c r="Q312" i="25"/>
  <c r="Y220" i="25"/>
  <c r="R220" i="25"/>
  <c r="S220" i="25" s="1"/>
  <c r="Y189" i="25"/>
  <c r="R189" i="25"/>
  <c r="S189" i="25" s="1"/>
  <c r="Y569" i="25"/>
  <c r="R569" i="25"/>
  <c r="S569" i="25" s="1"/>
  <c r="Y302" i="25"/>
  <c r="R302" i="25"/>
  <c r="S302" i="25" s="1"/>
  <c r="Y215" i="25"/>
  <c r="R215" i="25"/>
  <c r="S215" i="25" s="1"/>
  <c r="Y425" i="25"/>
  <c r="R425" i="25"/>
  <c r="S425" i="25" s="1"/>
  <c r="X428" i="25"/>
  <c r="Q428" i="25"/>
  <c r="X388" i="25"/>
  <c r="Q388" i="25"/>
  <c r="X186" i="25"/>
  <c r="Q186" i="25"/>
  <c r="X305" i="25"/>
  <c r="Q305" i="25"/>
  <c r="Y130" i="25"/>
  <c r="R130" i="25"/>
  <c r="S130" i="25" s="1"/>
  <c r="X78" i="25"/>
  <c r="Q78" i="25"/>
  <c r="X478" i="25"/>
  <c r="Q478" i="25"/>
  <c r="X258" i="25"/>
  <c r="Q258" i="25"/>
  <c r="X525" i="25"/>
  <c r="Q525" i="25"/>
  <c r="X204" i="25"/>
  <c r="Q204" i="25"/>
  <c r="Y387" i="25"/>
  <c r="R387" i="25"/>
  <c r="S387" i="25" s="1"/>
  <c r="X59" i="25"/>
  <c r="Q59" i="25"/>
  <c r="Y483" i="25"/>
  <c r="R483" i="25"/>
  <c r="S483" i="25" s="1"/>
  <c r="X154" i="25"/>
  <c r="Q154" i="25"/>
  <c r="Y278" i="25"/>
  <c r="R278" i="25"/>
  <c r="S278" i="25" s="1"/>
  <c r="X374" i="25"/>
  <c r="Q374" i="25"/>
  <c r="X529" i="25"/>
  <c r="Q529" i="25"/>
  <c r="X341" i="25"/>
  <c r="Q341" i="25"/>
  <c r="X169" i="25"/>
  <c r="Q169" i="25"/>
  <c r="X163" i="25"/>
  <c r="Q163" i="25"/>
  <c r="Y308" i="25"/>
  <c r="R308" i="25"/>
  <c r="S308" i="25" s="1"/>
  <c r="Y418" i="25"/>
  <c r="R418" i="25"/>
  <c r="S418" i="25" s="1"/>
  <c r="Y219" i="25"/>
  <c r="R219" i="25"/>
  <c r="S219" i="25" s="1"/>
  <c r="Y501" i="25"/>
  <c r="R501" i="25"/>
  <c r="S501" i="25" s="1"/>
  <c r="Y552" i="25"/>
  <c r="R552" i="25"/>
  <c r="S552" i="25" s="1"/>
  <c r="Y525" i="25"/>
  <c r="R525" i="25"/>
  <c r="S525" i="25" s="1"/>
  <c r="Y600" i="25"/>
  <c r="R600" i="25"/>
  <c r="S600" i="25" s="1"/>
  <c r="Y460" i="25"/>
  <c r="R460" i="25"/>
  <c r="S460" i="25" s="1"/>
  <c r="Y131" i="25"/>
  <c r="R131" i="25"/>
  <c r="S131" i="25" s="1"/>
  <c r="X58" i="25"/>
  <c r="Q58" i="25"/>
  <c r="Y65" i="25"/>
  <c r="R65" i="25"/>
  <c r="S65" i="25" s="1"/>
  <c r="Y573" i="25"/>
  <c r="R573" i="25"/>
  <c r="S573" i="25" s="1"/>
  <c r="Y515" i="25"/>
  <c r="R515" i="25"/>
  <c r="S515" i="25" s="1"/>
  <c r="X25" i="25"/>
  <c r="Q25" i="25"/>
  <c r="X379" i="25"/>
  <c r="Q379" i="25"/>
  <c r="Y37" i="25"/>
  <c r="R37" i="25"/>
  <c r="S37" i="25" s="1"/>
  <c r="X401" i="25"/>
  <c r="Q401" i="25"/>
  <c r="Y93" i="25"/>
  <c r="R93" i="25"/>
  <c r="S93" i="25" s="1"/>
  <c r="X48" i="25"/>
  <c r="Q48" i="25"/>
  <c r="Y17" i="25"/>
  <c r="R17" i="25"/>
  <c r="S17" i="25" s="1"/>
  <c r="Y307" i="25"/>
  <c r="R307" i="25"/>
  <c r="S307" i="25" s="1"/>
  <c r="X98" i="25"/>
  <c r="Q98" i="25"/>
  <c r="X509" i="25"/>
  <c r="Q509" i="25"/>
  <c r="Y568" i="25"/>
  <c r="R568" i="25"/>
  <c r="S568" i="25" s="1"/>
  <c r="Y64" i="25"/>
  <c r="R64" i="25"/>
  <c r="S64" i="25" s="1"/>
  <c r="Y44" i="25"/>
  <c r="R44" i="25"/>
  <c r="S44" i="25" s="1"/>
  <c r="Y408" i="25"/>
  <c r="R408" i="25"/>
  <c r="S408" i="25" s="1"/>
  <c r="X404" i="25"/>
  <c r="Q404" i="25"/>
  <c r="X148" i="25"/>
  <c r="Q148" i="25"/>
  <c r="R609" i="25"/>
  <c r="S609" i="25" s="1"/>
  <c r="Y609" i="25"/>
  <c r="Y279" i="25"/>
  <c r="R279" i="25"/>
  <c r="S279" i="25" s="1"/>
  <c r="X226" i="25"/>
  <c r="Q226" i="25"/>
  <c r="Y274" i="25"/>
  <c r="R274" i="25"/>
  <c r="S274" i="25" s="1"/>
  <c r="Y209" i="25"/>
  <c r="R209" i="25"/>
  <c r="S209" i="25" s="1"/>
  <c r="X81" i="25"/>
  <c r="Q81" i="25"/>
  <c r="X470" i="25"/>
  <c r="Q470" i="25"/>
  <c r="X507" i="25"/>
  <c r="Q507" i="25"/>
  <c r="X597" i="25"/>
  <c r="Q597" i="25"/>
  <c r="Y154" i="25"/>
  <c r="R154" i="25"/>
  <c r="S154" i="25" s="1"/>
  <c r="Y106" i="25"/>
  <c r="R106" i="25"/>
  <c r="S106" i="25" s="1"/>
  <c r="X559" i="25"/>
  <c r="Q559" i="25"/>
  <c r="X178" i="25"/>
  <c r="Q178" i="25"/>
  <c r="X494" i="25"/>
  <c r="Q494" i="25"/>
  <c r="Y370" i="25"/>
  <c r="R370" i="25"/>
  <c r="S370" i="25" s="1"/>
  <c r="X175" i="25"/>
  <c r="Q175" i="25"/>
  <c r="X373" i="25"/>
  <c r="Q373" i="25"/>
  <c r="X311" i="25"/>
  <c r="Q311" i="25"/>
  <c r="Y430" i="25"/>
  <c r="R430" i="25"/>
  <c r="S430" i="25" s="1"/>
  <c r="Q121" i="25"/>
  <c r="X121" i="25"/>
  <c r="X548" i="25"/>
  <c r="Q548" i="25"/>
  <c r="X455" i="25"/>
  <c r="Q455" i="25"/>
  <c r="Y549" i="25"/>
  <c r="R549" i="25"/>
  <c r="S549" i="25" s="1"/>
  <c r="X88" i="25"/>
  <c r="Q88" i="25"/>
  <c r="X575" i="25"/>
  <c r="Q575" i="25"/>
  <c r="X526" i="25"/>
  <c r="Q526" i="25"/>
  <c r="X419" i="25"/>
  <c r="Q419" i="25"/>
  <c r="Y297" i="25"/>
  <c r="R297" i="25"/>
  <c r="S297" i="25" s="1"/>
  <c r="Y101" i="25"/>
  <c r="R101" i="25"/>
  <c r="S101" i="25" s="1"/>
  <c r="Y235" i="25"/>
  <c r="R235" i="25"/>
  <c r="S235" i="25" s="1"/>
  <c r="X574" i="25"/>
  <c r="Q574" i="25"/>
  <c r="X123" i="25"/>
  <c r="Q123" i="25"/>
  <c r="Y16" i="25"/>
  <c r="R16" i="25"/>
  <c r="S16" i="25" s="1"/>
  <c r="Y225" i="25"/>
  <c r="R225" i="25"/>
  <c r="S225" i="25" s="1"/>
  <c r="X483" i="25"/>
  <c r="Q483" i="25"/>
  <c r="Y396" i="25"/>
  <c r="R396" i="25"/>
  <c r="S396" i="25" s="1"/>
  <c r="Y81" i="25"/>
  <c r="R81" i="25"/>
  <c r="S81" i="25" s="1"/>
  <c r="X385" i="25"/>
  <c r="Q385" i="25"/>
  <c r="Y561" i="25"/>
  <c r="R561" i="25"/>
  <c r="S561" i="25" s="1"/>
  <c r="X158" i="25"/>
  <c r="Q158" i="25"/>
  <c r="X555" i="25"/>
  <c r="Q555" i="25"/>
  <c r="X247" i="25"/>
  <c r="Q247" i="25"/>
  <c r="X561" i="25"/>
  <c r="Q561" i="25"/>
  <c r="X599" i="25"/>
  <c r="Q599" i="25"/>
  <c r="X62" i="25"/>
  <c r="Q62" i="25"/>
  <c r="X332" i="25"/>
  <c r="Q332" i="25"/>
  <c r="X39" i="25"/>
  <c r="Q39" i="25"/>
  <c r="Y102" i="25"/>
  <c r="R102" i="25"/>
  <c r="S102" i="25" s="1"/>
  <c r="X56" i="25"/>
  <c r="Q56" i="25"/>
  <c r="X587" i="25"/>
  <c r="Q587" i="25"/>
  <c r="R196" i="25"/>
  <c r="S196" i="25" s="1"/>
  <c r="Y196" i="25"/>
  <c r="X610" i="25"/>
  <c r="Q610" i="25"/>
  <c r="X119" i="25"/>
  <c r="Q119" i="25"/>
  <c r="X181" i="25"/>
  <c r="Q181" i="25"/>
  <c r="X515" i="25"/>
  <c r="Q515" i="25"/>
  <c r="X113" i="25"/>
  <c r="Q113" i="25"/>
  <c r="Y380" i="25"/>
  <c r="R380" i="25"/>
  <c r="S380" i="25" s="1"/>
  <c r="Y351" i="25"/>
  <c r="R351" i="25"/>
  <c r="S351" i="25" s="1"/>
  <c r="Y321" i="25"/>
  <c r="R321" i="25"/>
  <c r="S321" i="25" s="1"/>
  <c r="Y352" i="25"/>
  <c r="R352" i="25"/>
  <c r="S352" i="25" s="1"/>
  <c r="Y602" i="25"/>
  <c r="R602" i="25"/>
  <c r="S602" i="25" s="1"/>
  <c r="Y317" i="25"/>
  <c r="R317" i="25"/>
  <c r="S317" i="25" s="1"/>
  <c r="Y22" i="25"/>
  <c r="R22" i="25"/>
  <c r="S22" i="25" s="1"/>
  <c r="X153" i="25"/>
  <c r="Q153" i="25"/>
  <c r="Y310" i="25"/>
  <c r="R310" i="25"/>
  <c r="S310" i="25" s="1"/>
  <c r="X608" i="25"/>
  <c r="Q608" i="25"/>
  <c r="X465" i="25"/>
  <c r="Q465" i="25"/>
  <c r="X499" i="25"/>
  <c r="Q499" i="25"/>
  <c r="Y181" i="25"/>
  <c r="R181" i="25"/>
  <c r="S181" i="25" s="1"/>
  <c r="X396" i="25"/>
  <c r="Q396" i="25"/>
  <c r="X49" i="25"/>
  <c r="Q49" i="25"/>
  <c r="X191" i="25"/>
  <c r="Q191" i="25"/>
  <c r="X397" i="25"/>
  <c r="Q397" i="25"/>
  <c r="Y485" i="25"/>
  <c r="R485" i="25"/>
  <c r="S485" i="25" s="1"/>
  <c r="X564" i="25"/>
  <c r="Q564" i="25"/>
  <c r="X170" i="25"/>
  <c r="Q170" i="25"/>
  <c r="Y86" i="25"/>
  <c r="R86" i="25"/>
  <c r="S86" i="25" s="1"/>
  <c r="X201" i="25"/>
  <c r="Q201" i="25"/>
  <c r="Q590" i="25"/>
  <c r="X590" i="25"/>
  <c r="Y403" i="25"/>
  <c r="R403" i="25"/>
  <c r="S403" i="25" s="1"/>
  <c r="X457" i="25"/>
  <c r="Q457" i="25"/>
  <c r="Y254" i="25"/>
  <c r="R254" i="25"/>
  <c r="S254" i="25" s="1"/>
  <c r="Q28" i="25"/>
  <c r="X28" i="25"/>
  <c r="X414" i="25"/>
  <c r="Q414" i="25"/>
  <c r="Y468" i="25"/>
  <c r="R468" i="25"/>
  <c r="S468" i="25" s="1"/>
  <c r="X197" i="25"/>
  <c r="Q197" i="25"/>
  <c r="X324" i="25"/>
  <c r="Q324" i="25"/>
  <c r="X52" i="25"/>
  <c r="Q52" i="25"/>
  <c r="X177" i="25"/>
  <c r="Q177" i="25"/>
  <c r="X260" i="25"/>
  <c r="Q260" i="25"/>
  <c r="X392" i="25"/>
  <c r="Q392" i="25"/>
  <c r="X370" i="25"/>
  <c r="Q370" i="25"/>
  <c r="Y524" i="25"/>
  <c r="R524" i="25"/>
  <c r="S524" i="25" s="1"/>
  <c r="Y210" i="25"/>
  <c r="R210" i="25"/>
  <c r="S210" i="25" s="1"/>
  <c r="Y533" i="25"/>
  <c r="R533" i="25"/>
  <c r="S533" i="25" s="1"/>
  <c r="Y479" i="25"/>
  <c r="R479" i="25"/>
  <c r="S479" i="25" s="1"/>
  <c r="X164" i="25"/>
  <c r="Q164" i="25"/>
  <c r="X317" i="25"/>
  <c r="Q317" i="25"/>
  <c r="X117" i="25"/>
  <c r="Q117" i="25"/>
  <c r="X139" i="25"/>
  <c r="Q139" i="25"/>
  <c r="X246" i="25"/>
  <c r="Q246" i="25"/>
  <c r="R338" i="25"/>
  <c r="S338" i="25" s="1"/>
  <c r="Y338" i="25"/>
  <c r="X570" i="25"/>
  <c r="Q570" i="25"/>
  <c r="Q418" i="25"/>
  <c r="X418" i="25"/>
  <c r="X508" i="25"/>
  <c r="Q508" i="25"/>
  <c r="X234" i="25"/>
  <c r="Q234" i="25"/>
  <c r="X265" i="25"/>
  <c r="Q265" i="25"/>
  <c r="X76" i="25"/>
  <c r="Q76" i="25"/>
  <c r="X72" i="25"/>
  <c r="Q72" i="25"/>
  <c r="Y454" i="25"/>
  <c r="R454" i="25"/>
  <c r="S454" i="25" s="1"/>
  <c r="Y113" i="25"/>
  <c r="R113" i="25"/>
  <c r="S113" i="25" s="1"/>
  <c r="Y117" i="25"/>
  <c r="R117" i="25"/>
  <c r="S117" i="25" s="1"/>
  <c r="Y581" i="25"/>
  <c r="R581" i="25"/>
  <c r="S581" i="25" s="1"/>
  <c r="X33" i="25"/>
  <c r="Q33" i="25"/>
  <c r="Y214" i="25"/>
  <c r="R214" i="25"/>
  <c r="S214" i="25" s="1"/>
  <c r="Y20" i="25"/>
  <c r="R20" i="25"/>
  <c r="S20" i="25" s="1"/>
  <c r="Y277" i="25"/>
  <c r="R277" i="25"/>
  <c r="S277" i="25" s="1"/>
  <c r="Y78" i="25"/>
  <c r="R78" i="25"/>
  <c r="S78" i="25" s="1"/>
  <c r="Y296" i="25"/>
  <c r="R296" i="25"/>
  <c r="S296" i="25" s="1"/>
  <c r="X143" i="25"/>
  <c r="Q143" i="25"/>
  <c r="X112" i="25"/>
  <c r="Q112" i="25"/>
  <c r="Y266" i="25"/>
  <c r="R266" i="25"/>
  <c r="S266" i="25" s="1"/>
  <c r="Q432" i="25"/>
  <c r="X432" i="25"/>
  <c r="X196" i="25"/>
  <c r="Q196" i="25"/>
  <c r="Y23" i="25"/>
  <c r="R23" i="25"/>
  <c r="S23" i="25" s="1"/>
  <c r="Y263" i="25"/>
  <c r="R263" i="25"/>
  <c r="S263" i="25" s="1"/>
  <c r="Q584" i="25"/>
  <c r="X584" i="25"/>
  <c r="Q516" i="25"/>
  <c r="X516" i="25"/>
  <c r="X576" i="25"/>
  <c r="Q576" i="25"/>
  <c r="Y295" i="25"/>
  <c r="R295" i="25"/>
  <c r="S295" i="25" s="1"/>
  <c r="X400" i="25"/>
  <c r="Q400" i="25"/>
  <c r="Y412" i="25"/>
  <c r="R412" i="25"/>
  <c r="S412" i="25" s="1"/>
  <c r="Y42" i="25"/>
  <c r="R42" i="25"/>
  <c r="S42" i="25" s="1"/>
  <c r="Y517" i="25"/>
  <c r="R517" i="25"/>
  <c r="S517" i="25" s="1"/>
  <c r="Y398" i="25"/>
  <c r="R398" i="25"/>
  <c r="S398" i="25" s="1"/>
  <c r="X493" i="25"/>
  <c r="Q493" i="25"/>
  <c r="X32" i="25"/>
  <c r="Q32" i="25"/>
  <c r="X528" i="25"/>
  <c r="Q528" i="25"/>
  <c r="X122" i="25"/>
  <c r="Q122" i="25"/>
  <c r="X212" i="25"/>
  <c r="Q212" i="25"/>
  <c r="X466" i="25"/>
  <c r="Q466" i="25"/>
  <c r="Y359" i="25"/>
  <c r="R359" i="25"/>
  <c r="S359" i="25" s="1"/>
  <c r="X248" i="25"/>
  <c r="Q248" i="25"/>
  <c r="Y129" i="25"/>
  <c r="R129" i="25"/>
  <c r="S129" i="25" s="1"/>
  <c r="Y434" i="25"/>
  <c r="R434" i="25"/>
  <c r="S434" i="25" s="1"/>
  <c r="X449" i="25"/>
  <c r="Q449" i="25"/>
  <c r="Y421" i="25"/>
  <c r="R421" i="25"/>
  <c r="S421" i="25" s="1"/>
  <c r="Y320" i="25"/>
  <c r="R320" i="25"/>
  <c r="S320" i="25" s="1"/>
  <c r="X157" i="25"/>
  <c r="Q157" i="25"/>
  <c r="X259" i="25"/>
  <c r="Q259" i="25"/>
  <c r="Y198" i="25"/>
  <c r="R198" i="25"/>
  <c r="S198" i="25" s="1"/>
  <c r="Y518" i="25"/>
  <c r="R518" i="25"/>
  <c r="S518" i="25" s="1"/>
  <c r="Y230" i="25"/>
  <c r="R230" i="25"/>
  <c r="S230" i="25" s="1"/>
  <c r="Y489" i="25"/>
  <c r="R489" i="25"/>
  <c r="S489" i="25" s="1"/>
  <c r="Y592" i="25"/>
  <c r="R592" i="25"/>
  <c r="S592" i="25" s="1"/>
  <c r="X74" i="25"/>
  <c r="Q74" i="25"/>
  <c r="X194" i="25"/>
  <c r="Q194" i="25"/>
  <c r="Y163" i="25"/>
  <c r="R163" i="25"/>
  <c r="S163" i="25" s="1"/>
  <c r="Y374" i="25"/>
  <c r="R374" i="25"/>
  <c r="S374" i="25" s="1"/>
  <c r="X498" i="25"/>
  <c r="Q498" i="25"/>
  <c r="X282" i="25"/>
  <c r="Q282" i="25"/>
  <c r="Y306" i="25"/>
  <c r="R306" i="25"/>
  <c r="S306" i="25" s="1"/>
  <c r="Y590" i="25"/>
  <c r="R590" i="25"/>
  <c r="S590" i="25" s="1"/>
  <c r="Y236" i="25"/>
  <c r="R236" i="25"/>
  <c r="S236" i="25" s="1"/>
  <c r="Y327" i="25"/>
  <c r="R327" i="25"/>
  <c r="S327" i="25" s="1"/>
  <c r="Y526" i="25"/>
  <c r="R526" i="25"/>
  <c r="S526" i="25" s="1"/>
  <c r="Y280" i="25"/>
  <c r="R280" i="25"/>
  <c r="S280" i="25" s="1"/>
  <c r="X107" i="25"/>
  <c r="Q107" i="25"/>
  <c r="X415" i="25"/>
  <c r="Q415" i="25"/>
  <c r="Y51" i="25"/>
  <c r="R51" i="25"/>
  <c r="S51" i="25" s="1"/>
  <c r="X351" i="25"/>
  <c r="Q351" i="25"/>
  <c r="X271" i="25"/>
  <c r="Q271" i="25"/>
  <c r="X137" i="25"/>
  <c r="Q137" i="25"/>
  <c r="Y285" i="25"/>
  <c r="R285" i="25"/>
  <c r="S285" i="25" s="1"/>
  <c r="X284" i="25"/>
  <c r="Q284" i="25"/>
  <c r="X238" i="25"/>
  <c r="Q238" i="25"/>
  <c r="Y527" i="25"/>
  <c r="R527" i="25"/>
  <c r="S527" i="25" s="1"/>
  <c r="X381" i="25"/>
  <c r="Q381" i="25"/>
  <c r="X442" i="25"/>
  <c r="Q442" i="25"/>
  <c r="Y508" i="25"/>
  <c r="R508" i="25"/>
  <c r="S508" i="25" s="1"/>
  <c r="X391" i="25"/>
  <c r="Q391" i="25"/>
  <c r="X613" i="25"/>
  <c r="Q613" i="25"/>
  <c r="X514" i="25"/>
  <c r="Q514" i="25"/>
  <c r="X486" i="25"/>
  <c r="Q486" i="25"/>
  <c r="X111" i="25"/>
  <c r="Q111" i="25"/>
  <c r="X120" i="25"/>
  <c r="Q120" i="25"/>
  <c r="Y39" i="25"/>
  <c r="R39" i="25"/>
  <c r="S39" i="25" s="1"/>
  <c r="Y342" i="25"/>
  <c r="R342" i="25"/>
  <c r="S342" i="25" s="1"/>
  <c r="Y520" i="25"/>
  <c r="R520" i="25"/>
  <c r="S520" i="25" s="1"/>
  <c r="X609" i="25"/>
  <c r="Q609" i="25"/>
  <c r="X545" i="25"/>
  <c r="Q545" i="25"/>
  <c r="X364" i="25"/>
  <c r="Q364" i="25"/>
  <c r="X540" i="25"/>
  <c r="Q540" i="25"/>
  <c r="X35" i="25"/>
  <c r="Q35" i="25"/>
  <c r="Y107" i="25"/>
  <c r="R107" i="25"/>
  <c r="S107" i="25" s="1"/>
  <c r="Y137" i="25"/>
  <c r="R137" i="25"/>
  <c r="S137" i="25" s="1"/>
  <c r="X268" i="25"/>
  <c r="Q268" i="25"/>
  <c r="X336" i="25"/>
  <c r="Q336" i="25"/>
  <c r="X291" i="25"/>
  <c r="Q291" i="25"/>
  <c r="Y528" i="25"/>
  <c r="R528" i="25"/>
  <c r="S528" i="25" s="1"/>
  <c r="X134" i="25"/>
  <c r="Q134" i="25"/>
  <c r="X519" i="25"/>
  <c r="Q519" i="25"/>
  <c r="R513" i="25"/>
  <c r="S513" i="25" s="1"/>
  <c r="Y513" i="25"/>
  <c r="X538" i="25"/>
  <c r="Q538" i="25"/>
  <c r="Y227" i="25"/>
  <c r="R227" i="25"/>
  <c r="S227" i="25" s="1"/>
  <c r="X102" i="25"/>
  <c r="Q102" i="25"/>
  <c r="Y30" i="25"/>
  <c r="R30" i="25"/>
  <c r="S30" i="25" s="1"/>
  <c r="X329" i="25"/>
  <c r="Q329" i="25"/>
  <c r="Y180" i="25"/>
  <c r="R180" i="25"/>
  <c r="S180" i="25" s="1"/>
  <c r="X375" i="25"/>
  <c r="Q375" i="25"/>
  <c r="Y90" i="25"/>
  <c r="R90" i="25"/>
  <c r="S90" i="25" s="1"/>
  <c r="X446" i="25"/>
  <c r="Q446" i="25"/>
  <c r="X251" i="25"/>
  <c r="Q251" i="25"/>
  <c r="Y123" i="25"/>
  <c r="R123" i="25"/>
  <c r="S123" i="25" s="1"/>
  <c r="X490" i="25"/>
  <c r="Q490" i="25"/>
  <c r="Y246" i="25"/>
  <c r="R246" i="25"/>
  <c r="S246" i="25" s="1"/>
  <c r="X262" i="25"/>
  <c r="Q262" i="25"/>
  <c r="Y239" i="25"/>
  <c r="R239" i="25"/>
  <c r="S239" i="25" s="1"/>
  <c r="X474" i="25"/>
  <c r="Q474" i="25"/>
  <c r="Y333" i="25"/>
  <c r="R333" i="25"/>
  <c r="S333" i="25" s="1"/>
  <c r="X611" i="25"/>
  <c r="Q611" i="25"/>
  <c r="X454" i="25"/>
  <c r="Q454" i="25"/>
  <c r="X602" i="25"/>
  <c r="Q602" i="25"/>
  <c r="X63" i="25"/>
  <c r="Q63" i="25"/>
  <c r="Y211" i="25"/>
  <c r="R211" i="25"/>
  <c r="S211" i="25" s="1"/>
  <c r="X394" i="25"/>
  <c r="Q394" i="25"/>
  <c r="X569" i="25"/>
  <c r="Q569" i="25"/>
  <c r="X439" i="25"/>
  <c r="Q439" i="25"/>
  <c r="Y601" i="25"/>
  <c r="R601" i="25"/>
  <c r="S601" i="25" s="1"/>
  <c r="Y367" i="25"/>
  <c r="R367" i="25"/>
  <c r="S367" i="25" s="1"/>
  <c r="Y289" i="25"/>
  <c r="R289" i="25"/>
  <c r="S289" i="25" s="1"/>
  <c r="Y536" i="25"/>
  <c r="R536" i="25"/>
  <c r="S536" i="25" s="1"/>
  <c r="X376" i="25"/>
  <c r="Q376" i="25"/>
  <c r="Q307" i="25"/>
  <c r="X307" i="25"/>
  <c r="X300" i="25"/>
  <c r="Q300" i="25"/>
  <c r="X326" i="25"/>
  <c r="Q326" i="25"/>
  <c r="Y288" i="25"/>
  <c r="R288" i="25"/>
  <c r="S288" i="25" s="1"/>
  <c r="X358" i="25"/>
  <c r="Q358" i="25"/>
  <c r="Q458" i="25"/>
  <c r="X458" i="25"/>
  <c r="X83" i="25"/>
  <c r="Q83" i="25"/>
  <c r="Y595" i="25"/>
  <c r="R595" i="25"/>
  <c r="S595" i="25" s="1"/>
  <c r="Y70" i="25"/>
  <c r="R70" i="25"/>
  <c r="S70" i="25" s="1"/>
  <c r="Y623" i="25"/>
  <c r="R623" i="25"/>
  <c r="S623" i="25" s="1"/>
  <c r="X532" i="25"/>
  <c r="Q532" i="25"/>
  <c r="X339" i="25"/>
  <c r="Q339" i="25"/>
  <c r="Y291" i="25"/>
  <c r="R291" i="25"/>
  <c r="S291" i="25" s="1"/>
  <c r="X105" i="25"/>
  <c r="Q105" i="25"/>
  <c r="Y304" i="25"/>
  <c r="R304" i="25"/>
  <c r="S304" i="25" s="1"/>
  <c r="R134" i="25"/>
  <c r="S134" i="25" s="1"/>
  <c r="Y134" i="25"/>
  <c r="X195" i="25"/>
  <c r="Q195" i="25"/>
  <c r="X431" i="25"/>
  <c r="Q431" i="25"/>
  <c r="X480" i="25"/>
  <c r="Q480" i="25"/>
  <c r="X589" i="25"/>
  <c r="Q589" i="25"/>
  <c r="Y426" i="25"/>
  <c r="R426" i="25"/>
  <c r="S426" i="25" s="1"/>
  <c r="X286" i="25"/>
  <c r="Q286" i="25"/>
  <c r="X340" i="25"/>
  <c r="Q340" i="25"/>
  <c r="Y61" i="25"/>
  <c r="R61" i="25"/>
  <c r="S61" i="25" s="1"/>
  <c r="X172" i="25"/>
  <c r="Q172" i="25"/>
  <c r="X310" i="25"/>
  <c r="Q310" i="25"/>
  <c r="Y67" i="25"/>
  <c r="R67" i="25"/>
  <c r="S67" i="25" s="1"/>
  <c r="Y498" i="25"/>
  <c r="R498" i="25"/>
  <c r="S498" i="25" s="1"/>
  <c r="X504" i="25"/>
  <c r="Q504" i="25"/>
  <c r="X244" i="25"/>
  <c r="Q244" i="25"/>
  <c r="Y299" i="25"/>
  <c r="R299" i="25"/>
  <c r="S299" i="25" s="1"/>
  <c r="Y91" i="25"/>
  <c r="R91" i="25"/>
  <c r="S91" i="25" s="1"/>
  <c r="Y294" i="25"/>
  <c r="R294" i="25"/>
  <c r="S294" i="25" s="1"/>
  <c r="X116" i="25"/>
  <c r="Q116" i="25"/>
  <c r="X343" i="25"/>
  <c r="Q343" i="25"/>
  <c r="Y452" i="25"/>
  <c r="R452" i="25"/>
  <c r="S452" i="25" s="1"/>
  <c r="Y292" i="25"/>
  <c r="R292" i="25"/>
  <c r="S292" i="25" s="1"/>
  <c r="X292" i="25"/>
  <c r="Q292" i="25"/>
  <c r="X192" i="25"/>
  <c r="Q192" i="25"/>
  <c r="Y563" i="25"/>
  <c r="R563" i="25"/>
  <c r="S563" i="25" s="1"/>
  <c r="Y345" i="25"/>
  <c r="R345" i="25"/>
  <c r="S345" i="25" s="1"/>
  <c r="X496" i="25"/>
  <c r="Q496" i="25"/>
  <c r="X313" i="25"/>
  <c r="Q313" i="25"/>
  <c r="X240" i="25"/>
  <c r="Q240" i="25"/>
  <c r="X522" i="25"/>
  <c r="Q522" i="25"/>
  <c r="X344" i="25"/>
  <c r="Q344" i="25"/>
  <c r="X347" i="25"/>
  <c r="Q347" i="25"/>
  <c r="Y481" i="25"/>
  <c r="R481" i="25"/>
  <c r="S481" i="25" s="1"/>
  <c r="Y385" i="25"/>
  <c r="R385" i="25"/>
  <c r="S385" i="25" s="1"/>
  <c r="X264" i="25"/>
  <c r="Q264" i="25"/>
  <c r="X541" i="25"/>
  <c r="Q541" i="25"/>
  <c r="Y475" i="25"/>
  <c r="R475" i="25"/>
  <c r="S475" i="25" s="1"/>
  <c r="Y241" i="25"/>
  <c r="R241" i="25"/>
  <c r="S241" i="25" s="1"/>
  <c r="Y38" i="25"/>
  <c r="R38" i="25"/>
  <c r="S38" i="25" s="1"/>
  <c r="Y591" i="25"/>
  <c r="R591" i="25"/>
  <c r="S591" i="25" s="1"/>
  <c r="X306" i="25"/>
  <c r="Q306" i="25"/>
  <c r="Y492" i="25"/>
  <c r="R492" i="25"/>
  <c r="S492" i="25" s="1"/>
  <c r="X331" i="25"/>
  <c r="Q331" i="25"/>
  <c r="X596" i="25"/>
  <c r="Q596" i="25"/>
  <c r="X302" i="25"/>
  <c r="Q302" i="25"/>
  <c r="X510" i="25"/>
  <c r="Q510" i="25"/>
  <c r="X383" i="25"/>
  <c r="Q383" i="25"/>
  <c r="X551" i="25"/>
  <c r="Q551" i="25"/>
  <c r="X114" i="25"/>
  <c r="Q114" i="25"/>
  <c r="Y529" i="25"/>
  <c r="R529" i="25"/>
  <c r="S529" i="25" s="1"/>
  <c r="Y358" i="25"/>
  <c r="R358" i="25"/>
  <c r="S358" i="25" s="1"/>
  <c r="X299" i="25"/>
  <c r="Q299" i="25"/>
  <c r="Y443" i="25"/>
  <c r="R443" i="25"/>
  <c r="S443" i="25" s="1"/>
  <c r="Y467" i="25"/>
  <c r="R467" i="25"/>
  <c r="S467" i="25" s="1"/>
  <c r="Y466" i="25"/>
  <c r="R466" i="25"/>
  <c r="S466" i="25" s="1"/>
  <c r="X294" i="25"/>
  <c r="Q294" i="25"/>
  <c r="X174" i="25"/>
  <c r="Q174" i="25"/>
  <c r="Y250" i="25"/>
  <c r="R250" i="25"/>
  <c r="S250" i="25" s="1"/>
  <c r="R197" i="25"/>
  <c r="S197" i="25" s="1"/>
  <c r="Y197" i="25"/>
  <c r="Y335" i="25"/>
  <c r="R335" i="25"/>
  <c r="S335" i="25" s="1"/>
  <c r="Y205" i="25"/>
  <c r="R205" i="25"/>
  <c r="S205" i="25" s="1"/>
  <c r="Y87" i="25"/>
  <c r="R87" i="25"/>
  <c r="S87" i="25" s="1"/>
  <c r="Y608" i="25"/>
  <c r="R608" i="25"/>
  <c r="S608" i="25" s="1"/>
  <c r="Y248" i="25"/>
  <c r="R248" i="25"/>
  <c r="S248" i="25" s="1"/>
  <c r="Y594" i="25"/>
  <c r="R594" i="25"/>
  <c r="S594" i="25" s="1"/>
  <c r="Y58" i="25"/>
  <c r="R58" i="25"/>
  <c r="S58" i="25" s="1"/>
  <c r="X424" i="25"/>
  <c r="Q424" i="25"/>
  <c r="Y610" i="25"/>
  <c r="R610" i="25"/>
  <c r="S610" i="25" s="1"/>
  <c r="Y267" i="25"/>
  <c r="R267" i="25"/>
  <c r="S267" i="25" s="1"/>
  <c r="X365" i="25"/>
  <c r="Q365" i="25"/>
  <c r="R105" i="25"/>
  <c r="S105" i="25" s="1"/>
  <c r="Y105" i="25"/>
  <c r="X571" i="25"/>
  <c r="Q571" i="25"/>
  <c r="Y587" i="25"/>
  <c r="R587" i="25"/>
  <c r="S587" i="25" s="1"/>
  <c r="Q150" i="25"/>
  <c r="X150" i="25"/>
  <c r="X82" i="25"/>
  <c r="Q82" i="25"/>
  <c r="R394" i="25"/>
  <c r="S394" i="25" s="1"/>
  <c r="Y394" i="25"/>
  <c r="Y554" i="25"/>
  <c r="R554" i="25"/>
  <c r="S554" i="25" s="1"/>
  <c r="X573" i="25"/>
  <c r="Q573" i="25"/>
  <c r="R530" i="25"/>
  <c r="S530" i="25" s="1"/>
  <c r="Y530" i="25"/>
  <c r="R459" i="25"/>
  <c r="S459" i="25" s="1"/>
  <c r="Y459" i="25"/>
  <c r="X495" i="25"/>
  <c r="Q495" i="25"/>
  <c r="Y59" i="25"/>
  <c r="R59" i="25"/>
  <c r="S59" i="25" s="1"/>
  <c r="X598" i="25"/>
  <c r="Q598" i="25"/>
  <c r="R625" i="25"/>
  <c r="S625" i="25" s="1"/>
  <c r="X193" i="25"/>
  <c r="Q193" i="25"/>
  <c r="Y330" i="25"/>
  <c r="R330" i="25"/>
  <c r="S330" i="25" s="1"/>
  <c r="Y487" i="25"/>
  <c r="R487" i="25"/>
  <c r="S487" i="25" s="1"/>
  <c r="Y516" i="25"/>
  <c r="R516" i="25"/>
  <c r="S516" i="25" s="1"/>
  <c r="Y535" i="25"/>
  <c r="R535" i="25"/>
  <c r="S535" i="25" s="1"/>
  <c r="Y512" i="25"/>
  <c r="R512" i="25"/>
  <c r="S512" i="25" s="1"/>
  <c r="X235" i="25"/>
  <c r="Q235" i="25"/>
  <c r="X544" i="25"/>
  <c r="Q544" i="25"/>
  <c r="Y388" i="25"/>
  <c r="R388" i="25"/>
  <c r="S388" i="25" s="1"/>
  <c r="Y491" i="25"/>
  <c r="R491" i="25"/>
  <c r="S491" i="25" s="1"/>
  <c r="X443" i="25"/>
  <c r="Q443" i="25"/>
  <c r="Y473" i="25"/>
  <c r="R473" i="25"/>
  <c r="S473" i="25" s="1"/>
  <c r="X30" i="25"/>
  <c r="Q30" i="25"/>
  <c r="X257" i="25"/>
  <c r="Q257" i="25"/>
  <c r="Y612" i="25"/>
  <c r="R612" i="25"/>
  <c r="S612" i="25" s="1"/>
  <c r="X230" i="25"/>
  <c r="Q230" i="25"/>
  <c r="Y366" i="25"/>
  <c r="R366" i="25"/>
  <c r="S366" i="25" s="1"/>
  <c r="X22" i="25"/>
  <c r="Q22" i="25"/>
  <c r="X623" i="25"/>
  <c r="Q623" i="25"/>
  <c r="D633" i="25" s="1"/>
  <c r="Y268" i="25"/>
  <c r="R268" i="25"/>
  <c r="S268" i="25" s="1"/>
  <c r="X106" i="25"/>
  <c r="Q106" i="25"/>
  <c r="R383" i="25"/>
  <c r="S383" i="25" s="1"/>
  <c r="Y383" i="25"/>
  <c r="X239" i="25"/>
  <c r="Q239" i="25"/>
  <c r="X582" i="25"/>
  <c r="Q582" i="25"/>
  <c r="Y182" i="25"/>
  <c r="R182" i="25"/>
  <c r="S182" i="25" s="1"/>
  <c r="X557" i="25"/>
  <c r="Q557" i="25"/>
  <c r="Y486" i="25"/>
  <c r="R486" i="25"/>
  <c r="S486" i="25" s="1"/>
  <c r="X586" i="25"/>
  <c r="Q586" i="25"/>
  <c r="Y494" i="25"/>
  <c r="R494" i="25"/>
  <c r="S494" i="25" s="1"/>
  <c r="X183" i="25"/>
  <c r="Q183" i="25"/>
  <c r="Y262" i="25"/>
  <c r="R262" i="25"/>
  <c r="S262" i="25" s="1"/>
  <c r="Y555" i="25"/>
  <c r="R555" i="25"/>
  <c r="S555" i="25" s="1"/>
  <c r="Y143" i="25"/>
  <c r="R143" i="25"/>
  <c r="S143" i="25" s="1"/>
  <c r="Y593" i="25"/>
  <c r="R593" i="25"/>
  <c r="S593" i="25" s="1"/>
  <c r="X558" i="25"/>
  <c r="Q558" i="25"/>
  <c r="Y446" i="25"/>
  <c r="R446" i="25"/>
  <c r="S446" i="25" s="1"/>
  <c r="X97" i="25"/>
  <c r="Q97" i="25"/>
  <c r="X220" i="25"/>
  <c r="Q220" i="25"/>
  <c r="R177" i="25"/>
  <c r="S177" i="25" s="1"/>
  <c r="Y177" i="25"/>
  <c r="Y301" i="25"/>
  <c r="R301" i="25"/>
  <c r="S301" i="25" s="1"/>
  <c r="Y582" i="25"/>
  <c r="R582" i="25"/>
  <c r="S582" i="25" s="1"/>
  <c r="Y112" i="25"/>
  <c r="R112" i="25"/>
  <c r="S112" i="25" s="1"/>
  <c r="X297" i="25"/>
  <c r="Q297" i="25"/>
  <c r="Y312" i="25"/>
  <c r="R312" i="25"/>
  <c r="S312" i="25" s="1"/>
  <c r="Y356" i="25"/>
  <c r="R356" i="25"/>
  <c r="S356" i="25" s="1"/>
  <c r="Y469" i="25"/>
  <c r="R469" i="25"/>
  <c r="S469" i="25" s="1"/>
  <c r="Y322" i="25"/>
  <c r="R322" i="25"/>
  <c r="S322" i="25" s="1"/>
  <c r="X398" i="25"/>
  <c r="Q398" i="25"/>
  <c r="X556" i="25"/>
  <c r="Q556" i="25"/>
  <c r="X500" i="25"/>
  <c r="Q500" i="25"/>
  <c r="X429" i="25"/>
  <c r="Q429" i="25"/>
  <c r="X588" i="25"/>
  <c r="Q588" i="25"/>
  <c r="Y583" i="25"/>
  <c r="R583" i="25"/>
  <c r="S583" i="25" s="1"/>
  <c r="Q417" i="25"/>
  <c r="X417" i="25"/>
  <c r="Y397" i="25"/>
  <c r="R397" i="25"/>
  <c r="S397" i="25" s="1"/>
  <c r="Y240" i="25"/>
  <c r="R240" i="25"/>
  <c r="S240" i="25" s="1"/>
  <c r="X211" i="25"/>
  <c r="Q211" i="25"/>
  <c r="X18" i="25"/>
  <c r="Q18" i="25"/>
  <c r="X565" i="25"/>
  <c r="Q565" i="25"/>
  <c r="Y226" i="25"/>
  <c r="R226" i="25"/>
  <c r="S226" i="25" s="1"/>
  <c r="X278" i="25"/>
  <c r="Q278" i="25"/>
  <c r="X600" i="25"/>
  <c r="Q600" i="25"/>
  <c r="X132" i="25"/>
  <c r="Q132" i="25"/>
  <c r="X290" i="25"/>
  <c r="Q290" i="25"/>
  <c r="Y48" i="25"/>
  <c r="R48" i="25"/>
  <c r="S48" i="25" s="1"/>
  <c r="Y256" i="25"/>
  <c r="R256" i="25"/>
  <c r="S256" i="25" s="1"/>
  <c r="X430" i="25"/>
  <c r="Q430" i="25"/>
  <c r="Y496" i="25"/>
  <c r="R496" i="25"/>
  <c r="S496" i="25" s="1"/>
  <c r="Y178" i="25"/>
  <c r="R178" i="25"/>
  <c r="S178" i="25" s="1"/>
  <c r="Y416" i="25"/>
  <c r="R416" i="25"/>
  <c r="S416" i="25" s="1"/>
  <c r="X130" i="25"/>
  <c r="Q130" i="25"/>
  <c r="Q390" i="25"/>
  <c r="X390" i="25"/>
  <c r="Y495" i="25"/>
  <c r="R495" i="25"/>
  <c r="S495" i="25" s="1"/>
  <c r="Y218" i="25"/>
  <c r="R218" i="25"/>
  <c r="S218" i="25" s="1"/>
  <c r="Y136" i="25"/>
  <c r="R136" i="25"/>
  <c r="S136" i="25" s="1"/>
  <c r="Y97" i="25"/>
  <c r="R97" i="25"/>
  <c r="S97" i="25" s="1"/>
  <c r="Y382" i="25"/>
  <c r="R382" i="25"/>
  <c r="S382" i="25" s="1"/>
  <c r="Y532" i="25"/>
  <c r="R532" i="25"/>
  <c r="S532" i="25" s="1"/>
  <c r="X14" i="25"/>
  <c r="Q14" i="25"/>
  <c r="X94" i="25"/>
  <c r="Q94" i="25"/>
  <c r="X518" i="25"/>
  <c r="Q518" i="25"/>
  <c r="X319" i="25"/>
  <c r="Q319" i="25"/>
  <c r="Y41" i="25"/>
  <c r="R41" i="25"/>
  <c r="S41" i="25" s="1"/>
  <c r="Y66" i="25"/>
  <c r="R66" i="25"/>
  <c r="S66" i="25" s="1"/>
  <c r="Y450" i="25"/>
  <c r="R450" i="25"/>
  <c r="S450" i="25" s="1"/>
  <c r="X335" i="25"/>
  <c r="Q335" i="25"/>
  <c r="X188" i="25"/>
  <c r="Q188" i="25"/>
  <c r="X444" i="25"/>
  <c r="Q444" i="25"/>
  <c r="X438" i="25"/>
  <c r="Q438" i="25"/>
  <c r="X277" i="25"/>
  <c r="Q277" i="25"/>
  <c r="Y502" i="25"/>
  <c r="R502" i="25"/>
  <c r="S502" i="25" s="1"/>
  <c r="X334" i="25"/>
  <c r="Q334" i="25"/>
  <c r="Y360" i="25"/>
  <c r="R360" i="25"/>
  <c r="S360" i="25" s="1"/>
  <c r="X408" i="25"/>
  <c r="Q408" i="25"/>
  <c r="Y50" i="25"/>
  <c r="R50" i="25"/>
  <c r="S50" i="25" s="1"/>
  <c r="Y531" i="25"/>
  <c r="R531" i="25"/>
  <c r="S531" i="25" s="1"/>
  <c r="X147" i="25"/>
  <c r="Q147" i="25"/>
  <c r="Y431" i="25"/>
  <c r="R431" i="25"/>
  <c r="S431" i="25" s="1"/>
  <c r="X316" i="25"/>
  <c r="Q316" i="25"/>
  <c r="Y213" i="25"/>
  <c r="R213" i="25"/>
  <c r="S213" i="25" s="1"/>
  <c r="X129" i="25"/>
  <c r="Q129" i="25"/>
  <c r="Y204" i="25"/>
  <c r="R204" i="25"/>
  <c r="S204" i="25" s="1"/>
  <c r="X473" i="25"/>
  <c r="Q473" i="25"/>
  <c r="X583" i="25"/>
  <c r="Q583" i="25"/>
  <c r="Y224" i="25"/>
  <c r="R224" i="25"/>
  <c r="S224" i="25" s="1"/>
  <c r="X497" i="25"/>
  <c r="Q497" i="25"/>
  <c r="Y298" i="25"/>
  <c r="R298" i="25"/>
  <c r="S298" i="25" s="1"/>
  <c r="R318" i="25"/>
  <c r="S318" i="25" s="1"/>
  <c r="Y318" i="25"/>
  <c r="Y176" i="25"/>
  <c r="R176" i="25"/>
  <c r="S176" i="25" s="1"/>
  <c r="Y368" i="25"/>
  <c r="R368" i="25"/>
  <c r="S368" i="25" s="1"/>
  <c r="Y35" i="25"/>
  <c r="R35" i="25"/>
  <c r="S35" i="25" s="1"/>
  <c r="Y33" i="25"/>
  <c r="R33" i="25"/>
  <c r="S33" i="25" s="1"/>
  <c r="Y470" i="25"/>
  <c r="R470" i="25"/>
  <c r="S470" i="25" s="1"/>
  <c r="X464" i="25"/>
  <c r="Q464" i="25"/>
  <c r="Y104" i="25"/>
  <c r="R104" i="25"/>
  <c r="S104" i="25" s="1"/>
  <c r="Y43" i="25"/>
  <c r="R43" i="25"/>
  <c r="S43" i="25" s="1"/>
  <c r="X296" i="25"/>
  <c r="Q296" i="25"/>
  <c r="Y135" i="25"/>
  <c r="R135" i="25"/>
  <c r="S135" i="25" s="1"/>
  <c r="X85" i="25"/>
  <c r="Q85" i="25"/>
  <c r="X182" i="25"/>
  <c r="Q182" i="25"/>
  <c r="X95" i="25"/>
  <c r="Q95" i="25"/>
  <c r="Y541" i="25"/>
  <c r="R541" i="25"/>
  <c r="S541" i="25" s="1"/>
  <c r="Y313" i="25"/>
  <c r="R313" i="25"/>
  <c r="S313" i="25" s="1"/>
  <c r="Y347" i="25"/>
  <c r="R347" i="25"/>
  <c r="S347" i="25" s="1"/>
  <c r="Y339" i="25"/>
  <c r="R339" i="25"/>
  <c r="S339" i="25" s="1"/>
  <c r="X206" i="25"/>
  <c r="Q206" i="25"/>
  <c r="Y141" i="25"/>
  <c r="R141" i="25"/>
  <c r="S141" i="25" s="1"/>
  <c r="X89" i="25"/>
  <c r="Q89" i="25"/>
  <c r="Y259" i="25"/>
  <c r="R259" i="25"/>
  <c r="S259" i="25" s="1"/>
  <c r="Y575" i="25"/>
  <c r="R575" i="25"/>
  <c r="S575" i="25" s="1"/>
  <c r="Y405" i="25"/>
  <c r="R405" i="25"/>
  <c r="S405" i="25" s="1"/>
  <c r="X40" i="25"/>
  <c r="Q40" i="25"/>
  <c r="Y138" i="25"/>
  <c r="R138" i="25"/>
  <c r="S138" i="25" s="1"/>
  <c r="X190" i="25"/>
  <c r="Q190" i="25"/>
  <c r="X511" i="25"/>
  <c r="Q511" i="25"/>
  <c r="Y540" i="25"/>
  <c r="R540" i="25"/>
  <c r="S540" i="25" s="1"/>
  <c r="R449" i="25"/>
  <c r="S449" i="25" s="1"/>
  <c r="Y449" i="25"/>
  <c r="Y221" i="25"/>
  <c r="R221" i="25"/>
  <c r="S221" i="25" s="1"/>
  <c r="Y442" i="25"/>
  <c r="R442" i="25"/>
  <c r="S442" i="25" s="1"/>
  <c r="Y456" i="25"/>
  <c r="R456" i="25"/>
  <c r="S456" i="25" s="1"/>
  <c r="X46" i="25"/>
  <c r="Q46" i="25"/>
  <c r="Y243" i="25"/>
  <c r="R243" i="25"/>
  <c r="S243" i="25" s="1"/>
  <c r="Y160" i="25"/>
  <c r="R160" i="25"/>
  <c r="S160" i="25" s="1"/>
  <c r="X349" i="25"/>
  <c r="Q349" i="25"/>
  <c r="Q492" i="25"/>
  <c r="X492" i="25"/>
  <c r="X288" i="25"/>
  <c r="Q288" i="25"/>
  <c r="X330" i="25"/>
  <c r="Q330" i="25"/>
  <c r="X386" i="25"/>
  <c r="Q386" i="25"/>
  <c r="Y157" i="25"/>
  <c r="R157" i="25"/>
  <c r="S157" i="25" s="1"/>
  <c r="X70" i="25"/>
  <c r="Q70" i="25"/>
  <c r="X104" i="25"/>
  <c r="Q104" i="25"/>
  <c r="X435" i="25"/>
  <c r="Q435" i="25"/>
  <c r="X34" i="25"/>
  <c r="Q34" i="25"/>
  <c r="Y98" i="25"/>
  <c r="R98" i="25"/>
  <c r="S98" i="25" s="1"/>
  <c r="X322" i="25"/>
  <c r="Q322" i="25"/>
  <c r="Y567" i="25"/>
  <c r="R567" i="25"/>
  <c r="S567" i="25" s="1"/>
  <c r="X422" i="25"/>
  <c r="Q422" i="25"/>
  <c r="Y546" i="25"/>
  <c r="R546" i="25"/>
  <c r="S546" i="25" s="1"/>
  <c r="X179" i="25"/>
  <c r="Q179" i="25"/>
  <c r="X452" i="25"/>
  <c r="Q452" i="25"/>
  <c r="X333" i="25"/>
  <c r="Q333" i="25"/>
  <c r="Y167" i="25"/>
  <c r="R167" i="25"/>
  <c r="S167" i="25" s="1"/>
  <c r="Y19" i="25"/>
  <c r="R19" i="25"/>
  <c r="S19" i="25" s="1"/>
  <c r="Y384" i="25"/>
  <c r="R384" i="25"/>
  <c r="S384" i="25" s="1"/>
  <c r="Y156" i="25"/>
  <c r="R156" i="25"/>
  <c r="S156" i="25" s="1"/>
  <c r="Y216" i="25"/>
  <c r="R216" i="25"/>
  <c r="S216" i="25" s="1"/>
  <c r="Y439" i="25"/>
  <c r="R439" i="25"/>
  <c r="S439" i="25" s="1"/>
  <c r="Y187" i="25"/>
  <c r="R187" i="25"/>
  <c r="S187" i="25" s="1"/>
  <c r="Y325" i="25"/>
  <c r="R325" i="25"/>
  <c r="S325" i="25" s="1"/>
  <c r="X387" i="25"/>
  <c r="Q387" i="25"/>
  <c r="X421" i="25"/>
  <c r="Q421" i="25"/>
  <c r="X261" i="25"/>
  <c r="Q261" i="25"/>
  <c r="X384" i="25"/>
  <c r="Q384" i="25"/>
  <c r="Y355" i="25"/>
  <c r="R355" i="25"/>
  <c r="S355" i="25" s="1"/>
  <c r="Y152" i="25"/>
  <c r="R152" i="25"/>
  <c r="S152" i="25" s="1"/>
  <c r="Y413" i="25"/>
  <c r="R413" i="25"/>
  <c r="S413" i="25" s="1"/>
  <c r="X217" i="25"/>
  <c r="Q217" i="25"/>
  <c r="Y497" i="25"/>
  <c r="R497" i="25"/>
  <c r="S497" i="25" s="1"/>
  <c r="Y124" i="25"/>
  <c r="R124" i="25"/>
  <c r="S124" i="25" s="1"/>
  <c r="X445" i="25"/>
  <c r="Q445" i="25"/>
  <c r="X440" i="25"/>
  <c r="Q440" i="25"/>
  <c r="X242" i="25"/>
  <c r="Q242" i="25"/>
  <c r="Y506" i="25"/>
  <c r="R506" i="25"/>
  <c r="S506" i="25" s="1"/>
  <c r="X185" i="25"/>
  <c r="Q185" i="25"/>
  <c r="X65" i="25"/>
  <c r="Q65" i="25"/>
  <c r="Y522" i="25"/>
  <c r="R522" i="25"/>
  <c r="S522" i="25" s="1"/>
  <c r="X426" i="25"/>
  <c r="Q426" i="25"/>
  <c r="Y309" i="25"/>
  <c r="R309" i="25"/>
  <c r="S309" i="25" s="1"/>
  <c r="Y391" i="25"/>
  <c r="R391" i="25"/>
  <c r="S391" i="25" s="1"/>
  <c r="Y337" i="25"/>
  <c r="R337" i="25"/>
  <c r="S337" i="25" s="1"/>
  <c r="Y150" i="25"/>
  <c r="R150" i="25"/>
  <c r="S150" i="25" s="1"/>
  <c r="X328" i="25"/>
  <c r="Q328" i="25"/>
  <c r="Y548" i="25"/>
  <c r="R548" i="25"/>
  <c r="S548" i="25" s="1"/>
  <c r="Y57" i="25"/>
  <c r="R57" i="25"/>
  <c r="S57" i="25" s="1"/>
  <c r="Y393" i="25"/>
  <c r="R393" i="25"/>
  <c r="S393" i="25" s="1"/>
  <c r="X471" i="25"/>
  <c r="Q471" i="25"/>
  <c r="X160" i="25"/>
  <c r="Q160" i="25"/>
  <c r="Y588" i="25"/>
  <c r="R588" i="25"/>
  <c r="S588" i="25" s="1"/>
  <c r="Q45" i="25"/>
  <c r="X45" i="25"/>
  <c r="X146" i="25"/>
  <c r="Q146" i="25"/>
  <c r="X24" i="25"/>
  <c r="Q24" i="25"/>
  <c r="X243" i="25"/>
  <c r="Q243" i="25"/>
  <c r="Y350" i="25"/>
  <c r="R350" i="25"/>
  <c r="S350" i="25" s="1"/>
  <c r="Y208" i="25"/>
  <c r="R208" i="25"/>
  <c r="S208" i="25" s="1"/>
  <c r="Y586" i="25"/>
  <c r="R586" i="25"/>
  <c r="S586" i="25" s="1"/>
  <c r="Y126" i="25"/>
  <c r="R126" i="25"/>
  <c r="S126" i="25" s="1"/>
  <c r="Y147" i="25"/>
  <c r="R147" i="25"/>
  <c r="S147" i="25" s="1"/>
  <c r="Y499" i="25"/>
  <c r="R499" i="25"/>
  <c r="S499" i="25" s="1"/>
  <c r="Q416" i="25"/>
  <c r="X416" i="25"/>
  <c r="X523" i="25"/>
  <c r="Q523" i="25"/>
  <c r="X180" i="25"/>
  <c r="Q180" i="25"/>
  <c r="X579" i="25"/>
  <c r="Q579" i="25"/>
  <c r="Y260" i="25"/>
  <c r="R260" i="25"/>
  <c r="S260" i="25" s="1"/>
  <c r="Y276" i="25"/>
  <c r="R276" i="25"/>
  <c r="S276" i="25" s="1"/>
  <c r="Y451" i="25"/>
  <c r="R451" i="25"/>
  <c r="S451" i="25" s="1"/>
  <c r="X101" i="25"/>
  <c r="Q101" i="25"/>
  <c r="X223" i="25"/>
  <c r="Q223" i="25"/>
  <c r="Y457" i="25"/>
  <c r="R457" i="25"/>
  <c r="S457" i="25" s="1"/>
  <c r="X208" i="25"/>
  <c r="Q208" i="25"/>
  <c r="Y228" i="25"/>
  <c r="R228" i="25"/>
  <c r="S228" i="25" s="1"/>
  <c r="X550" i="25"/>
  <c r="Q550" i="25"/>
  <c r="X232" i="25"/>
  <c r="Q232" i="25"/>
  <c r="X47" i="25"/>
  <c r="Q47" i="25"/>
  <c r="Y576" i="25"/>
  <c r="R576" i="25"/>
  <c r="S576" i="25" s="1"/>
  <c r="Y311" i="25"/>
  <c r="R311" i="25"/>
  <c r="S311" i="25" s="1"/>
  <c r="Y411" i="25"/>
  <c r="R411" i="25"/>
  <c r="S411" i="25" s="1"/>
  <c r="X485" i="25"/>
  <c r="Q485" i="25"/>
  <c r="X359" i="25"/>
  <c r="Q359" i="25"/>
  <c r="X357" i="25"/>
  <c r="Q357" i="25"/>
  <c r="Y402" i="25"/>
  <c r="R402" i="25"/>
  <c r="S402" i="25" s="1"/>
  <c r="Y18" i="25"/>
  <c r="R18" i="25"/>
  <c r="S18" i="25" s="1"/>
  <c r="Y570" i="25"/>
  <c r="R570" i="25"/>
  <c r="S570" i="25" s="1"/>
  <c r="Y122" i="25"/>
  <c r="R122" i="25"/>
  <c r="S122" i="25" s="1"/>
  <c r="X27" i="25"/>
  <c r="Q27" i="25"/>
  <c r="X145" i="25"/>
  <c r="Q145" i="25"/>
  <c r="X77" i="25"/>
  <c r="Q77" i="25"/>
  <c r="Y448" i="25"/>
  <c r="R448" i="25"/>
  <c r="S448" i="25" s="1"/>
  <c r="Y293" i="25"/>
  <c r="R293" i="25"/>
  <c r="S293" i="25" s="1"/>
  <c r="X60" i="25"/>
  <c r="Q60" i="25"/>
  <c r="Y95" i="25"/>
  <c r="R95" i="25"/>
  <c r="S95" i="25" s="1"/>
  <c r="Y560" i="25"/>
  <c r="R560" i="25"/>
  <c r="S560" i="25" s="1"/>
  <c r="X125" i="25"/>
  <c r="Q125" i="25"/>
  <c r="X535" i="25"/>
  <c r="Q535" i="25"/>
  <c r="Y547" i="25"/>
  <c r="R547" i="25"/>
  <c r="S547" i="25" s="1"/>
  <c r="X553" i="25"/>
  <c r="Q553" i="25"/>
  <c r="X348" i="25"/>
  <c r="Q348" i="25"/>
  <c r="Y162" i="25"/>
  <c r="R162" i="25"/>
  <c r="S162" i="25" s="1"/>
  <c r="X367" i="25"/>
  <c r="Q367" i="25"/>
  <c r="X263" i="25"/>
  <c r="Q263" i="25"/>
  <c r="Y85" i="25"/>
  <c r="R85" i="25"/>
  <c r="S85" i="25" s="1"/>
  <c r="Y566" i="25"/>
  <c r="R566" i="25"/>
  <c r="S566" i="25" s="1"/>
  <c r="Y392" i="25"/>
  <c r="R392" i="25"/>
  <c r="S392" i="25" s="1"/>
  <c r="Y379" i="25"/>
  <c r="R379" i="25"/>
  <c r="S379" i="25" s="1"/>
  <c r="Y407" i="25"/>
  <c r="R407" i="25"/>
  <c r="S407" i="25" s="1"/>
  <c r="X342" i="25"/>
  <c r="Q342" i="25"/>
  <c r="Y472" i="25"/>
  <c r="R472" i="25"/>
  <c r="S472" i="25" s="1"/>
  <c r="X227" i="25"/>
  <c r="Q227" i="25"/>
  <c r="Y164" i="25"/>
  <c r="R164" i="25"/>
  <c r="S164" i="25" s="1"/>
  <c r="Y121" i="25"/>
  <c r="R121" i="25"/>
  <c r="S121" i="25" s="1"/>
  <c r="Y607" i="25"/>
  <c r="R607" i="25"/>
  <c r="S607" i="25" s="1"/>
  <c r="Y153" i="25"/>
  <c r="R153" i="25"/>
  <c r="S153" i="25" s="1"/>
  <c r="Y507" i="25"/>
  <c r="R507" i="25"/>
  <c r="S507" i="25" s="1"/>
  <c r="X141" i="25"/>
  <c r="Q141" i="25"/>
  <c r="Y436" i="25"/>
  <c r="R436" i="25"/>
  <c r="S436" i="25" s="1"/>
  <c r="Y565" i="25"/>
  <c r="R565" i="25"/>
  <c r="S565" i="25" s="1"/>
  <c r="X267" i="25"/>
  <c r="Q267" i="25"/>
  <c r="Y465" i="25"/>
  <c r="R465" i="25"/>
  <c r="S465" i="25" s="1"/>
  <c r="X403" i="25"/>
  <c r="Q403" i="25"/>
  <c r="X337" i="25"/>
  <c r="Q337" i="25"/>
  <c r="X448" i="25"/>
  <c r="Q448" i="25"/>
  <c r="X607" i="25"/>
  <c r="Q607" i="25"/>
  <c r="X15" i="25"/>
  <c r="Q15" i="25"/>
  <c r="Y334" i="25"/>
  <c r="R334" i="25"/>
  <c r="S334" i="25" s="1"/>
  <c r="Y88" i="25"/>
  <c r="R88" i="25"/>
  <c r="S88" i="25" s="1"/>
  <c r="Y84" i="25"/>
  <c r="R84" i="25"/>
  <c r="S84" i="25" s="1"/>
  <c r="X542" i="25"/>
  <c r="Q542" i="25"/>
  <c r="X187" i="25"/>
  <c r="Q187" i="25"/>
  <c r="X420" i="25"/>
  <c r="Q420" i="25"/>
  <c r="Y34" i="25"/>
  <c r="R34" i="25"/>
  <c r="S34" i="25" s="1"/>
  <c r="Y111" i="25"/>
  <c r="R111" i="25"/>
  <c r="S111" i="25" s="1"/>
  <c r="Y433" i="25"/>
  <c r="R433" i="25"/>
  <c r="S433" i="25" s="1"/>
  <c r="X512" i="25"/>
  <c r="Q512" i="25"/>
  <c r="Y92" i="25"/>
  <c r="R92" i="25"/>
  <c r="S92" i="25" s="1"/>
  <c r="X459" i="25"/>
  <c r="Q459" i="25"/>
  <c r="Y194" i="25"/>
  <c r="R194" i="25"/>
  <c r="S194" i="25" s="1"/>
  <c r="X360" i="25"/>
  <c r="Q360" i="25"/>
  <c r="X378" i="25"/>
  <c r="Q378" i="25"/>
  <c r="X567" i="25"/>
  <c r="Q567" i="25"/>
  <c r="R577" i="25"/>
  <c r="S577" i="25" s="1"/>
  <c r="Y577" i="25"/>
  <c r="X103" i="25"/>
  <c r="Q103" i="25"/>
  <c r="Y390" i="25"/>
  <c r="R390" i="25"/>
  <c r="S390" i="25" s="1"/>
  <c r="X173" i="25"/>
  <c r="Q173" i="25"/>
  <c r="Y200" i="25"/>
  <c r="R200" i="25"/>
  <c r="S200" i="25" s="1"/>
  <c r="Y558" i="25"/>
  <c r="R558" i="25"/>
  <c r="S558" i="25" s="1"/>
  <c r="R428" i="25"/>
  <c r="S428" i="25" s="1"/>
  <c r="Y428" i="25"/>
  <c r="X20" i="25"/>
  <c r="Q20" i="25"/>
  <c r="X308" i="25"/>
  <c r="Q308" i="25"/>
  <c r="X124" i="25"/>
  <c r="Q124" i="25"/>
  <c r="Y599" i="25"/>
  <c r="R599" i="25"/>
  <c r="S599" i="25" s="1"/>
  <c r="X539" i="25"/>
  <c r="Q539" i="25"/>
  <c r="R324" i="25"/>
  <c r="S324" i="25" s="1"/>
  <c r="Y324" i="25"/>
  <c r="X371" i="25"/>
  <c r="Q371" i="25"/>
  <c r="Y585" i="25"/>
  <c r="R585" i="25"/>
  <c r="S585" i="25" s="1"/>
  <c r="X304" i="25"/>
  <c r="Q304" i="25"/>
  <c r="Y331" i="25"/>
  <c r="R331" i="25"/>
  <c r="S331" i="25" s="1"/>
  <c r="Y139" i="25"/>
  <c r="R139" i="25"/>
  <c r="S139" i="25" s="1"/>
  <c r="Y253" i="25"/>
  <c r="R253" i="25"/>
  <c r="S253" i="25" s="1"/>
  <c r="Y603" i="25"/>
  <c r="R603" i="25"/>
  <c r="S603" i="25" s="1"/>
  <c r="Y60" i="25"/>
  <c r="R60" i="25"/>
  <c r="S60" i="25" s="1"/>
  <c r="X149" i="25"/>
  <c r="Q149" i="25"/>
  <c r="X207" i="25"/>
  <c r="Q207" i="25"/>
  <c r="X90" i="25"/>
  <c r="Q90" i="25"/>
  <c r="Y269" i="25"/>
  <c r="R269" i="25"/>
  <c r="S269" i="25" s="1"/>
  <c r="Y89" i="25"/>
  <c r="R89" i="25"/>
  <c r="S89" i="25" s="1"/>
  <c r="X554" i="25"/>
  <c r="Q554" i="25"/>
  <c r="X127" i="25"/>
  <c r="Q127" i="25"/>
  <c r="Y372" i="25"/>
  <c r="R372" i="25"/>
  <c r="S372" i="25" s="1"/>
  <c r="X395" i="25"/>
  <c r="Q395" i="25"/>
  <c r="Y109" i="25"/>
  <c r="R109" i="25"/>
  <c r="S109" i="25" s="1"/>
  <c r="X380" i="25"/>
  <c r="Q380" i="25"/>
  <c r="Y323" i="25"/>
  <c r="R323" i="25"/>
  <c r="S323" i="25" s="1"/>
  <c r="X506" i="25"/>
  <c r="Q506" i="25"/>
  <c r="Y578" i="25"/>
  <c r="R578" i="25"/>
  <c r="S578" i="25" s="1"/>
  <c r="Y389" i="25"/>
  <c r="R389" i="25"/>
  <c r="S389" i="25" s="1"/>
  <c r="X346" i="25"/>
  <c r="Q346" i="25"/>
  <c r="X133" i="25"/>
  <c r="Q133" i="25"/>
  <c r="X352" i="25"/>
  <c r="Q352" i="25"/>
  <c r="X366" i="25"/>
  <c r="Q366" i="25"/>
  <c r="X482" i="25"/>
  <c r="Q482" i="25"/>
  <c r="Y264" i="25"/>
  <c r="R264" i="25"/>
  <c r="S264" i="25" s="1"/>
  <c r="Y480" i="25"/>
  <c r="R480" i="25"/>
  <c r="S480" i="25" s="1"/>
  <c r="Y251" i="25"/>
  <c r="R251" i="25"/>
  <c r="S251" i="25" s="1"/>
  <c r="X595" i="25"/>
  <c r="Q595" i="25"/>
  <c r="Y255" i="25"/>
  <c r="R255" i="25"/>
  <c r="S255" i="25" s="1"/>
  <c r="X51" i="25"/>
  <c r="Q51" i="25"/>
  <c r="X73" i="25"/>
  <c r="Q73" i="25"/>
  <c r="X293" i="25"/>
  <c r="Q293" i="25"/>
  <c r="Y13" i="25"/>
  <c r="R13" i="25"/>
  <c r="S13" i="25" s="1"/>
  <c r="X253" i="25"/>
  <c r="Q253" i="25"/>
  <c r="X287" i="25"/>
  <c r="Q287" i="25"/>
  <c r="X21" i="25"/>
  <c r="Q21" i="25"/>
  <c r="X503" i="25"/>
  <c r="Q503" i="25"/>
  <c r="Y168" i="25"/>
  <c r="R168" i="25"/>
  <c r="S168" i="25" s="1"/>
  <c r="X436" i="25"/>
  <c r="Q436" i="25"/>
  <c r="X126" i="25"/>
  <c r="Q126" i="25"/>
  <c r="X320" i="25"/>
  <c r="Q320" i="25"/>
  <c r="Y281" i="25"/>
  <c r="R281" i="25"/>
  <c r="S281" i="25" s="1"/>
  <c r="Y344" i="25"/>
  <c r="R344" i="25"/>
  <c r="S344" i="25" s="1"/>
  <c r="Y265" i="25"/>
  <c r="R265" i="25"/>
  <c r="S265" i="25" s="1"/>
  <c r="X531" i="25"/>
  <c r="Q531" i="25"/>
  <c r="X502" i="25"/>
  <c r="Q502" i="25"/>
  <c r="Y231" i="25"/>
  <c r="R231" i="25"/>
  <c r="S231" i="25" s="1"/>
  <c r="Y406" i="25"/>
  <c r="R406" i="25"/>
  <c r="S406" i="25" s="1"/>
  <c r="Y94" i="25"/>
  <c r="R94" i="25"/>
  <c r="S94" i="25" s="1"/>
  <c r="Y611" i="25"/>
  <c r="R611" i="25"/>
  <c r="S611" i="25" s="1"/>
  <c r="Y217" i="25"/>
  <c r="R217" i="25"/>
  <c r="S217" i="25" s="1"/>
  <c r="X368" i="25"/>
  <c r="Q368" i="25"/>
  <c r="Y158" i="25"/>
  <c r="R158" i="25"/>
  <c r="S158" i="25" s="1"/>
  <c r="Y437" i="25"/>
  <c r="R437" i="25"/>
  <c r="S437" i="25" s="1"/>
  <c r="Y336" i="25"/>
  <c r="R336" i="25"/>
  <c r="S336" i="25" s="1"/>
  <c r="X577" i="25"/>
  <c r="Q577" i="25"/>
  <c r="Y476" i="25"/>
  <c r="R476" i="25"/>
  <c r="S476" i="25" s="1"/>
  <c r="X75" i="25"/>
  <c r="Q75" i="25"/>
  <c r="Y580" i="25"/>
  <c r="R580" i="25"/>
  <c r="S580" i="25" s="1"/>
  <c r="X176" i="25"/>
  <c r="Q176" i="25"/>
  <c r="X626" i="25"/>
  <c r="Q626" i="25"/>
  <c r="D636" i="25" s="1"/>
  <c r="Y207" i="25"/>
  <c r="R207" i="25"/>
  <c r="S207" i="25" s="1"/>
  <c r="Y340" i="25"/>
  <c r="R340" i="25"/>
  <c r="S340" i="25" s="1"/>
  <c r="X274" i="25"/>
  <c r="Q274" i="25"/>
  <c r="X115" i="25"/>
  <c r="Q115" i="25"/>
  <c r="X283" i="25"/>
  <c r="Q283" i="25"/>
  <c r="X166" i="25"/>
  <c r="Q166" i="25"/>
  <c r="Y538" i="25"/>
  <c r="R538" i="25"/>
  <c r="S538" i="25" s="1"/>
  <c r="Y128" i="25"/>
  <c r="R128" i="25"/>
  <c r="S128" i="25" s="1"/>
  <c r="X275" i="25"/>
  <c r="Q275" i="25"/>
  <c r="X99" i="25"/>
  <c r="Q99" i="25"/>
  <c r="X26" i="25"/>
  <c r="Q26" i="25"/>
  <c r="Y108" i="25"/>
  <c r="R108" i="25"/>
  <c r="S108" i="25" s="1"/>
  <c r="Y553" i="25"/>
  <c r="R553" i="25"/>
  <c r="S553" i="25" s="1"/>
  <c r="X255" i="25"/>
  <c r="Q255" i="25"/>
  <c r="X87" i="25"/>
  <c r="Q87" i="25"/>
  <c r="X501" i="25"/>
  <c r="Q501" i="25"/>
  <c r="X327" i="25"/>
  <c r="Q327" i="25"/>
  <c r="Y77" i="25"/>
  <c r="R77" i="25"/>
  <c r="S77" i="25" s="1"/>
  <c r="Y361" i="25"/>
  <c r="R361" i="25"/>
  <c r="S361" i="25" s="1"/>
  <c r="Y300" i="25"/>
  <c r="R300" i="25"/>
  <c r="S300" i="25" s="1"/>
  <c r="X456" i="25"/>
  <c r="Q456" i="25"/>
  <c r="Y284" i="25"/>
  <c r="R284" i="25"/>
  <c r="S284" i="25" s="1"/>
  <c r="R477" i="25"/>
  <c r="S477" i="25" s="1"/>
  <c r="Y477" i="25"/>
  <c r="Y82" i="25"/>
  <c r="R82" i="25"/>
  <c r="S82" i="25" s="1"/>
  <c r="Y521" i="25"/>
  <c r="R521" i="25"/>
  <c r="S521" i="25" s="1"/>
  <c r="Y275" i="25"/>
  <c r="R275" i="25"/>
  <c r="S275" i="25" s="1"/>
  <c r="Y357" i="25"/>
  <c r="R357" i="25"/>
  <c r="S357" i="25" s="1"/>
  <c r="Y76" i="25"/>
  <c r="R76" i="25"/>
  <c r="S76" i="25" s="1"/>
  <c r="Y83" i="25"/>
  <c r="R83" i="25"/>
  <c r="S83" i="25" s="1"/>
  <c r="X361" i="25"/>
  <c r="Q361" i="25"/>
  <c r="Y79" i="25"/>
  <c r="R79" i="25"/>
  <c r="S79" i="25" s="1"/>
  <c r="Y46" i="25"/>
  <c r="R46" i="25"/>
  <c r="S46" i="25" s="1"/>
  <c r="Y503" i="25"/>
  <c r="R503" i="25"/>
  <c r="S503" i="25" s="1"/>
  <c r="X472" i="25"/>
  <c r="Q472" i="25"/>
  <c r="Y192" i="25"/>
  <c r="R192" i="25"/>
  <c r="S192" i="25" s="1"/>
  <c r="X488" i="25"/>
  <c r="Q488" i="25"/>
  <c r="X407" i="25"/>
  <c r="Q407" i="25"/>
  <c r="Y500" i="25"/>
  <c r="R500" i="25"/>
  <c r="S500" i="25" s="1"/>
  <c r="Y161" i="25"/>
  <c r="R161" i="25"/>
  <c r="S161" i="25" s="1"/>
  <c r="X55" i="25"/>
  <c r="Q55" i="25"/>
  <c r="Q198" i="25"/>
  <c r="X198" i="25"/>
  <c r="Y26" i="25"/>
  <c r="R26" i="25"/>
  <c r="S26" i="25" s="1"/>
  <c r="Y419" i="25"/>
  <c r="R419" i="25"/>
  <c r="S419" i="25" s="1"/>
  <c r="X17" i="25"/>
  <c r="Q17" i="25"/>
  <c r="X513" i="25"/>
  <c r="Q513" i="25"/>
  <c r="X441" i="25"/>
  <c r="Q441" i="25"/>
  <c r="Y319" i="25"/>
  <c r="R319" i="25"/>
  <c r="S319" i="25" s="1"/>
  <c r="X199" i="25"/>
  <c r="Q199" i="25"/>
  <c r="X369" i="25"/>
  <c r="Q369" i="25"/>
  <c r="X402" i="25"/>
  <c r="Q402" i="25"/>
  <c r="Y75" i="25"/>
  <c r="R75" i="25"/>
  <c r="S75" i="25" s="1"/>
  <c r="Y447" i="25"/>
  <c r="R447" i="25"/>
  <c r="S447" i="25" s="1"/>
  <c r="X222" i="25"/>
  <c r="Q222" i="25"/>
  <c r="Y71" i="25"/>
  <c r="R71" i="25"/>
  <c r="S71" i="25" s="1"/>
  <c r="Y490" i="25"/>
  <c r="R490" i="25"/>
  <c r="S490" i="25" s="1"/>
  <c r="X202" i="25"/>
  <c r="Q202" i="25"/>
  <c r="X279" i="25"/>
  <c r="Q279" i="25"/>
  <c r="X606" i="25"/>
  <c r="Q606" i="25"/>
  <c r="Y234" i="25"/>
  <c r="R234" i="25"/>
  <c r="S234" i="25" s="1"/>
  <c r="X270" i="25"/>
  <c r="Q270" i="25"/>
  <c r="Y435" i="25"/>
  <c r="R435" i="25"/>
  <c r="S435" i="25" s="1"/>
  <c r="X159" i="25"/>
  <c r="Q159" i="25"/>
  <c r="X213" i="25"/>
  <c r="Q213" i="25"/>
  <c r="Y341" i="25"/>
  <c r="R341" i="25"/>
  <c r="S341" i="25" s="1"/>
  <c r="Y172" i="25"/>
  <c r="R172" i="25"/>
  <c r="S172" i="25" s="1"/>
  <c r="Y346" i="25"/>
  <c r="R346" i="25"/>
  <c r="S346" i="25" s="1"/>
  <c r="X84" i="25"/>
  <c r="Q84" i="25"/>
  <c r="Y175" i="25"/>
  <c r="R175" i="25"/>
  <c r="S175" i="25" s="1"/>
  <c r="X276" i="25"/>
  <c r="Q276" i="25"/>
  <c r="Y363" i="25"/>
  <c r="R363" i="25"/>
  <c r="S363" i="25" s="1"/>
  <c r="Y173" i="25"/>
  <c r="R173" i="25"/>
  <c r="S173" i="25" s="1"/>
  <c r="X36" i="25"/>
  <c r="Q36" i="25"/>
  <c r="X151" i="25"/>
  <c r="Q151" i="25"/>
  <c r="Y597" i="25"/>
  <c r="R597" i="25"/>
  <c r="S597" i="25" s="1"/>
  <c r="X19" i="25"/>
  <c r="Q19" i="25"/>
  <c r="Y74" i="25"/>
  <c r="R74" i="25"/>
  <c r="S74" i="25" s="1"/>
  <c r="Y169" i="25"/>
  <c r="R169" i="25"/>
  <c r="S169" i="25" s="1"/>
  <c r="X224" i="25"/>
  <c r="Q224" i="25"/>
  <c r="Y120" i="25"/>
  <c r="R120" i="25"/>
  <c r="S120" i="25" s="1"/>
  <c r="Y116" i="25"/>
  <c r="R116" i="25"/>
  <c r="S116" i="25" s="1"/>
  <c r="Y544" i="25"/>
  <c r="R544" i="25"/>
  <c r="S544" i="25" s="1"/>
  <c r="X314" i="25"/>
  <c r="Q314" i="25"/>
  <c r="Y349" i="25"/>
  <c r="R349" i="25"/>
  <c r="S349" i="25" s="1"/>
  <c r="X171" i="25"/>
  <c r="Q171" i="25"/>
  <c r="X356" i="25"/>
  <c r="Q356" i="25"/>
  <c r="X155" i="25"/>
  <c r="Q155" i="25"/>
  <c r="Y504" i="25"/>
  <c r="R504" i="25"/>
  <c r="S504" i="25" s="1"/>
  <c r="Y286" i="25"/>
  <c r="R286" i="25"/>
  <c r="S286" i="25" s="1"/>
  <c r="X250" i="25"/>
  <c r="Q250" i="25"/>
  <c r="Y212" i="25"/>
  <c r="R212" i="25"/>
  <c r="S212" i="25" s="1"/>
  <c r="X537" i="25"/>
  <c r="Q537" i="25"/>
  <c r="Y542" i="25"/>
  <c r="R542" i="25"/>
  <c r="S542" i="25" s="1"/>
  <c r="Y332" i="25"/>
  <c r="R332" i="25"/>
  <c r="S332" i="25" s="1"/>
  <c r="X318" i="25"/>
  <c r="Q318" i="25"/>
  <c r="X54" i="25"/>
  <c r="Q54" i="25"/>
  <c r="X309" i="25"/>
  <c r="Q309" i="25"/>
  <c r="X135" i="25"/>
  <c r="Q135" i="25"/>
  <c r="R242" i="25"/>
  <c r="S242" i="25" s="1"/>
  <c r="Y242" i="25"/>
  <c r="Y28" i="25"/>
  <c r="R28" i="25"/>
  <c r="S28" i="25" s="1"/>
  <c r="Y249" i="25"/>
  <c r="R249" i="25"/>
  <c r="S249" i="25" s="1"/>
  <c r="Y283" i="25"/>
  <c r="R283" i="25"/>
  <c r="S283" i="25" s="1"/>
  <c r="X219" i="25"/>
  <c r="Q219" i="25"/>
  <c r="X138" i="25"/>
  <c r="Q138" i="25"/>
  <c r="X325" i="25"/>
  <c r="Q325" i="25"/>
  <c r="Y140" i="25"/>
  <c r="R140" i="25"/>
  <c r="S140" i="25" s="1"/>
  <c r="Y343" i="25"/>
  <c r="R343" i="25"/>
  <c r="S343" i="25" s="1"/>
  <c r="Y149" i="25"/>
  <c r="R149" i="25"/>
  <c r="S149" i="25" s="1"/>
  <c r="Y47" i="25"/>
  <c r="R47" i="25"/>
  <c r="S47" i="25" s="1"/>
  <c r="Q323" i="25"/>
  <c r="X323" i="25"/>
  <c r="X372" i="25"/>
  <c r="Q372" i="25"/>
  <c r="X168" i="25"/>
  <c r="Q168" i="25"/>
  <c r="Y455" i="25"/>
  <c r="R455" i="25"/>
  <c r="S455" i="25" s="1"/>
  <c r="Y371" i="25"/>
  <c r="R371" i="25"/>
  <c r="S371" i="25" s="1"/>
  <c r="Y287" i="25"/>
  <c r="R287" i="25"/>
  <c r="S287" i="25" s="1"/>
  <c r="X69" i="25"/>
  <c r="Q69" i="25"/>
  <c r="X216" i="25"/>
  <c r="Q216" i="25"/>
  <c r="Y115" i="25"/>
  <c r="R115" i="25"/>
  <c r="S115" i="25" s="1"/>
  <c r="Y474" i="25"/>
  <c r="R474" i="25"/>
  <c r="S474" i="25" s="1"/>
  <c r="Y429" i="25"/>
  <c r="R429" i="25"/>
  <c r="S429" i="25" s="1"/>
  <c r="Q245" i="25"/>
  <c r="X245" i="25"/>
  <c r="X447" i="25"/>
  <c r="Q447" i="25"/>
  <c r="R188" i="25"/>
  <c r="S188" i="25" s="1"/>
  <c r="Y188" i="25"/>
  <c r="Y257" i="25"/>
  <c r="R257" i="25"/>
  <c r="S257" i="25" s="1"/>
  <c r="X280" i="25"/>
  <c r="Q280" i="25"/>
  <c r="X484" i="25"/>
  <c r="Q484" i="25"/>
  <c r="X162" i="25"/>
  <c r="Q162" i="25"/>
  <c r="Y103" i="25"/>
  <c r="R103" i="25"/>
  <c r="S103" i="25" s="1"/>
  <c r="Y493" i="25"/>
  <c r="R493" i="25"/>
  <c r="S493" i="25" s="1"/>
  <c r="X549" i="25"/>
  <c r="Q549" i="25"/>
  <c r="Y328" i="25"/>
  <c r="R328" i="25"/>
  <c r="S328" i="25" s="1"/>
  <c r="X487" i="25"/>
  <c r="Q487" i="25"/>
  <c r="Y233" i="25"/>
  <c r="R233" i="25"/>
  <c r="S233" i="25" s="1"/>
  <c r="Y100" i="25"/>
  <c r="R100" i="25"/>
  <c r="S100" i="25" s="1"/>
  <c r="Y613" i="25"/>
  <c r="R613" i="25"/>
  <c r="S613" i="25" s="1"/>
  <c r="X527" i="25"/>
  <c r="Q527" i="25"/>
  <c r="Y514" i="25"/>
  <c r="R514" i="25"/>
  <c r="S514" i="25" s="1"/>
  <c r="Y32" i="25"/>
  <c r="R32" i="25"/>
  <c r="S32" i="25" s="1"/>
  <c r="Y441" i="25"/>
  <c r="R441" i="25"/>
  <c r="S441" i="25" s="1"/>
  <c r="X266" i="25"/>
  <c r="Q266" i="25"/>
  <c r="Y171" i="25"/>
  <c r="R171" i="25"/>
  <c r="S171" i="25" s="1"/>
  <c r="X434" i="25"/>
  <c r="Q434" i="25"/>
  <c r="Y369" i="25"/>
  <c r="R369" i="25"/>
  <c r="S369" i="25" s="1"/>
  <c r="X131" i="25"/>
  <c r="Q131" i="25"/>
  <c r="X412" i="25"/>
  <c r="Q412" i="25"/>
  <c r="Y511" i="25"/>
  <c r="R511" i="25"/>
  <c r="S511" i="25" s="1"/>
  <c r="Y133" i="25"/>
  <c r="R133" i="25"/>
  <c r="S133" i="25" s="1"/>
  <c r="X38" i="25"/>
  <c r="Q38" i="25"/>
  <c r="Y229" i="25"/>
  <c r="R229" i="25"/>
  <c r="S229" i="25" s="1"/>
  <c r="Y505" i="25"/>
  <c r="R505" i="25"/>
  <c r="S505" i="25" s="1"/>
  <c r="X533" i="25"/>
  <c r="Q533" i="25"/>
  <c r="X363" i="25"/>
  <c r="Q363" i="25"/>
  <c r="X321" i="25"/>
  <c r="Q321" i="25"/>
  <c r="Y399" i="25"/>
  <c r="R399" i="25"/>
  <c r="S399" i="25" s="1"/>
  <c r="X427" i="25"/>
  <c r="Q427" i="25"/>
  <c r="X572" i="25"/>
  <c r="Q572" i="25"/>
  <c r="X521" i="25"/>
  <c r="Q521" i="25"/>
  <c r="Y401" i="25"/>
  <c r="R401" i="25"/>
  <c r="S401" i="25" s="1"/>
  <c r="Y114" i="25"/>
  <c r="R114" i="25"/>
  <c r="S114" i="25" s="1"/>
  <c r="Y261" i="25"/>
  <c r="R261" i="25"/>
  <c r="S261" i="25" s="1"/>
  <c r="X298" i="25"/>
  <c r="Q298" i="25"/>
  <c r="X231" i="25"/>
  <c r="Q231" i="25"/>
  <c r="X479" i="25"/>
  <c r="Q479" i="25"/>
  <c r="Y596" i="25"/>
  <c r="R596" i="25"/>
  <c r="S596" i="25" s="1"/>
  <c r="X210" i="25"/>
  <c r="Q210" i="25"/>
  <c r="Y27" i="25"/>
  <c r="R27" i="25"/>
  <c r="S27" i="25" s="1"/>
  <c r="Y550" i="25"/>
  <c r="R550" i="25"/>
  <c r="S550" i="25" s="1"/>
  <c r="Y54" i="25"/>
  <c r="R54" i="25"/>
  <c r="S54" i="25" s="1"/>
  <c r="Y273" i="25"/>
  <c r="R273" i="25"/>
  <c r="S273" i="25" s="1"/>
  <c r="X411" i="25"/>
  <c r="Q411" i="25"/>
  <c r="Y56" i="25"/>
  <c r="R56" i="25"/>
  <c r="S56" i="25" s="1"/>
  <c r="Y110" i="25"/>
  <c r="R110" i="25"/>
  <c r="S110" i="25" s="1"/>
  <c r="Y72" i="25"/>
  <c r="R72" i="25"/>
  <c r="S72" i="25" s="1"/>
  <c r="Y303" i="25"/>
  <c r="R303" i="25"/>
  <c r="S303" i="25" s="1"/>
  <c r="X93" i="25"/>
  <c r="Q93" i="25"/>
  <c r="Y545" i="25"/>
  <c r="R545" i="25"/>
  <c r="S545" i="25" s="1"/>
  <c r="Y201" i="25"/>
  <c r="R201" i="25"/>
  <c r="S201" i="25" s="1"/>
  <c r="X585" i="25"/>
  <c r="Q585" i="25"/>
  <c r="Y146" i="25"/>
  <c r="R146" i="25"/>
  <c r="S146" i="25" s="1"/>
  <c r="Y166" i="25"/>
  <c r="R166" i="25"/>
  <c r="S166" i="25" s="1"/>
  <c r="Y63" i="25"/>
  <c r="R63" i="25"/>
  <c r="S63" i="25" s="1"/>
  <c r="X205" i="25"/>
  <c r="Q205" i="25"/>
  <c r="Y24" i="25"/>
  <c r="R24" i="25"/>
  <c r="S24" i="25" s="1"/>
  <c r="Y424" i="25"/>
  <c r="R424" i="25"/>
  <c r="S424" i="25" s="1"/>
  <c r="Y462" i="25"/>
  <c r="R462" i="25"/>
  <c r="S462" i="25" s="1"/>
  <c r="X254" i="25"/>
  <c r="Q254" i="25"/>
  <c r="Y272" i="25"/>
  <c r="R272" i="25"/>
  <c r="S272" i="25" s="1"/>
  <c r="Y183" i="25"/>
  <c r="R183" i="25"/>
  <c r="S183" i="25" s="1"/>
  <c r="Y509" i="25"/>
  <c r="R509" i="25"/>
  <c r="S509" i="25" s="1"/>
  <c r="X301" i="25"/>
  <c r="Q301" i="25"/>
  <c r="X91" i="25"/>
  <c r="Q91" i="25"/>
  <c r="X249" i="25"/>
  <c r="Q249" i="25"/>
  <c r="Y348" i="25"/>
  <c r="R348" i="25"/>
  <c r="S348" i="25" s="1"/>
  <c r="Y604" i="25"/>
  <c r="R604" i="25"/>
  <c r="S604" i="25" s="1"/>
  <c r="Y155" i="25"/>
  <c r="R155" i="25"/>
  <c r="S155" i="25" s="1"/>
  <c r="Y598" i="25"/>
  <c r="R598" i="25"/>
  <c r="S598" i="25" s="1"/>
  <c r="Y376" i="25"/>
  <c r="R376" i="25"/>
  <c r="S376" i="25" s="1"/>
  <c r="Y415" i="25"/>
  <c r="R415" i="25"/>
  <c r="S415" i="25" s="1"/>
  <c r="Y559" i="25"/>
  <c r="R559" i="25"/>
  <c r="S559" i="25" s="1"/>
  <c r="Y36" i="25"/>
  <c r="R36" i="25"/>
  <c r="S36" i="25" s="1"/>
  <c r="X96" i="25"/>
  <c r="Q96" i="25"/>
  <c r="X41" i="25"/>
  <c r="Q41" i="25"/>
  <c r="X285" i="25"/>
  <c r="Q285" i="25"/>
  <c r="Y539" i="25"/>
  <c r="R539" i="25"/>
  <c r="S539" i="25" s="1"/>
  <c r="X140" i="25"/>
  <c r="Q140" i="25"/>
  <c r="X345" i="25"/>
  <c r="Q345" i="25"/>
  <c r="X71" i="25"/>
  <c r="Q71" i="25"/>
  <c r="X612" i="25"/>
  <c r="Q612" i="25"/>
  <c r="X605" i="25"/>
  <c r="Q605" i="25"/>
  <c r="X289" i="25"/>
  <c r="Q289" i="25"/>
  <c r="Y381" i="25"/>
  <c r="R381" i="25"/>
  <c r="S381" i="25" s="1"/>
  <c r="X228" i="25"/>
  <c r="Q228" i="25"/>
  <c r="X233" i="25"/>
  <c r="Q233" i="25"/>
  <c r="X67" i="25"/>
  <c r="Q67" i="25"/>
  <c r="Y179" i="25"/>
  <c r="R179" i="25"/>
  <c r="S179" i="25" s="1"/>
  <c r="X110" i="25"/>
  <c r="Q110" i="25"/>
  <c r="Y440" i="25"/>
  <c r="R440" i="25"/>
  <c r="S440" i="25" s="1"/>
  <c r="Y290" i="25"/>
  <c r="R290" i="25"/>
  <c r="S290" i="25" s="1"/>
  <c r="X362" i="25"/>
  <c r="Q362" i="25"/>
  <c r="Y409" i="25"/>
  <c r="R409" i="25"/>
  <c r="S409" i="25" s="1"/>
  <c r="Y73" i="25"/>
  <c r="R73" i="25"/>
  <c r="S73" i="25" s="1"/>
  <c r="X604" i="25"/>
  <c r="Q604" i="25"/>
  <c r="Y589" i="25"/>
  <c r="R589" i="25"/>
  <c r="S589" i="25" s="1"/>
  <c r="Y132" i="25"/>
  <c r="R132" i="25"/>
  <c r="S132" i="25" s="1"/>
  <c r="X165" i="25"/>
  <c r="Q165" i="25"/>
  <c r="Y478" i="25"/>
  <c r="R478" i="25"/>
  <c r="S478" i="25" s="1"/>
  <c r="X451" i="25"/>
  <c r="Q451" i="25"/>
  <c r="X563" i="25"/>
  <c r="Q563" i="25"/>
  <c r="Y537" i="25"/>
  <c r="R537" i="25"/>
  <c r="S537" i="25" s="1"/>
  <c r="X410" i="25"/>
  <c r="Q410" i="25"/>
  <c r="X453" i="25"/>
  <c r="Q453" i="25"/>
  <c r="Y329" i="25"/>
  <c r="R329" i="25"/>
  <c r="S329" i="25" s="1"/>
  <c r="X467" i="25"/>
  <c r="Q467" i="25"/>
  <c r="Y69" i="25"/>
  <c r="R69" i="25"/>
  <c r="S69" i="25" s="1"/>
  <c r="Y203" i="25"/>
  <c r="R203" i="25"/>
  <c r="S203" i="25" s="1"/>
  <c r="Y463" i="25"/>
  <c r="R463" i="25"/>
  <c r="S463" i="25" s="1"/>
  <c r="X552" i="25"/>
  <c r="Q552" i="25"/>
  <c r="Y68" i="25"/>
  <c r="R68" i="25"/>
  <c r="S68" i="25" s="1"/>
  <c r="X43" i="25"/>
  <c r="Q43" i="25"/>
  <c r="Y247" i="25"/>
  <c r="R247" i="25"/>
  <c r="S247" i="25" s="1"/>
  <c r="X578" i="25"/>
  <c r="Q578" i="25"/>
  <c r="Y574" i="25"/>
  <c r="R574" i="25"/>
  <c r="S574" i="25" s="1"/>
  <c r="Y557" i="25"/>
  <c r="R557" i="25"/>
  <c r="S557" i="25" s="1"/>
  <c r="Q627" i="17"/>
  <c r="Y557" i="17"/>
  <c r="AA627" i="17"/>
  <c r="X419" i="17"/>
  <c r="Y586" i="17"/>
  <c r="R627" i="17"/>
  <c r="S627" i="17" s="1"/>
  <c r="X511" i="17"/>
  <c r="Y53" i="17"/>
  <c r="Y500" i="17"/>
  <c r="Q622" i="17"/>
  <c r="D632" i="17" s="1"/>
  <c r="Y485" i="17"/>
  <c r="Y610" i="17"/>
  <c r="X544" i="17"/>
  <c r="X19" i="17"/>
  <c r="X161" i="17"/>
  <c r="Y114" i="17"/>
  <c r="X528" i="17"/>
  <c r="Y186" i="17"/>
  <c r="Y512" i="17"/>
  <c r="Y538" i="17"/>
  <c r="X193" i="17"/>
  <c r="X255" i="17"/>
  <c r="X373" i="17"/>
  <c r="Y231" i="17"/>
  <c r="X273" i="17"/>
  <c r="Y190" i="17"/>
  <c r="X582" i="17"/>
  <c r="X232" i="17"/>
  <c r="Y482" i="17"/>
  <c r="X398" i="17"/>
  <c r="Y281" i="17"/>
  <c r="Y385" i="17"/>
  <c r="Y208" i="17"/>
  <c r="X142" i="17"/>
  <c r="Y342" i="17"/>
  <c r="Y221" i="17"/>
  <c r="X575" i="17"/>
  <c r="Y601" i="17"/>
  <c r="Y623" i="17"/>
  <c r="Y16" i="17"/>
  <c r="Y490" i="17"/>
  <c r="X381" i="17"/>
  <c r="Y566" i="17"/>
  <c r="X81" i="17"/>
  <c r="X447" i="17"/>
  <c r="Y453" i="17"/>
  <c r="Y181" i="17"/>
  <c r="Y436" i="17"/>
  <c r="X343" i="17"/>
  <c r="Y471" i="17"/>
  <c r="X254" i="17"/>
  <c r="X294" i="17"/>
  <c r="Y165" i="17"/>
  <c r="Y587" i="17"/>
  <c r="Y154" i="17"/>
  <c r="X503" i="17"/>
  <c r="X194" i="17"/>
  <c r="Y302" i="17"/>
  <c r="Y175" i="17"/>
  <c r="Y33" i="17"/>
  <c r="X252" i="17"/>
  <c r="X388" i="17"/>
  <c r="Y171" i="17"/>
  <c r="Y458" i="17"/>
  <c r="Y143" i="17"/>
  <c r="Y580" i="17"/>
  <c r="X498" i="17"/>
  <c r="Y81" i="17"/>
  <c r="Y200" i="17"/>
  <c r="X490" i="17"/>
  <c r="X400" i="17"/>
  <c r="Y558" i="17"/>
  <c r="X371" i="17"/>
  <c r="Y583" i="17"/>
  <c r="Y333" i="17"/>
  <c r="Y109" i="17"/>
  <c r="X263" i="17"/>
  <c r="Y68" i="17"/>
  <c r="Y475" i="17"/>
  <c r="Y551" i="17"/>
  <c r="Y380" i="17"/>
  <c r="Y422" i="17"/>
  <c r="X546" i="17"/>
  <c r="Y116" i="17"/>
  <c r="X17" i="17"/>
  <c r="X329" i="17"/>
  <c r="X250" i="17"/>
  <c r="X519" i="17"/>
  <c r="X405" i="17"/>
  <c r="X49" i="17"/>
  <c r="Y398" i="17"/>
  <c r="X241" i="17"/>
  <c r="Y113" i="17"/>
  <c r="X82" i="17"/>
  <c r="Y201" i="17"/>
  <c r="Y254" i="17"/>
  <c r="Y478" i="17"/>
  <c r="Y484" i="17"/>
  <c r="Y377" i="17"/>
  <c r="Y214" i="17"/>
  <c r="X608" i="17"/>
  <c r="Y28" i="17"/>
  <c r="X162" i="17"/>
  <c r="X411" i="17"/>
  <c r="X293" i="17"/>
  <c r="X318" i="17"/>
  <c r="Y555" i="17"/>
  <c r="X437" i="17"/>
  <c r="Y52" i="17"/>
  <c r="Y107" i="17"/>
  <c r="Y149" i="17"/>
  <c r="Y126" i="17"/>
  <c r="X436" i="17"/>
  <c r="Y288" i="17"/>
  <c r="X504" i="17"/>
  <c r="Y266" i="17"/>
  <c r="X185" i="17"/>
  <c r="X21" i="17"/>
  <c r="X606" i="17"/>
  <c r="Y459" i="17"/>
  <c r="X576" i="17"/>
  <c r="X527" i="17"/>
  <c r="X470" i="17"/>
  <c r="X242" i="17"/>
  <c r="X336" i="17"/>
  <c r="X311" i="17"/>
  <c r="X444" i="17"/>
  <c r="Y315" i="17"/>
  <c r="X477" i="17"/>
  <c r="Y260" i="17"/>
  <c r="Y563" i="17"/>
  <c r="X589" i="17"/>
  <c r="X426" i="17"/>
  <c r="X451" i="17"/>
  <c r="X26" i="17"/>
  <c r="Y188" i="17"/>
  <c r="Y464" i="17"/>
  <c r="Y549" i="17"/>
  <c r="Y275" i="17"/>
  <c r="Y602" i="17"/>
  <c r="X151" i="17"/>
  <c r="X462" i="17"/>
  <c r="Y20" i="17"/>
  <c r="Y322" i="17"/>
  <c r="Y372" i="17"/>
  <c r="Y332" i="17"/>
  <c r="Y297" i="17"/>
  <c r="Y292" i="17"/>
  <c r="Y375" i="17"/>
  <c r="X395" i="17"/>
  <c r="X182" i="17"/>
  <c r="Y198" i="17"/>
  <c r="Y367" i="17"/>
  <c r="X102" i="17"/>
  <c r="Y365" i="17"/>
  <c r="Y207" i="17"/>
  <c r="X471" i="17"/>
  <c r="Y287" i="17"/>
  <c r="X412" i="17"/>
  <c r="X537" i="17"/>
  <c r="Y320" i="17"/>
  <c r="X570" i="17"/>
  <c r="Y540" i="17"/>
  <c r="X66" i="17"/>
  <c r="X111" i="17"/>
  <c r="Y244" i="17"/>
  <c r="X124" i="17"/>
  <c r="Y447" i="17"/>
  <c r="Y304" i="17"/>
  <c r="X31" i="17"/>
  <c r="X93" i="17"/>
  <c r="Y520" i="17"/>
  <c r="Y205" i="17"/>
  <c r="Y323" i="17"/>
  <c r="Y237" i="17"/>
  <c r="X179" i="17"/>
  <c r="Y607" i="17"/>
  <c r="X372" i="17"/>
  <c r="X545" i="17"/>
  <c r="Y370" i="17"/>
  <c r="Y622" i="17"/>
  <c r="Y314" i="17"/>
  <c r="Y294" i="17"/>
  <c r="Y104" i="17"/>
  <c r="X349" i="17"/>
  <c r="X337" i="17"/>
  <c r="X276" i="17"/>
  <c r="Y176" i="17"/>
  <c r="X86" i="17"/>
  <c r="Y44" i="17"/>
  <c r="Y334" i="17"/>
  <c r="X457" i="17"/>
  <c r="Y316" i="17"/>
  <c r="X413" i="17"/>
  <c r="Y409" i="17"/>
  <c r="Y241" i="17"/>
  <c r="Y340" i="17"/>
  <c r="X302" i="17"/>
  <c r="X33" i="17"/>
  <c r="X279" i="17"/>
  <c r="Y229" i="17"/>
  <c r="X473" i="17"/>
  <c r="X586" i="17"/>
  <c r="Y359" i="17"/>
  <c r="Y472" i="17"/>
  <c r="X114" i="17"/>
  <c r="Y407" i="17"/>
  <c r="X77" i="17"/>
  <c r="Y341" i="17"/>
  <c r="Y561" i="17"/>
  <c r="Y217" i="17"/>
  <c r="Y509" i="17"/>
  <c r="X153" i="17"/>
  <c r="Y88" i="17"/>
  <c r="X297" i="17"/>
  <c r="X578" i="17"/>
  <c r="X278" i="17"/>
  <c r="X404" i="17"/>
  <c r="X313" i="17"/>
  <c r="X207" i="17"/>
  <c r="Y102" i="17"/>
  <c r="X431" i="17"/>
  <c r="Y139" i="17"/>
  <c r="Y120" i="17"/>
  <c r="X189" i="17"/>
  <c r="X172" i="17"/>
  <c r="Y97" i="17"/>
  <c r="X465" i="17"/>
  <c r="Y598" i="17"/>
  <c r="Y463" i="17"/>
  <c r="X448" i="17"/>
  <c r="X417" i="17"/>
  <c r="Y57" i="17"/>
  <c r="X109" i="17"/>
  <c r="X275" i="17"/>
  <c r="X104" i="17"/>
  <c r="Y585" i="17"/>
  <c r="X441" i="17"/>
  <c r="Y271" i="17"/>
  <c r="X479" i="17"/>
  <c r="Y204" i="17"/>
  <c r="X324" i="17"/>
  <c r="Y45" i="17"/>
  <c r="X64" i="17"/>
  <c r="Y483" i="17"/>
  <c r="Y321" i="17"/>
  <c r="Y32" i="17"/>
  <c r="Y137" i="17"/>
  <c r="X244" i="17"/>
  <c r="Y230" i="17"/>
  <c r="X265" i="17"/>
  <c r="Y330" i="17"/>
  <c r="Y248" i="17"/>
  <c r="Y196" i="17"/>
  <c r="X508" i="17"/>
  <c r="X138" i="17"/>
  <c r="X481" i="17"/>
  <c r="Y269" i="17"/>
  <c r="Y156" i="17"/>
  <c r="X478" i="17"/>
  <c r="X13" i="17"/>
  <c r="X483" i="17"/>
  <c r="Y556" i="17"/>
  <c r="X129" i="17"/>
  <c r="Y430" i="17"/>
  <c r="X433" i="17"/>
  <c r="Y283" i="17"/>
  <c r="X295" i="17"/>
  <c r="Y18" i="17"/>
  <c r="Y530" i="17"/>
  <c r="X229" i="17"/>
  <c r="X626" i="17"/>
  <c r="X609" i="17"/>
  <c r="X408" i="17"/>
  <c r="Y564" i="17"/>
  <c r="Y392" i="17"/>
  <c r="X83" i="17"/>
  <c r="Y396" i="17"/>
  <c r="Y435" i="17"/>
  <c r="Y439" i="17"/>
  <c r="X215" i="17"/>
  <c r="Y218" i="17"/>
  <c r="Y92" i="17"/>
  <c r="Y164" i="17"/>
  <c r="Y163" i="17"/>
  <c r="X499" i="17"/>
  <c r="X513" i="17"/>
  <c r="X131" i="17"/>
  <c r="Y158" i="17"/>
  <c r="X272" i="17"/>
  <c r="X257" i="17"/>
  <c r="Y195" i="17"/>
  <c r="X591" i="17"/>
  <c r="Y570" i="17"/>
  <c r="X94" i="17"/>
  <c r="Y395" i="17"/>
  <c r="X224" i="17"/>
  <c r="X487" i="17"/>
  <c r="Y291" i="17"/>
  <c r="Y433" i="17"/>
  <c r="X453" i="17"/>
  <c r="Y595" i="17"/>
  <c r="Q129" i="17"/>
  <c r="U129" i="17" s="1"/>
  <c r="X445" i="17"/>
  <c r="X121" i="17"/>
  <c r="X203" i="17"/>
  <c r="Y83" i="17"/>
  <c r="Y73" i="17"/>
  <c r="Y117" i="17"/>
  <c r="Y290" i="17"/>
  <c r="X320" i="17"/>
  <c r="X67" i="17"/>
  <c r="Y521" i="17"/>
  <c r="X299" i="17"/>
  <c r="X469" i="17"/>
  <c r="Y410" i="17"/>
  <c r="Y445" i="17"/>
  <c r="Y325" i="17"/>
  <c r="X358" i="17"/>
  <c r="X459" i="17"/>
  <c r="X387" i="17"/>
  <c r="X187" i="17"/>
  <c r="X555" i="17"/>
  <c r="X237" i="17"/>
  <c r="X316" i="17"/>
  <c r="X526" i="17"/>
  <c r="Y329" i="17"/>
  <c r="X107" i="17"/>
  <c r="Y369" i="17"/>
  <c r="X363" i="17"/>
  <c r="Q98" i="17"/>
  <c r="R154" i="17"/>
  <c r="S154" i="17" s="1"/>
  <c r="R124" i="17"/>
  <c r="S124" i="17" s="1"/>
  <c r="Y124" i="17"/>
  <c r="Q37" i="17"/>
  <c r="X37" i="17"/>
  <c r="R243" i="17"/>
  <c r="S243" i="17" s="1"/>
  <c r="Y243" i="17"/>
  <c r="R376" i="17"/>
  <c r="S376" i="17" s="1"/>
  <c r="Y376" i="17"/>
  <c r="Q314" i="17"/>
  <c r="X314" i="17"/>
  <c r="R87" i="17"/>
  <c r="S87" i="17" s="1"/>
  <c r="Y87" i="17"/>
  <c r="R61" i="17"/>
  <c r="S61" i="17" s="1"/>
  <c r="Y61" i="17"/>
  <c r="R532" i="17"/>
  <c r="S532" i="17" s="1"/>
  <c r="Y532" i="17"/>
  <c r="X212" i="17"/>
  <c r="Q212" i="17"/>
  <c r="Q50" i="17"/>
  <c r="X50" i="17"/>
  <c r="Y421" i="17"/>
  <c r="R421" i="17"/>
  <c r="S421" i="17" s="1"/>
  <c r="R489" i="17"/>
  <c r="S489" i="17" s="1"/>
  <c r="Y489" i="17"/>
  <c r="R279" i="17"/>
  <c r="S279" i="17" s="1"/>
  <c r="Y279" i="17"/>
  <c r="R143" i="17"/>
  <c r="S143" i="17" s="1"/>
  <c r="Q188" i="17"/>
  <c r="X188" i="17"/>
  <c r="Y368" i="17"/>
  <c r="R368" i="17"/>
  <c r="S368" i="17" s="1"/>
  <c r="Q195" i="17"/>
  <c r="X195" i="17"/>
  <c r="Y477" i="17"/>
  <c r="R477" i="17"/>
  <c r="S477" i="17" s="1"/>
  <c r="X571" i="17"/>
  <c r="Q571" i="17"/>
  <c r="Y122" i="17"/>
  <c r="R122" i="17"/>
  <c r="S122" i="17" s="1"/>
  <c r="R294" i="17"/>
  <c r="S294" i="17" s="1"/>
  <c r="Q63" i="17"/>
  <c r="X63" i="17"/>
  <c r="R172" i="17"/>
  <c r="S172" i="17" s="1"/>
  <c r="Y172" i="17"/>
  <c r="X100" i="17"/>
  <c r="Q100" i="17"/>
  <c r="R581" i="17"/>
  <c r="S581" i="17" s="1"/>
  <c r="Y581" i="17"/>
  <c r="Q503" i="17"/>
  <c r="Q127" i="17"/>
  <c r="X127" i="17"/>
  <c r="Q393" i="17"/>
  <c r="X393" i="17"/>
  <c r="Q560" i="17"/>
  <c r="X560" i="17"/>
  <c r="Q611" i="17"/>
  <c r="X611" i="17"/>
  <c r="Q493" i="17"/>
  <c r="X493" i="17"/>
  <c r="Q380" i="17"/>
  <c r="X380" i="17"/>
  <c r="Q267" i="17"/>
  <c r="X267" i="17"/>
  <c r="R181" i="17"/>
  <c r="S181" i="17" s="1"/>
  <c r="Q361" i="17"/>
  <c r="X361" i="17"/>
  <c r="R591" i="17"/>
  <c r="S591" i="17" s="1"/>
  <c r="Y591" i="17"/>
  <c r="R454" i="17"/>
  <c r="S454" i="17" s="1"/>
  <c r="Y454" i="17"/>
  <c r="R606" i="17"/>
  <c r="S606" i="17" s="1"/>
  <c r="Y606" i="17"/>
  <c r="Q394" i="17"/>
  <c r="X394" i="17"/>
  <c r="R36" i="17"/>
  <c r="S36" i="17" s="1"/>
  <c r="Y36" i="17"/>
  <c r="R211" i="17"/>
  <c r="S211" i="17" s="1"/>
  <c r="Y211" i="17"/>
  <c r="R390" i="17"/>
  <c r="S390" i="17" s="1"/>
  <c r="Y390" i="17"/>
  <c r="Q496" i="17"/>
  <c r="X496" i="17"/>
  <c r="R587" i="17"/>
  <c r="S587" i="17" s="1"/>
  <c r="Y506" i="17"/>
  <c r="R506" i="17"/>
  <c r="S506" i="17" s="1"/>
  <c r="Q263" i="17"/>
  <c r="R128" i="17"/>
  <c r="S128" i="17" s="1"/>
  <c r="Y128" i="17"/>
  <c r="Q397" i="17"/>
  <c r="X397" i="17"/>
  <c r="Q128" i="17"/>
  <c r="X128" i="17"/>
  <c r="R220" i="17"/>
  <c r="S220" i="17" s="1"/>
  <c r="Y339" i="17"/>
  <c r="X296" i="17"/>
  <c r="Y599" i="17"/>
  <c r="Y253" i="17"/>
  <c r="Q530" i="17"/>
  <c r="X530" i="17"/>
  <c r="Q307" i="17"/>
  <c r="U307" i="17" s="1"/>
  <c r="X307" i="17"/>
  <c r="Q301" i="17"/>
  <c r="X301" i="17"/>
  <c r="R195" i="17"/>
  <c r="S195" i="17" s="1"/>
  <c r="Q91" i="17"/>
  <c r="Q613" i="17"/>
  <c r="X613" i="17"/>
  <c r="Q385" i="17"/>
  <c r="X385" i="17"/>
  <c r="Q22" i="17"/>
  <c r="X22" i="17"/>
  <c r="Q568" i="17"/>
  <c r="X568" i="17"/>
  <c r="Q325" i="17"/>
  <c r="X325" i="17"/>
  <c r="Y328" i="17"/>
  <c r="R328" i="17"/>
  <c r="S328" i="17" s="1"/>
  <c r="Y105" i="17"/>
  <c r="R105" i="17"/>
  <c r="S105" i="17" s="1"/>
  <c r="X516" i="17"/>
  <c r="Q516" i="17"/>
  <c r="R152" i="17"/>
  <c r="S152" i="17" s="1"/>
  <c r="Y152" i="17"/>
  <c r="X402" i="17"/>
  <c r="Q402" i="17"/>
  <c r="X541" i="17"/>
  <c r="Q541" i="17"/>
  <c r="Y457" i="17"/>
  <c r="R457" i="17"/>
  <c r="S457" i="17" s="1"/>
  <c r="Q484" i="17"/>
  <c r="X484" i="17"/>
  <c r="Y282" i="17"/>
  <c r="R282" i="17"/>
  <c r="S282" i="17" s="1"/>
  <c r="R430" i="17"/>
  <c r="S430" i="17" s="1"/>
  <c r="X152" i="17"/>
  <c r="Q152" i="17"/>
  <c r="X259" i="17"/>
  <c r="Q259" i="17"/>
  <c r="Y112" i="17"/>
  <c r="R112" i="17"/>
  <c r="S112" i="17" s="1"/>
  <c r="Y348" i="17"/>
  <c r="R348" i="17"/>
  <c r="S348" i="17" s="1"/>
  <c r="Q309" i="17"/>
  <c r="X309" i="17"/>
  <c r="Q25" i="17"/>
  <c r="X25" i="17"/>
  <c r="X287" i="17"/>
  <c r="Q287" i="17"/>
  <c r="Y276" i="17"/>
  <c r="R276" i="17"/>
  <c r="S276" i="17" s="1"/>
  <c r="R530" i="17"/>
  <c r="S530" i="17" s="1"/>
  <c r="R77" i="17"/>
  <c r="S77" i="17" s="1"/>
  <c r="Y77" i="17"/>
  <c r="Q542" i="17"/>
  <c r="Q52" i="17"/>
  <c r="X52" i="17"/>
  <c r="R308" i="17"/>
  <c r="S308" i="17" s="1"/>
  <c r="Y308" i="17"/>
  <c r="Q433" i="17"/>
  <c r="Q360" i="17"/>
  <c r="X360" i="17"/>
  <c r="R546" i="17"/>
  <c r="S546" i="17" s="1"/>
  <c r="Y546" i="17"/>
  <c r="R164" i="17"/>
  <c r="S164" i="17" s="1"/>
  <c r="Q561" i="17"/>
  <c r="X561" i="17"/>
  <c r="Q369" i="17"/>
  <c r="X369" i="17"/>
  <c r="R145" i="17"/>
  <c r="S145" i="17" s="1"/>
  <c r="Y145" i="17"/>
  <c r="R78" i="17"/>
  <c r="S78" i="17" s="1"/>
  <c r="Y78" i="17"/>
  <c r="R163" i="17"/>
  <c r="S163" i="17" s="1"/>
  <c r="Q176" i="17"/>
  <c r="X176" i="17"/>
  <c r="Q366" i="17"/>
  <c r="X366" i="17"/>
  <c r="Q430" i="17"/>
  <c r="X430" i="17"/>
  <c r="Q139" i="17"/>
  <c r="X139" i="17"/>
  <c r="X169" i="17"/>
  <c r="X440" i="17"/>
  <c r="X57" i="17"/>
  <c r="Y412" i="17"/>
  <c r="Y284" i="17"/>
  <c r="Y568" i="17"/>
  <c r="Y93" i="17"/>
  <c r="X56" i="17"/>
  <c r="X368" i="17"/>
  <c r="R582" i="17"/>
  <c r="S582" i="17" s="1"/>
  <c r="Y582" i="17"/>
  <c r="R138" i="17"/>
  <c r="S138" i="17" s="1"/>
  <c r="Y138" i="17"/>
  <c r="R347" i="17"/>
  <c r="S347" i="17" s="1"/>
  <c r="Y347" i="17"/>
  <c r="Q594" i="17"/>
  <c r="X594" i="17"/>
  <c r="Q356" i="17"/>
  <c r="X356" i="17"/>
  <c r="R324" i="17"/>
  <c r="S324" i="17" s="1"/>
  <c r="Y324" i="17"/>
  <c r="R216" i="17"/>
  <c r="S216" i="17" s="1"/>
  <c r="Y216" i="17"/>
  <c r="Q413" i="17"/>
  <c r="R229" i="17"/>
  <c r="S229" i="17" s="1"/>
  <c r="R192" i="17"/>
  <c r="S192" i="17" s="1"/>
  <c r="Y192" i="17"/>
  <c r="Y543" i="17"/>
  <c r="R543" i="17"/>
  <c r="S543" i="17" s="1"/>
  <c r="Q114" i="17"/>
  <c r="R14" i="17"/>
  <c r="S14" i="17" s="1"/>
  <c r="Y14" i="17"/>
  <c r="X354" i="17"/>
  <c r="Q354" i="17"/>
  <c r="Y393" i="17"/>
  <c r="R393" i="17"/>
  <c r="S393" i="17" s="1"/>
  <c r="R504" i="17"/>
  <c r="S504" i="17" s="1"/>
  <c r="Y504" i="17"/>
  <c r="X406" i="17"/>
  <c r="Q406" i="17"/>
  <c r="R594" i="17"/>
  <c r="S594" i="17" s="1"/>
  <c r="Y594" i="17"/>
  <c r="X155" i="17"/>
  <c r="Q155" i="17"/>
  <c r="R539" i="17"/>
  <c r="S539" i="17" s="1"/>
  <c r="Y539" i="17"/>
  <c r="Y597" i="17"/>
  <c r="R597" i="17"/>
  <c r="S597" i="17" s="1"/>
  <c r="Y525" i="17"/>
  <c r="R525" i="17"/>
  <c r="S525" i="17" s="1"/>
  <c r="Q116" i="17"/>
  <c r="X116" i="17"/>
  <c r="X126" i="17"/>
  <c r="Q126" i="17"/>
  <c r="X144" i="17"/>
  <c r="Q144" i="17"/>
  <c r="Q545" i="17"/>
  <c r="Y127" i="17"/>
  <c r="R127" i="17"/>
  <c r="S127" i="17" s="1"/>
  <c r="Y51" i="17"/>
  <c r="R51" i="17"/>
  <c r="S51" i="17" s="1"/>
  <c r="Q143" i="17"/>
  <c r="X143" i="17"/>
  <c r="Q103" i="17"/>
  <c r="X103" i="17"/>
  <c r="R593" i="17"/>
  <c r="S593" i="17" s="1"/>
  <c r="Y593" i="17"/>
  <c r="Q290" i="17"/>
  <c r="X290" i="17"/>
  <c r="R357" i="17"/>
  <c r="S357" i="17" s="1"/>
  <c r="Y357" i="17"/>
  <c r="Q198" i="17"/>
  <c r="X198" i="17"/>
  <c r="Q279" i="17"/>
  <c r="R409" i="17"/>
  <c r="S409" i="17" s="1"/>
  <c r="R176" i="17"/>
  <c r="S176" i="17" s="1"/>
  <c r="R472" i="17"/>
  <c r="S472" i="17" s="1"/>
  <c r="R584" i="17"/>
  <c r="S584" i="17" s="1"/>
  <c r="Y584" i="17"/>
  <c r="R515" i="17"/>
  <c r="S515" i="17" s="1"/>
  <c r="Y515" i="17"/>
  <c r="Q166" i="17"/>
  <c r="X166" i="17"/>
  <c r="R314" i="17"/>
  <c r="S314" i="17" s="1"/>
  <c r="Q106" i="17"/>
  <c r="X106" i="17"/>
  <c r="Q557" i="17"/>
  <c r="X557" i="17"/>
  <c r="R340" i="17"/>
  <c r="S340" i="17" s="1"/>
  <c r="R179" i="17"/>
  <c r="S179" i="17" s="1"/>
  <c r="Y179" i="17"/>
  <c r="Q491" i="17"/>
  <c r="X491" i="17"/>
  <c r="X175" i="17"/>
  <c r="X62" i="17"/>
  <c r="X201" i="17"/>
  <c r="X236" i="17"/>
  <c r="Y26" i="17"/>
  <c r="Y141" i="17"/>
  <c r="Y17" i="17"/>
  <c r="X510" i="17"/>
  <c r="Y115" i="17"/>
  <c r="R426" i="17"/>
  <c r="S426" i="17" s="1"/>
  <c r="Q211" i="17"/>
  <c r="R589" i="17"/>
  <c r="S589" i="17" s="1"/>
  <c r="Y589" i="17"/>
  <c r="Q19" i="17"/>
  <c r="R533" i="17"/>
  <c r="S533" i="17" s="1"/>
  <c r="Y533" i="17"/>
  <c r="Q105" i="17"/>
  <c r="X105" i="17"/>
  <c r="Q525" i="17"/>
  <c r="X525" i="17"/>
  <c r="R227" i="17"/>
  <c r="S227" i="17" s="1"/>
  <c r="Y227" i="17"/>
  <c r="Q456" i="17"/>
  <c r="X456" i="17"/>
  <c r="R144" i="17"/>
  <c r="S144" i="17" s="1"/>
  <c r="Y144" i="17"/>
  <c r="R218" i="17"/>
  <c r="S218" i="17" s="1"/>
  <c r="Q304" i="17"/>
  <c r="X304" i="17"/>
  <c r="R261" i="17"/>
  <c r="S261" i="17" s="1"/>
  <c r="Y261" i="17"/>
  <c r="Y185" i="17"/>
  <c r="R185" i="17"/>
  <c r="S185" i="17" s="1"/>
  <c r="X133" i="17"/>
  <c r="Q133" i="17"/>
  <c r="Y552" i="17"/>
  <c r="R552" i="17"/>
  <c r="S552" i="17" s="1"/>
  <c r="X339" i="17"/>
  <c r="Q339" i="17"/>
  <c r="R410" i="17"/>
  <c r="S410" i="17" s="1"/>
  <c r="Q79" i="17"/>
  <c r="X79" i="17"/>
  <c r="Y373" i="17"/>
  <c r="R373" i="17"/>
  <c r="S373" i="17" s="1"/>
  <c r="Y411" i="17"/>
  <c r="R411" i="17"/>
  <c r="S411" i="17" s="1"/>
  <c r="R135" i="17"/>
  <c r="S135" i="17" s="1"/>
  <c r="Y135" i="17"/>
  <c r="X553" i="17"/>
  <c r="Q553" i="17"/>
  <c r="Y42" i="17"/>
  <c r="R42" i="17"/>
  <c r="S42" i="17" s="1"/>
  <c r="X270" i="17"/>
  <c r="Q270" i="17"/>
  <c r="R289" i="17"/>
  <c r="S289" i="17" s="1"/>
  <c r="Y289" i="17"/>
  <c r="X233" i="17"/>
  <c r="Q233" i="17"/>
  <c r="X157" i="17"/>
  <c r="Q157" i="17"/>
  <c r="R264" i="17"/>
  <c r="S264" i="17" s="1"/>
  <c r="Y264" i="17"/>
  <c r="R445" i="17"/>
  <c r="S445" i="17" s="1"/>
  <c r="R85" i="17"/>
  <c r="S85" i="17" s="1"/>
  <c r="Y85" i="17"/>
  <c r="R35" i="17"/>
  <c r="S35" i="17" s="1"/>
  <c r="Y35" i="17"/>
  <c r="R73" i="17"/>
  <c r="S73" i="17" s="1"/>
  <c r="R103" i="17"/>
  <c r="S103" i="17" s="1"/>
  <c r="Y103" i="17"/>
  <c r="Q184" i="17"/>
  <c r="X184" i="17"/>
  <c r="R448" i="17"/>
  <c r="S448" i="17" s="1"/>
  <c r="Y448" i="17"/>
  <c r="R325" i="17"/>
  <c r="S325" i="17" s="1"/>
  <c r="R391" i="17"/>
  <c r="S391" i="17" s="1"/>
  <c r="Y391" i="17"/>
  <c r="R521" i="17"/>
  <c r="S521" i="17" s="1"/>
  <c r="R246" i="17"/>
  <c r="S246" i="17" s="1"/>
  <c r="Y246" i="17"/>
  <c r="Q532" i="17"/>
  <c r="Y488" i="17"/>
  <c r="X149" i="17"/>
  <c r="Y604" i="17"/>
  <c r="Y526" i="17"/>
  <c r="X505" i="17"/>
  <c r="Y491" i="17"/>
  <c r="Y167" i="17"/>
  <c r="X351" i="17"/>
  <c r="X514" i="17"/>
  <c r="Y311" i="17"/>
  <c r="Y578" i="17"/>
  <c r="R508" i="17"/>
  <c r="S508" i="17" s="1"/>
  <c r="R32" i="17"/>
  <c r="S32" i="17" s="1"/>
  <c r="Q64" i="17"/>
  <c r="Q580" i="17"/>
  <c r="X580" i="17"/>
  <c r="Q628" i="17"/>
  <c r="R561" i="17"/>
  <c r="S561" i="17" s="1"/>
  <c r="Q524" i="17"/>
  <c r="X524" i="17"/>
  <c r="Q605" i="17"/>
  <c r="X605" i="17"/>
  <c r="R361" i="17"/>
  <c r="S361" i="17" s="1"/>
  <c r="Y361" i="17"/>
  <c r="Q235" i="17"/>
  <c r="X235" i="17"/>
  <c r="X214" i="17"/>
  <c r="Q214" i="17"/>
  <c r="R184" i="17"/>
  <c r="S184" i="17" s="1"/>
  <c r="Y184" i="17"/>
  <c r="Q417" i="17"/>
  <c r="Q246" i="17"/>
  <c r="X246" i="17"/>
  <c r="Q284" i="17"/>
  <c r="X284" i="17"/>
  <c r="Y335" i="17"/>
  <c r="R335" i="17"/>
  <c r="S335" i="17" s="1"/>
  <c r="R250" i="17"/>
  <c r="S250" i="17" s="1"/>
  <c r="Y250" i="17"/>
  <c r="R217" i="17"/>
  <c r="S217" i="17" s="1"/>
  <c r="Q48" i="17"/>
  <c r="X48" i="17"/>
  <c r="Q567" i="17"/>
  <c r="X567" i="17"/>
  <c r="R196" i="17"/>
  <c r="S196" i="17" s="1"/>
  <c r="X435" i="17"/>
  <c r="Q435" i="17"/>
  <c r="Q478" i="17"/>
  <c r="Y90" i="17"/>
  <c r="R90" i="17"/>
  <c r="S90" i="17" s="1"/>
  <c r="Y379" i="17"/>
  <c r="R379" i="17"/>
  <c r="S379" i="17" s="1"/>
  <c r="R451" i="17"/>
  <c r="S451" i="17" s="1"/>
  <c r="Y451" i="17"/>
  <c r="Y452" i="17"/>
  <c r="R452" i="17"/>
  <c r="S452" i="17" s="1"/>
  <c r="Y496" i="17"/>
  <c r="R496" i="17"/>
  <c r="S496" i="17" s="1"/>
  <c r="R102" i="17"/>
  <c r="S102" i="17" s="1"/>
  <c r="R456" i="17"/>
  <c r="S456" i="17" s="1"/>
  <c r="Y456" i="17"/>
  <c r="R309" i="17"/>
  <c r="S309" i="17" s="1"/>
  <c r="Y309" i="17"/>
  <c r="Q189" i="17"/>
  <c r="Q46" i="17"/>
  <c r="X46" i="17"/>
  <c r="Q244" i="17"/>
  <c r="Q207" i="17"/>
  <c r="R80" i="17"/>
  <c r="S80" i="17" s="1"/>
  <c r="Y80" i="17"/>
  <c r="R57" i="17"/>
  <c r="S57" i="17" s="1"/>
  <c r="Q218" i="17"/>
  <c r="X218" i="17"/>
  <c r="R483" i="17"/>
  <c r="S483" i="17" s="1"/>
  <c r="R574" i="17"/>
  <c r="S574" i="17" s="1"/>
  <c r="Y574" i="17"/>
  <c r="R438" i="17"/>
  <c r="S438" i="17" s="1"/>
  <c r="Y481" i="17"/>
  <c r="X256" i="17"/>
  <c r="Y399" i="17"/>
  <c r="Y492" i="17"/>
  <c r="X101" i="17"/>
  <c r="Y182" i="17"/>
  <c r="X495" i="17"/>
  <c r="Y387" i="17"/>
  <c r="Y249" i="17"/>
  <c r="X154" i="17"/>
  <c r="Y346" i="17"/>
  <c r="Y535" i="17"/>
  <c r="X211" i="17"/>
  <c r="R405" i="17"/>
  <c r="S405" i="17" s="1"/>
  <c r="Y405" i="17"/>
  <c r="Q18" i="17"/>
  <c r="X18" i="17"/>
  <c r="R23" i="17"/>
  <c r="S23" i="17" s="1"/>
  <c r="Y23" i="17"/>
  <c r="Q73" i="17"/>
  <c r="X73" i="17"/>
  <c r="R38" i="17"/>
  <c r="S38" i="17" s="1"/>
  <c r="Y38" i="17"/>
  <c r="Q305" i="17"/>
  <c r="X305" i="17"/>
  <c r="Q595" i="17"/>
  <c r="X595" i="17"/>
  <c r="R41" i="17"/>
  <c r="S41" i="17" s="1"/>
  <c r="Y41" i="17"/>
  <c r="R595" i="17"/>
  <c r="S595" i="17" s="1"/>
  <c r="Y202" i="17"/>
  <c r="R202" i="17"/>
  <c r="S202" i="17" s="1"/>
  <c r="Y67" i="17"/>
  <c r="R67" i="17"/>
  <c r="S67" i="17" s="1"/>
  <c r="Y517" i="17"/>
  <c r="R517" i="17"/>
  <c r="S517" i="17" s="1"/>
  <c r="R329" i="17"/>
  <c r="S329" i="17" s="1"/>
  <c r="X303" i="17"/>
  <c r="Q303" i="17"/>
  <c r="R609" i="17"/>
  <c r="S609" i="17" s="1"/>
  <c r="Y609" i="17"/>
  <c r="Y576" i="17"/>
  <c r="R576" i="17"/>
  <c r="S576" i="17" s="1"/>
  <c r="X280" i="17"/>
  <c r="Q280" i="17"/>
  <c r="X310" i="17"/>
  <c r="Q310" i="17"/>
  <c r="Y151" i="17"/>
  <c r="R151" i="17"/>
  <c r="S151" i="17" s="1"/>
  <c r="Y403" i="17"/>
  <c r="R403" i="17"/>
  <c r="S403" i="17" s="1"/>
  <c r="Q320" i="17"/>
  <c r="Y206" i="17"/>
  <c r="R206" i="17"/>
  <c r="S206" i="17" s="1"/>
  <c r="X39" i="17"/>
  <c r="Q39" i="17"/>
  <c r="Q327" i="17"/>
  <c r="X327" i="17"/>
  <c r="X362" i="17"/>
  <c r="Q362" i="17"/>
  <c r="R174" i="17"/>
  <c r="S174" i="17" s="1"/>
  <c r="Y174" i="17"/>
  <c r="Q463" i="17"/>
  <c r="X463" i="17"/>
  <c r="R362" i="17"/>
  <c r="S362" i="17" s="1"/>
  <c r="Y362" i="17"/>
  <c r="Q499" i="17"/>
  <c r="Q531" i="17"/>
  <c r="X531" i="17"/>
  <c r="Q513" i="17"/>
  <c r="Q549" i="17"/>
  <c r="X549" i="17"/>
  <c r="R215" i="17"/>
  <c r="S215" i="17" s="1"/>
  <c r="Y215" i="17"/>
  <c r="X170" i="17"/>
  <c r="Y519" i="17"/>
  <c r="Y388" i="17"/>
  <c r="Y466" i="17"/>
  <c r="X298" i="17"/>
  <c r="Y626" i="17"/>
  <c r="X146" i="17"/>
  <c r="X80" i="17"/>
  <c r="X87" i="17"/>
  <c r="X249" i="17"/>
  <c r="X163" i="17"/>
  <c r="X91" i="17"/>
  <c r="Q581" i="17"/>
  <c r="X581" i="17"/>
  <c r="Q506" i="17"/>
  <c r="X506" i="17"/>
  <c r="Q213" i="17"/>
  <c r="X213" i="17"/>
  <c r="R236" i="17"/>
  <c r="S236" i="17" s="1"/>
  <c r="Y236" i="17"/>
  <c r="Q574" i="17"/>
  <c r="X574" i="17"/>
  <c r="R450" i="17"/>
  <c r="S450" i="17" s="1"/>
  <c r="Y450" i="17"/>
  <c r="Q74" i="17"/>
  <c r="X74" i="17"/>
  <c r="Q43" i="17"/>
  <c r="X43" i="17"/>
  <c r="R40" i="17"/>
  <c r="S40" i="17" s="1"/>
  <c r="Y40" i="17"/>
  <c r="X536" i="17"/>
  <c r="Q536" i="17"/>
  <c r="R268" i="17"/>
  <c r="S268" i="17" s="1"/>
  <c r="Y268" i="17"/>
  <c r="Y100" i="17"/>
  <c r="R100" i="17"/>
  <c r="S100" i="17" s="1"/>
  <c r="Q563" i="17"/>
  <c r="X563" i="17"/>
  <c r="X206" i="17"/>
  <c r="Q206" i="17"/>
  <c r="Y511" i="17"/>
  <c r="R511" i="17"/>
  <c r="S511" i="17" s="1"/>
  <c r="Q210" i="17"/>
  <c r="X210" i="17"/>
  <c r="Y442" i="17"/>
  <c r="R442" i="17"/>
  <c r="S442" i="17" s="1"/>
  <c r="Y13" i="17"/>
  <c r="R13" i="17"/>
  <c r="S13" i="17" s="1"/>
  <c r="Y382" i="17"/>
  <c r="R382" i="17"/>
  <c r="S382" i="17" s="1"/>
  <c r="Y571" i="17"/>
  <c r="R571" i="17"/>
  <c r="S571" i="17" s="1"/>
  <c r="Y559" i="17"/>
  <c r="R559" i="17"/>
  <c r="S559" i="17" s="1"/>
  <c r="X383" i="17"/>
  <c r="Q383" i="17"/>
  <c r="X53" i="17"/>
  <c r="Q53" i="17"/>
  <c r="Q517" i="17"/>
  <c r="X517" i="17"/>
  <c r="Y30" i="17"/>
  <c r="R30" i="17"/>
  <c r="S30" i="17" s="1"/>
  <c r="R419" i="17"/>
  <c r="S419" i="17" s="1"/>
  <c r="Y419" i="17"/>
  <c r="X485" i="17"/>
  <c r="Q485" i="17"/>
  <c r="R560" i="17"/>
  <c r="S560" i="17" s="1"/>
  <c r="Y560" i="17"/>
  <c r="R372" i="17"/>
  <c r="S372" i="17" s="1"/>
  <c r="Q359" i="17"/>
  <c r="X359" i="17"/>
  <c r="Q612" i="17"/>
  <c r="X612" i="17"/>
  <c r="R319" i="17"/>
  <c r="S319" i="17" s="1"/>
  <c r="Y319" i="17"/>
  <c r="Q66" i="17"/>
  <c r="Q93" i="17"/>
  <c r="Q593" i="17"/>
  <c r="X593" i="17"/>
  <c r="Q372" i="17"/>
  <c r="R237" i="17"/>
  <c r="S237" i="17" s="1"/>
  <c r="Q35" i="17"/>
  <c r="X35" i="17"/>
  <c r="Q540" i="17"/>
  <c r="X540" i="17"/>
  <c r="Q464" i="17"/>
  <c r="X464" i="17"/>
  <c r="X466" i="17"/>
  <c r="X148" i="17"/>
  <c r="X110" i="17"/>
  <c r="Y531" i="17"/>
  <c r="Y293" i="17"/>
  <c r="X36" i="17"/>
  <c r="Y364" i="17"/>
  <c r="Y47" i="17"/>
  <c r="X308" i="17"/>
  <c r="Y469" i="17"/>
  <c r="Y299" i="17"/>
  <c r="Y352" i="17"/>
  <c r="Y48" i="17"/>
  <c r="X136" i="17"/>
  <c r="Y508" i="17"/>
  <c r="X542" i="17"/>
  <c r="R355" i="17"/>
  <c r="S355" i="17" s="1"/>
  <c r="Y355" i="17"/>
  <c r="Q122" i="17"/>
  <c r="X122" i="17"/>
  <c r="R612" i="17"/>
  <c r="S612" i="17" s="1"/>
  <c r="Y612" i="17"/>
  <c r="Q357" i="17"/>
  <c r="X357" i="17"/>
  <c r="Q199" i="17"/>
  <c r="X199" i="17"/>
  <c r="Q317" i="17"/>
  <c r="X317" i="17"/>
  <c r="Q544" i="17"/>
  <c r="Q389" i="17"/>
  <c r="X389" i="17"/>
  <c r="R313" i="17"/>
  <c r="S313" i="17" s="1"/>
  <c r="Y313" i="17"/>
  <c r="R31" i="17"/>
  <c r="S31" i="17" s="1"/>
  <c r="Y31" i="17"/>
  <c r="Q426" i="17"/>
  <c r="Y351" i="17"/>
  <c r="R351" i="17"/>
  <c r="S351" i="17" s="1"/>
  <c r="R107" i="17"/>
  <c r="S107" i="17" s="1"/>
  <c r="Y338" i="17"/>
  <c r="R338" i="17"/>
  <c r="S338" i="17" s="1"/>
  <c r="R63" i="17"/>
  <c r="S63" i="17" s="1"/>
  <c r="Y63" i="17"/>
  <c r="Y470" i="17"/>
  <c r="R470" i="17"/>
  <c r="S470" i="17" s="1"/>
  <c r="X238" i="17"/>
  <c r="Q238" i="17"/>
  <c r="Y486" i="17"/>
  <c r="R486" i="17"/>
  <c r="S486" i="17" s="1"/>
  <c r="R288" i="17"/>
  <c r="S288" i="17" s="1"/>
  <c r="R415" i="17"/>
  <c r="S415" i="17" s="1"/>
  <c r="Y415" i="17"/>
  <c r="X261" i="17"/>
  <c r="Q261" i="17"/>
  <c r="X156" i="17"/>
  <c r="Q156" i="17"/>
  <c r="X285" i="17"/>
  <c r="Q285" i="17"/>
  <c r="Y354" i="17"/>
  <c r="R354" i="17"/>
  <c r="S354" i="17" s="1"/>
  <c r="R565" i="17"/>
  <c r="S565" i="17" s="1"/>
  <c r="Y565" i="17"/>
  <c r="R126" i="17"/>
  <c r="S126" i="17" s="1"/>
  <c r="Q21" i="17"/>
  <c r="X97" i="17"/>
  <c r="Q97" i="17"/>
  <c r="Q606" i="17"/>
  <c r="Q504" i="17"/>
  <c r="Q258" i="17"/>
  <c r="X258" i="17"/>
  <c r="Q564" i="17"/>
  <c r="X564" i="17"/>
  <c r="R611" i="17"/>
  <c r="S611" i="17" s="1"/>
  <c r="Y611" i="17"/>
  <c r="Q422" i="17"/>
  <c r="X422" i="17"/>
  <c r="Q321" i="17"/>
  <c r="X321" i="17"/>
  <c r="Q306" i="17"/>
  <c r="X306" i="17"/>
  <c r="Q472" i="17"/>
  <c r="X472" i="17"/>
  <c r="R431" i="17"/>
  <c r="S431" i="17" s="1"/>
  <c r="Y431" i="17"/>
  <c r="R266" i="17"/>
  <c r="S266" i="17" s="1"/>
  <c r="Q390" i="17"/>
  <c r="X390" i="17"/>
  <c r="Y278" i="17"/>
  <c r="Y160" i="17"/>
  <c r="X434" i="17"/>
  <c r="X502" i="17"/>
  <c r="Y312" i="17"/>
  <c r="X89" i="17"/>
  <c r="Y22" i="17"/>
  <c r="X569" i="17"/>
  <c r="X123" i="17"/>
  <c r="X23" i="17"/>
  <c r="Y534" i="17"/>
  <c r="X165" i="17"/>
  <c r="Y350" i="17"/>
  <c r="Y91" i="17"/>
  <c r="Y187" i="17"/>
  <c r="X70" i="17"/>
  <c r="Y437" i="17"/>
  <c r="Y505" i="17"/>
  <c r="X209" i="17"/>
  <c r="Y473" i="17"/>
  <c r="Y600" i="17"/>
  <c r="X59" i="17"/>
  <c r="Y529" i="17"/>
  <c r="Q277" i="17"/>
  <c r="X277" i="17"/>
  <c r="R349" i="17"/>
  <c r="S349" i="17" s="1"/>
  <c r="Y349" i="17"/>
  <c r="Q589" i="17"/>
  <c r="Q576" i="17"/>
  <c r="Q151" i="17"/>
  <c r="R464" i="17"/>
  <c r="S464" i="17" s="1"/>
  <c r="Q623" i="17"/>
  <c r="D633" i="17" s="1"/>
  <c r="X623" i="17"/>
  <c r="Q598" i="17"/>
  <c r="X598" i="17"/>
  <c r="Q429" i="17"/>
  <c r="X429" i="17"/>
  <c r="Y140" i="17"/>
  <c r="R140" i="17"/>
  <c r="S140" i="17" s="1"/>
  <c r="Y440" i="17"/>
  <c r="R440" i="17"/>
  <c r="S440" i="17" s="1"/>
  <c r="Y173" i="17"/>
  <c r="R173" i="17"/>
  <c r="S173" i="17" s="1"/>
  <c r="X345" i="17"/>
  <c r="Q345" i="17"/>
  <c r="Q242" i="17"/>
  <c r="Q462" i="17"/>
  <c r="Y480" i="17"/>
  <c r="R480" i="17"/>
  <c r="S480" i="17" s="1"/>
  <c r="X410" i="17"/>
  <c r="Q410" i="17"/>
  <c r="X350" i="17"/>
  <c r="Q350" i="17"/>
  <c r="Y240" i="17"/>
  <c r="R240" i="17"/>
  <c r="S240" i="17" s="1"/>
  <c r="Y522" i="17"/>
  <c r="R522" i="17"/>
  <c r="S522" i="17" s="1"/>
  <c r="Q566" i="17"/>
  <c r="X566" i="17"/>
  <c r="J625" i="17"/>
  <c r="F625" i="17"/>
  <c r="K625" i="17"/>
  <c r="P625" i="17"/>
  <c r="E625" i="17"/>
  <c r="M625" i="17"/>
  <c r="N625" i="17"/>
  <c r="L625" i="17"/>
  <c r="I625" i="17"/>
  <c r="O625" i="17"/>
  <c r="D625" i="17"/>
  <c r="C625" i="17"/>
  <c r="X559" i="17"/>
  <c r="Q559" i="17"/>
  <c r="Q26" i="17"/>
  <c r="X76" i="17"/>
  <c r="Q76" i="17"/>
  <c r="X137" i="17"/>
  <c r="Q137" i="17"/>
  <c r="Q112" i="17"/>
  <c r="X112" i="17"/>
  <c r="R188" i="17"/>
  <c r="S188" i="17" s="1"/>
  <c r="R378" i="17"/>
  <c r="S378" i="17" s="1"/>
  <c r="Y378" i="17"/>
  <c r="Q183" i="17"/>
  <c r="X183" i="17"/>
  <c r="R79" i="17"/>
  <c r="S79" i="17" s="1"/>
  <c r="Y79" i="17"/>
  <c r="Q65" i="17"/>
  <c r="X65" i="17"/>
  <c r="R479" i="17"/>
  <c r="S479" i="17" s="1"/>
  <c r="Y479" i="17"/>
  <c r="Q602" i="17"/>
  <c r="X602" i="17"/>
  <c r="R499" i="17"/>
  <c r="S499" i="17" s="1"/>
  <c r="Y499" i="17"/>
  <c r="Y413" i="17"/>
  <c r="R413" i="17"/>
  <c r="S413" i="17" s="1"/>
  <c r="R353" i="17"/>
  <c r="S353" i="17" s="1"/>
  <c r="Y353" i="17"/>
  <c r="R322" i="17"/>
  <c r="S322" i="17" s="1"/>
  <c r="R449" i="17"/>
  <c r="S449" i="17" s="1"/>
  <c r="Y449" i="17"/>
  <c r="R332" i="17"/>
  <c r="S332" i="17" s="1"/>
  <c r="Y384" i="17"/>
  <c r="X115" i="17"/>
  <c r="X347" i="17"/>
  <c r="Y130" i="17"/>
  <c r="Y310" i="17"/>
  <c r="X28" i="17"/>
  <c r="X603" i="17"/>
  <c r="X274" i="17"/>
  <c r="Y56" i="17"/>
  <c r="X228" i="17"/>
  <c r="Y74" i="17"/>
  <c r="X539" i="17"/>
  <c r="X377" i="17"/>
  <c r="X386" i="17"/>
  <c r="Y414" i="17"/>
  <c r="X96" i="17"/>
  <c r="X585" i="17"/>
  <c r="R247" i="17"/>
  <c r="S247" i="17" s="1"/>
  <c r="Y247" i="17"/>
  <c r="R50" i="17"/>
  <c r="S50" i="17" s="1"/>
  <c r="Y50" i="17"/>
  <c r="Q522" i="17"/>
  <c r="X522" i="17"/>
  <c r="R564" i="17"/>
  <c r="S564" i="17" s="1"/>
  <c r="Q286" i="17"/>
  <c r="X286" i="17"/>
  <c r="R170" i="17"/>
  <c r="S170" i="17" s="1"/>
  <c r="Y170" i="17"/>
  <c r="R389" i="17"/>
  <c r="S389" i="17" s="1"/>
  <c r="Y389" i="17"/>
  <c r="Q572" i="17"/>
  <c r="X572" i="17"/>
  <c r="R58" i="17"/>
  <c r="S58" i="17" s="1"/>
  <c r="Y58" i="17"/>
  <c r="X40" i="17"/>
  <c r="Q40" i="17"/>
  <c r="X474" i="17"/>
  <c r="Q474" i="17"/>
  <c r="Q344" i="17"/>
  <c r="X344" i="17"/>
  <c r="Y569" i="17"/>
  <c r="R569" i="17"/>
  <c r="S569" i="17" s="1"/>
  <c r="R408" i="17"/>
  <c r="S408" i="17" s="1"/>
  <c r="Y408" i="17"/>
  <c r="Q492" i="17"/>
  <c r="X492" i="17"/>
  <c r="R395" i="17"/>
  <c r="S395" i="17" s="1"/>
  <c r="Y129" i="17"/>
  <c r="R129" i="17"/>
  <c r="S129" i="17" s="1"/>
  <c r="X186" i="17"/>
  <c r="Q186" i="17"/>
  <c r="X283" i="17"/>
  <c r="Q283" i="17"/>
  <c r="Y39" i="17"/>
  <c r="R39" i="17"/>
  <c r="S39" i="17" s="1"/>
  <c r="Y265" i="17"/>
  <c r="R265" i="17"/>
  <c r="S265" i="17" s="1"/>
  <c r="X438" i="17"/>
  <c r="Q438" i="17"/>
  <c r="X99" i="17"/>
  <c r="Q99" i="17"/>
  <c r="Y527" i="17"/>
  <c r="R527" i="17"/>
  <c r="S527" i="17" s="1"/>
  <c r="R493" i="17"/>
  <c r="S493" i="17" s="1"/>
  <c r="Y493" i="17"/>
  <c r="Y363" i="17"/>
  <c r="R363" i="17"/>
  <c r="S363" i="17" s="1"/>
  <c r="X562" i="17"/>
  <c r="Q562" i="17"/>
  <c r="Q171" i="17"/>
  <c r="R513" i="17"/>
  <c r="S513" i="17" s="1"/>
  <c r="Y513" i="17"/>
  <c r="Q408" i="17"/>
  <c r="Q401" i="17"/>
  <c r="R252" i="17"/>
  <c r="S252" i="17" s="1"/>
  <c r="Y252" i="17"/>
  <c r="R383" i="17"/>
  <c r="S383" i="17" s="1"/>
  <c r="Y383" i="17"/>
  <c r="Q346" i="17"/>
  <c r="X346" i="17"/>
  <c r="R238" i="17"/>
  <c r="S238" i="17" s="1"/>
  <c r="R101" i="17"/>
  <c r="S101" i="17" s="1"/>
  <c r="Y101" i="17"/>
  <c r="Q587" i="17"/>
  <c r="X587" i="17"/>
  <c r="R54" i="17"/>
  <c r="S54" i="17" s="1"/>
  <c r="Q550" i="17"/>
  <c r="X550" i="17"/>
  <c r="X556" i="17"/>
  <c r="Q556" i="17"/>
  <c r="R441" i="17"/>
  <c r="S441" i="17" s="1"/>
  <c r="Y441" i="17"/>
  <c r="Q220" i="17"/>
  <c r="X220" i="17"/>
  <c r="R168" i="17"/>
  <c r="S168" i="17" s="1"/>
  <c r="Y168" i="17"/>
  <c r="Q125" i="17"/>
  <c r="X125" i="17"/>
  <c r="Q160" i="17"/>
  <c r="X160" i="17"/>
  <c r="Q291" i="17"/>
  <c r="X291" i="17"/>
  <c r="Q535" i="17"/>
  <c r="X535" i="17"/>
  <c r="Q132" i="17"/>
  <c r="X132" i="17"/>
  <c r="R15" i="17"/>
  <c r="S15" i="17" s="1"/>
  <c r="Y15" i="17"/>
  <c r="Q16" i="17"/>
  <c r="X16" i="17"/>
  <c r="Q14" i="17"/>
  <c r="X14" i="17"/>
  <c r="Q178" i="17"/>
  <c r="R557" i="17"/>
  <c r="S557" i="17" s="1"/>
  <c r="R425" i="17"/>
  <c r="S425" i="17" s="1"/>
  <c r="Y425" i="17"/>
  <c r="Q534" i="17"/>
  <c r="X534" i="17"/>
  <c r="R402" i="17"/>
  <c r="S402" i="17" s="1"/>
  <c r="Y402" i="17"/>
  <c r="R605" i="17"/>
  <c r="S605" i="17" s="1"/>
  <c r="Y605" i="17"/>
  <c r="R177" i="17"/>
  <c r="S177" i="17" s="1"/>
  <c r="Y177" i="17"/>
  <c r="Q319" i="17"/>
  <c r="Q610" i="17"/>
  <c r="X610" i="17"/>
  <c r="R213" i="17"/>
  <c r="S213" i="17" s="1"/>
  <c r="R193" i="17"/>
  <c r="S193" i="17" s="1"/>
  <c r="Q423" i="17"/>
  <c r="X423" i="17"/>
  <c r="R153" i="17"/>
  <c r="S153" i="17" s="1"/>
  <c r="Y153" i="17"/>
  <c r="R46" i="17"/>
  <c r="S46" i="17" s="1"/>
  <c r="Y46" i="17"/>
  <c r="Q396" i="17"/>
  <c r="R203" i="17"/>
  <c r="S203" i="17" s="1"/>
  <c r="Y203" i="17"/>
  <c r="R189" i="17"/>
  <c r="S189" i="17" s="1"/>
  <c r="R307" i="17"/>
  <c r="S307" i="17" s="1"/>
  <c r="Y307" i="17"/>
  <c r="Q458" i="17"/>
  <c r="X458" i="17"/>
  <c r="X98" i="17"/>
  <c r="Q300" i="17"/>
  <c r="X300" i="17"/>
  <c r="Q533" i="17"/>
  <c r="X533" i="17"/>
  <c r="Q33" i="17"/>
  <c r="Q24" i="17"/>
  <c r="X24" i="17"/>
  <c r="R518" i="17"/>
  <c r="S518" i="17" s="1"/>
  <c r="Y518" i="17"/>
  <c r="Q150" i="17"/>
  <c r="X150" i="17"/>
  <c r="R89" i="17"/>
  <c r="S89" i="17" s="1"/>
  <c r="Y89" i="17"/>
  <c r="Q239" i="17"/>
  <c r="X239" i="17"/>
  <c r="Q452" i="17"/>
  <c r="X452" i="17"/>
  <c r="X460" i="17"/>
  <c r="Q460" i="17"/>
  <c r="X501" i="17"/>
  <c r="Q501" i="17"/>
  <c r="R417" i="17"/>
  <c r="S417" i="17" s="1"/>
  <c r="Y417" i="17"/>
  <c r="X55" i="17"/>
  <c r="Q55" i="17"/>
  <c r="Q607" i="17"/>
  <c r="X607" i="17"/>
  <c r="X378" i="17"/>
  <c r="Q378" i="17"/>
  <c r="Y132" i="17"/>
  <c r="R132" i="17"/>
  <c r="S132" i="17" s="1"/>
  <c r="Q134" i="17"/>
  <c r="X134" i="17"/>
  <c r="R178" i="17"/>
  <c r="S178" i="17" s="1"/>
  <c r="Y178" i="17"/>
  <c r="X331" i="17"/>
  <c r="Q331" i="17"/>
  <c r="R191" i="17"/>
  <c r="S191" i="17" s="1"/>
  <c r="Y191" i="17"/>
  <c r="R523" i="17"/>
  <c r="S523" i="17" s="1"/>
  <c r="Y523" i="17"/>
  <c r="R147" i="17"/>
  <c r="S147" i="17" s="1"/>
  <c r="Y147" i="17"/>
  <c r="X507" i="17"/>
  <c r="Q507" i="17"/>
  <c r="Y547" i="17"/>
  <c r="R547" i="17"/>
  <c r="S547" i="17" s="1"/>
  <c r="Q586" i="17"/>
  <c r="R573" i="17"/>
  <c r="S573" i="17" s="1"/>
  <c r="Y573" i="17"/>
  <c r="R180" i="17"/>
  <c r="S180" i="17" s="1"/>
  <c r="Y180" i="17"/>
  <c r="R148" i="17"/>
  <c r="S148" i="17" s="1"/>
  <c r="Y148" i="17"/>
  <c r="Q281" i="17"/>
  <c r="X281" i="17"/>
  <c r="R272" i="17"/>
  <c r="S272" i="17" s="1"/>
  <c r="Y272" i="17"/>
  <c r="R375" i="17"/>
  <c r="S375" i="17" s="1"/>
  <c r="Q365" i="17"/>
  <c r="X365" i="17"/>
  <c r="R119" i="17"/>
  <c r="S119" i="17" s="1"/>
  <c r="Y119" i="17"/>
  <c r="Q588" i="17"/>
  <c r="Q592" i="17"/>
  <c r="X592" i="17"/>
  <c r="Q102" i="17"/>
  <c r="Q338" i="17"/>
  <c r="X338" i="17"/>
  <c r="Q543" i="17"/>
  <c r="X543" i="17"/>
  <c r="Q190" i="17"/>
  <c r="X190" i="17"/>
  <c r="R316" i="17"/>
  <c r="S316" i="17" s="1"/>
  <c r="R423" i="17"/>
  <c r="S423" i="17" s="1"/>
  <c r="Y423" i="17"/>
  <c r="R510" i="17"/>
  <c r="S510" i="17" s="1"/>
  <c r="Y510" i="17"/>
  <c r="R207" i="17"/>
  <c r="S207" i="17" s="1"/>
  <c r="R476" i="17"/>
  <c r="S476" i="17" s="1"/>
  <c r="Y476" i="17"/>
  <c r="R579" i="17"/>
  <c r="S579" i="17" s="1"/>
  <c r="Y579" i="17"/>
  <c r="R123" i="17"/>
  <c r="S123" i="17" s="1"/>
  <c r="Y123" i="17"/>
  <c r="R259" i="17"/>
  <c r="S259" i="17" s="1"/>
  <c r="Y259" i="17"/>
  <c r="R241" i="17"/>
  <c r="S241" i="17" s="1"/>
  <c r="Q512" i="17"/>
  <c r="X512" i="17"/>
  <c r="R159" i="17"/>
  <c r="S159" i="17" s="1"/>
  <c r="Y159" i="17"/>
  <c r="Q45" i="17"/>
  <c r="X45" i="17"/>
  <c r="Q311" i="17"/>
  <c r="Q409" i="17"/>
  <c r="X409" i="17"/>
  <c r="Q334" i="17"/>
  <c r="X334" i="17"/>
  <c r="R367" i="17"/>
  <c r="S367" i="17" s="1"/>
  <c r="R341" i="17"/>
  <c r="S341" i="17" s="1"/>
  <c r="R295" i="17"/>
  <c r="S295" i="17" s="1"/>
  <c r="R371" i="17"/>
  <c r="S371" i="17" s="1"/>
  <c r="Y371" i="17"/>
  <c r="R19" i="17"/>
  <c r="S19" i="17" s="1"/>
  <c r="Y19" i="17"/>
  <c r="R131" i="17"/>
  <c r="S131" i="17" s="1"/>
  <c r="Y131" i="17"/>
  <c r="Q424" i="17"/>
  <c r="X424" i="17"/>
  <c r="X119" i="17"/>
  <c r="Q119" i="17"/>
  <c r="Q268" i="17"/>
  <c r="X268" i="17"/>
  <c r="Q182" i="17"/>
  <c r="R245" i="17"/>
  <c r="S245" i="17" s="1"/>
  <c r="Y245" i="17"/>
  <c r="Y296" i="17"/>
  <c r="R296" i="17"/>
  <c r="S296" i="17" s="1"/>
  <c r="Q145" i="17"/>
  <c r="X145" i="17"/>
  <c r="Q461" i="17"/>
  <c r="X461" i="17"/>
  <c r="R234" i="17"/>
  <c r="S234" i="17" s="1"/>
  <c r="R286" i="17"/>
  <c r="S286" i="17" s="1"/>
  <c r="Y286" i="17"/>
  <c r="R292" i="17"/>
  <c r="S292" i="17" s="1"/>
  <c r="Q384" i="17"/>
  <c r="X384" i="17"/>
  <c r="R365" i="17"/>
  <c r="S365" i="17" s="1"/>
  <c r="Y426" i="17"/>
  <c r="Q596" i="17"/>
  <c r="X596" i="17"/>
  <c r="Q420" i="17"/>
  <c r="X420" i="17"/>
  <c r="R111" i="17"/>
  <c r="S111" i="17" s="1"/>
  <c r="Y111" i="17"/>
  <c r="R59" i="17"/>
  <c r="S59" i="17" s="1"/>
  <c r="Y59" i="17"/>
  <c r="R435" i="17"/>
  <c r="S435" i="17" s="1"/>
  <c r="R71" i="17"/>
  <c r="S71" i="17" s="1"/>
  <c r="Y71" i="17"/>
  <c r="Q78" i="17"/>
  <c r="X78" i="17"/>
  <c r="Y43" i="17"/>
  <c r="R43" i="17"/>
  <c r="S43" i="17" s="1"/>
  <c r="Q44" i="17"/>
  <c r="X44" i="17"/>
  <c r="Q177" i="17"/>
  <c r="X177" i="17"/>
  <c r="Q608" i="17"/>
  <c r="Q520" i="17"/>
  <c r="X520" i="17"/>
  <c r="R461" i="17"/>
  <c r="S461" i="17" s="1"/>
  <c r="Y461" i="17"/>
  <c r="Q295" i="17"/>
  <c r="X468" i="17"/>
  <c r="Q468" i="17"/>
  <c r="Y360" i="17"/>
  <c r="R360" i="17"/>
  <c r="S360" i="17" s="1"/>
  <c r="R66" i="17"/>
  <c r="S66" i="17" s="1"/>
  <c r="Y66" i="17"/>
  <c r="X208" i="17"/>
  <c r="Q208" i="17"/>
  <c r="Y235" i="17"/>
  <c r="R235" i="17"/>
  <c r="S235" i="17" s="1"/>
  <c r="Q370" i="17"/>
  <c r="X370" i="17"/>
  <c r="R225" i="17"/>
  <c r="S225" i="17" s="1"/>
  <c r="Y225" i="17"/>
  <c r="Y210" i="17"/>
  <c r="R210" i="17"/>
  <c r="S210" i="17" s="1"/>
  <c r="Y134" i="17"/>
  <c r="R134" i="17"/>
  <c r="S134" i="17" s="1"/>
  <c r="X323" i="17"/>
  <c r="Q323" i="17"/>
  <c r="R484" i="17"/>
  <c r="S484" i="17" s="1"/>
  <c r="X15" i="17"/>
  <c r="Q15" i="17"/>
  <c r="Q475" i="17"/>
  <c r="X475" i="17"/>
  <c r="Q130" i="17"/>
  <c r="X130" i="17"/>
  <c r="R161" i="17"/>
  <c r="S161" i="17" s="1"/>
  <c r="Y161" i="17"/>
  <c r="Q120" i="17"/>
  <c r="X120" i="17"/>
  <c r="Q355" i="17"/>
  <c r="X355" i="17"/>
  <c r="R550" i="17"/>
  <c r="S550" i="17" s="1"/>
  <c r="Y550" i="17"/>
  <c r="Q626" i="17"/>
  <c r="D636" i="17" s="1"/>
  <c r="Q260" i="17"/>
  <c r="X260" i="17"/>
  <c r="R69" i="17"/>
  <c r="S69" i="17" s="1"/>
  <c r="Y69" i="17"/>
  <c r="R277" i="17"/>
  <c r="S277" i="17" s="1"/>
  <c r="Y277" i="17"/>
  <c r="R201" i="17"/>
  <c r="S201" i="17" s="1"/>
  <c r="Q167" i="17"/>
  <c r="X167" i="17"/>
  <c r="R528" i="17"/>
  <c r="S528" i="17" s="1"/>
  <c r="Y528" i="17"/>
  <c r="R572" i="17"/>
  <c r="S572" i="17" s="1"/>
  <c r="Y572" i="17"/>
  <c r="R392" i="17"/>
  <c r="S392" i="17" s="1"/>
  <c r="Q374" i="17"/>
  <c r="X374" i="17"/>
  <c r="R358" i="17"/>
  <c r="S358" i="17" s="1"/>
  <c r="Y358" i="17"/>
  <c r="R113" i="17"/>
  <c r="S113" i="17" s="1"/>
  <c r="R183" i="17"/>
  <c r="S183" i="17" s="1"/>
  <c r="Y183" i="17"/>
  <c r="R478" i="17"/>
  <c r="S478" i="17" s="1"/>
  <c r="Q174" i="17"/>
  <c r="X174" i="17"/>
  <c r="R416" i="17"/>
  <c r="S416" i="17" s="1"/>
  <c r="Y416" i="17"/>
  <c r="Q332" i="17"/>
  <c r="X332" i="17"/>
  <c r="Q241" i="17"/>
  <c r="Q293" i="17"/>
  <c r="R562" i="17"/>
  <c r="S562" i="17" s="1"/>
  <c r="Y562" i="17"/>
  <c r="Q197" i="17"/>
  <c r="X197" i="17"/>
  <c r="Q583" i="17"/>
  <c r="X583" i="17"/>
  <c r="R27" i="17"/>
  <c r="S27" i="17" s="1"/>
  <c r="Y27" i="17"/>
  <c r="R65" i="17"/>
  <c r="S65" i="17" s="1"/>
  <c r="Y65" i="17"/>
  <c r="Q364" i="17"/>
  <c r="X364" i="17"/>
  <c r="Q17" i="17"/>
  <c r="R223" i="17"/>
  <c r="S223" i="17" s="1"/>
  <c r="Y223" i="17"/>
  <c r="Q411" i="17"/>
  <c r="R377" i="17"/>
  <c r="S377" i="17" s="1"/>
  <c r="R254" i="17"/>
  <c r="S254" i="17" s="1"/>
  <c r="R337" i="17"/>
  <c r="S337" i="17" s="1"/>
  <c r="Y337" i="17"/>
  <c r="R34" i="17"/>
  <c r="S34" i="17" s="1"/>
  <c r="Y34" i="17"/>
  <c r="Q488" i="17"/>
  <c r="X488" i="17"/>
  <c r="Q82" i="17"/>
  <c r="R214" i="17"/>
  <c r="S214" i="17" s="1"/>
  <c r="Q29" i="17"/>
  <c r="X29" i="17"/>
  <c r="Q264" i="17"/>
  <c r="X264" i="17"/>
  <c r="Q243" i="17"/>
  <c r="X428" i="17"/>
  <c r="X494" i="17"/>
  <c r="Q289" i="17"/>
  <c r="X289" i="17"/>
  <c r="R598" i="17"/>
  <c r="S598" i="17" s="1"/>
  <c r="Q217" i="17"/>
  <c r="X217" i="17"/>
  <c r="Q141" i="17"/>
  <c r="X141" i="17"/>
  <c r="R21" i="17"/>
  <c r="S21" i="17" s="1"/>
  <c r="Y21" i="17"/>
  <c r="R204" i="17"/>
  <c r="S204" i="17" s="1"/>
  <c r="R301" i="17"/>
  <c r="S301" i="17" s="1"/>
  <c r="Y301" i="17"/>
  <c r="Q173" i="17"/>
  <c r="X173" i="17"/>
  <c r="Q68" i="17"/>
  <c r="X68" i="17"/>
  <c r="R302" i="17"/>
  <c r="S302" i="17" s="1"/>
  <c r="R280" i="17"/>
  <c r="S280" i="17" s="1"/>
  <c r="Y280" i="17"/>
  <c r="R96" i="17"/>
  <c r="S96" i="17" s="1"/>
  <c r="Y96" i="17"/>
  <c r="R44" i="17"/>
  <c r="S44" i="17" s="1"/>
  <c r="X247" i="17"/>
  <c r="Q247" i="17"/>
  <c r="Y146" i="17"/>
  <c r="R146" i="17"/>
  <c r="S146" i="17" s="1"/>
  <c r="R553" i="17"/>
  <c r="S553" i="17" s="1"/>
  <c r="Y553" i="17"/>
  <c r="R446" i="17"/>
  <c r="S446" i="17" s="1"/>
  <c r="Y446" i="17"/>
  <c r="R514" i="17"/>
  <c r="S514" i="17" s="1"/>
  <c r="Y514" i="17"/>
  <c r="Y228" i="17"/>
  <c r="R228" i="17"/>
  <c r="S228" i="17" s="1"/>
  <c r="R62" i="17"/>
  <c r="S62" i="17" s="1"/>
  <c r="Y62" i="17"/>
  <c r="Q265" i="17"/>
  <c r="Q240" i="17"/>
  <c r="X240" i="17"/>
  <c r="Y239" i="17"/>
  <c r="R239" i="17"/>
  <c r="S239" i="17" s="1"/>
  <c r="Y60" i="17"/>
  <c r="R60" i="17"/>
  <c r="S60" i="17" s="1"/>
  <c r="R263" i="17"/>
  <c r="S263" i="17" s="1"/>
  <c r="Y263" i="17"/>
  <c r="Q109" i="17"/>
  <c r="Y166" i="17"/>
  <c r="R166" i="17"/>
  <c r="S166" i="17" s="1"/>
  <c r="Y386" i="17"/>
  <c r="R386" i="17"/>
  <c r="S386" i="17" s="1"/>
  <c r="R136" i="17"/>
  <c r="S136" i="17" s="1"/>
  <c r="Y136" i="17"/>
  <c r="Q577" i="17"/>
  <c r="X577" i="17"/>
  <c r="Q597" i="17"/>
  <c r="X597" i="17"/>
  <c r="R556" i="17"/>
  <c r="S556" i="17" s="1"/>
  <c r="R495" i="17"/>
  <c r="S495" i="17" s="1"/>
  <c r="Y495" i="17"/>
  <c r="R97" i="17"/>
  <c r="S97" i="17" s="1"/>
  <c r="Q448" i="17"/>
  <c r="Q449" i="17"/>
  <c r="X449" i="17"/>
  <c r="Q278" i="17"/>
  <c r="Q330" i="17"/>
  <c r="X330" i="17"/>
  <c r="R330" i="17"/>
  <c r="S330" i="17" s="1"/>
  <c r="R258" i="17"/>
  <c r="S258" i="17" s="1"/>
  <c r="Y258" i="17"/>
  <c r="R233" i="17"/>
  <c r="S233" i="17" s="1"/>
  <c r="Y233" i="17"/>
  <c r="Q231" i="17"/>
  <c r="X231" i="17"/>
  <c r="Q382" i="17"/>
  <c r="X382" i="17"/>
  <c r="R444" i="17"/>
  <c r="S444" i="17" s="1"/>
  <c r="Y444" i="17"/>
  <c r="Q419" i="17"/>
  <c r="Q342" i="17"/>
  <c r="X342" i="17"/>
  <c r="Q60" i="17"/>
  <c r="X60" i="17"/>
  <c r="Q333" i="17"/>
  <c r="X333" i="17"/>
  <c r="R356" i="17"/>
  <c r="S356" i="17" s="1"/>
  <c r="R468" i="17"/>
  <c r="S468" i="17" s="1"/>
  <c r="Y468" i="17"/>
  <c r="Q551" i="17"/>
  <c r="X551" i="17"/>
  <c r="R256" i="17"/>
  <c r="S256" i="17" s="1"/>
  <c r="Y256" i="17"/>
  <c r="Q34" i="17"/>
  <c r="X34" i="17"/>
  <c r="R298" i="17"/>
  <c r="S298" i="17" s="1"/>
  <c r="Y298" i="17"/>
  <c r="Q205" i="17"/>
  <c r="X205" i="17"/>
  <c r="Q30" i="17"/>
  <c r="X30" i="17"/>
  <c r="Q226" i="17"/>
  <c r="Q489" i="17"/>
  <c r="X489" i="17"/>
  <c r="R72" i="17"/>
  <c r="S72" i="17" s="1"/>
  <c r="Y72" i="17"/>
  <c r="R49" i="17"/>
  <c r="S49" i="17" s="1"/>
  <c r="Y49" i="17"/>
  <c r="R608" i="17"/>
  <c r="S608" i="17" s="1"/>
  <c r="Y608" i="17"/>
  <c r="Q518" i="17"/>
  <c r="X518" i="17"/>
  <c r="Q252" i="17"/>
  <c r="R422" i="17"/>
  <c r="S422" i="17" s="1"/>
  <c r="Y345" i="17"/>
  <c r="Y327" i="17"/>
  <c r="X271" i="17"/>
  <c r="O624" i="17"/>
  <c r="M624" i="17"/>
  <c r="I624" i="17"/>
  <c r="F624" i="17"/>
  <c r="J624" i="17"/>
  <c r="E624" i="17"/>
  <c r="N624" i="17"/>
  <c r="K624" i="17"/>
  <c r="L624" i="17"/>
  <c r="P624" i="17"/>
  <c r="C624" i="17"/>
  <c r="D624" i="17"/>
  <c r="R474" i="17"/>
  <c r="S474" i="17" s="1"/>
  <c r="Y474" i="17"/>
  <c r="R318" i="17"/>
  <c r="S318" i="17" s="1"/>
  <c r="Y318" i="17"/>
  <c r="R420" i="17"/>
  <c r="S420" i="17" s="1"/>
  <c r="Y420" i="17"/>
  <c r="R432" i="17"/>
  <c r="S432" i="17" s="1"/>
  <c r="Y432" i="17"/>
  <c r="Q609" i="17"/>
  <c r="R95" i="17"/>
  <c r="S95" i="17" s="1"/>
  <c r="Q497" i="17"/>
  <c r="X497" i="17"/>
  <c r="R575" i="17"/>
  <c r="S575" i="17" s="1"/>
  <c r="Y575" i="17"/>
  <c r="Q158" i="17"/>
  <c r="X158" i="17"/>
  <c r="R603" i="17"/>
  <c r="S603" i="17" s="1"/>
  <c r="Y603" i="17"/>
  <c r="Y502" i="17"/>
  <c r="R502" i="17"/>
  <c r="S502" i="17" s="1"/>
  <c r="Y257" i="17"/>
  <c r="R257" i="17"/>
  <c r="S257" i="17" s="1"/>
  <c r="Y94" i="17"/>
  <c r="R94" i="17"/>
  <c r="S94" i="17" s="1"/>
  <c r="R334" i="17"/>
  <c r="S334" i="17" s="1"/>
  <c r="R242" i="17"/>
  <c r="S242" i="17" s="1"/>
  <c r="Y242" i="17"/>
  <c r="X253" i="17"/>
  <c r="Q253" i="17"/>
  <c r="R396" i="17"/>
  <c r="S396" i="17" s="1"/>
  <c r="X391" i="17"/>
  <c r="Q391" i="17"/>
  <c r="R623" i="17"/>
  <c r="S623" i="17" s="1"/>
  <c r="Q548" i="17"/>
  <c r="X548" i="17"/>
  <c r="Y516" i="17"/>
  <c r="R516" i="17"/>
  <c r="S516" i="17" s="1"/>
  <c r="R482" i="17"/>
  <c r="S482" i="17" s="1"/>
  <c r="X222" i="17"/>
  <c r="Q222" i="17"/>
  <c r="Q312" i="17"/>
  <c r="X312" i="17"/>
  <c r="R507" i="17"/>
  <c r="S507" i="17" s="1"/>
  <c r="Y507" i="17"/>
  <c r="Q229" i="17"/>
  <c r="R303" i="17"/>
  <c r="S303" i="17" s="1"/>
  <c r="Y303" i="17"/>
  <c r="X90" i="17"/>
  <c r="Q90" i="17"/>
  <c r="R221" i="17"/>
  <c r="S221" i="17" s="1"/>
  <c r="R305" i="17"/>
  <c r="S305" i="17" s="1"/>
  <c r="Y305" i="17"/>
  <c r="R37" i="17"/>
  <c r="S37" i="17" s="1"/>
  <c r="Y37" i="17"/>
  <c r="R155" i="17"/>
  <c r="S155" i="17" s="1"/>
  <c r="Y155" i="17"/>
  <c r="Q83" i="17"/>
  <c r="R429" i="17"/>
  <c r="S429" i="17" s="1"/>
  <c r="Y429" i="17"/>
  <c r="Q398" i="17"/>
  <c r="Q415" i="17"/>
  <c r="X415" i="17"/>
  <c r="Q573" i="17"/>
  <c r="X573" i="17"/>
  <c r="R317" i="17"/>
  <c r="S317" i="17" s="1"/>
  <c r="Y317" i="17"/>
  <c r="Q200" i="17"/>
  <c r="X200" i="17"/>
  <c r="Q288" i="17"/>
  <c r="X288" i="17"/>
  <c r="R342" i="17"/>
  <c r="S342" i="17" s="1"/>
  <c r="Q58" i="17"/>
  <c r="X58" i="17"/>
  <c r="Q457" i="17"/>
  <c r="R270" i="17"/>
  <c r="S270" i="17" s="1"/>
  <c r="Y270" i="17"/>
  <c r="R222" i="17"/>
  <c r="S222" i="17" s="1"/>
  <c r="Y222" i="17"/>
  <c r="Q282" i="17"/>
  <c r="X282" i="17"/>
  <c r="Q84" i="17"/>
  <c r="X84" i="17"/>
  <c r="R118" i="17"/>
  <c r="S118" i="17" s="1"/>
  <c r="Y118" i="17"/>
  <c r="R542" i="17"/>
  <c r="S542" i="17" s="1"/>
  <c r="Y542" i="17"/>
  <c r="Q455" i="17"/>
  <c r="X455" i="17"/>
  <c r="Q51" i="17"/>
  <c r="X51" i="17"/>
  <c r="R208" i="17"/>
  <c r="S208" i="17" s="1"/>
  <c r="Q181" i="17"/>
  <c r="X181" i="17"/>
  <c r="Q340" i="17"/>
  <c r="X340" i="17"/>
  <c r="R613" i="17"/>
  <c r="S613" i="17" s="1"/>
  <c r="Y613" i="17"/>
  <c r="Q341" i="17"/>
  <c r="X341" i="17"/>
  <c r="Q232" i="17"/>
  <c r="R76" i="17"/>
  <c r="S76" i="17" s="1"/>
  <c r="Y76" i="17"/>
  <c r="R281" i="17"/>
  <c r="S281" i="17" s="1"/>
  <c r="Q75" i="17"/>
  <c r="X75" i="17"/>
  <c r="R269" i="17"/>
  <c r="S269" i="17" s="1"/>
  <c r="Y592" i="17"/>
  <c r="R592" i="17"/>
  <c r="S592" i="17" s="1"/>
  <c r="Q479" i="17"/>
  <c r="X234" i="17"/>
  <c r="Q234" i="17"/>
  <c r="Q399" i="17"/>
  <c r="X399" i="17"/>
  <c r="R156" i="17"/>
  <c r="S156" i="17" s="1"/>
  <c r="Q601" i="17"/>
  <c r="X601" i="17"/>
  <c r="Q508" i="17"/>
  <c r="R197" i="17"/>
  <c r="S197" i="17" s="1"/>
  <c r="Y197" i="17"/>
  <c r="Y487" i="17"/>
  <c r="R487" i="17"/>
  <c r="S487" i="17" s="1"/>
  <c r="R394" i="17"/>
  <c r="S394" i="17" s="1"/>
  <c r="Y394" i="17"/>
  <c r="Y306" i="17"/>
  <c r="R306" i="17"/>
  <c r="S306" i="17" s="1"/>
  <c r="Q590" i="17"/>
  <c r="X590" i="17"/>
  <c r="X230" i="17"/>
  <c r="Q230" i="17"/>
  <c r="R628" i="17"/>
  <c r="S628" i="17" s="1"/>
  <c r="X348" i="17"/>
  <c r="Q348" i="17"/>
  <c r="Q482" i="17"/>
  <c r="X482" i="17"/>
  <c r="X480" i="17"/>
  <c r="Q480" i="17"/>
  <c r="X108" i="17"/>
  <c r="Q108" i="17"/>
  <c r="Q431" i="17"/>
  <c r="X219" i="17"/>
  <c r="Q219" i="17"/>
  <c r="R199" i="17"/>
  <c r="S199" i="17" s="1"/>
  <c r="Y199" i="17"/>
  <c r="X425" i="17"/>
  <c r="Q425" i="17"/>
  <c r="R231" i="17"/>
  <c r="S231" i="17" s="1"/>
  <c r="Y596" i="17"/>
  <c r="R596" i="17"/>
  <c r="S596" i="17" s="1"/>
  <c r="Q193" i="17"/>
  <c r="Q375" i="17"/>
  <c r="X375" i="17"/>
  <c r="Q41" i="17"/>
  <c r="X41" i="17"/>
  <c r="R467" i="17"/>
  <c r="S467" i="17" s="1"/>
  <c r="Y467" i="17"/>
  <c r="Q27" i="17"/>
  <c r="X27" i="17"/>
  <c r="R24" i="17"/>
  <c r="S24" i="17" s="1"/>
  <c r="Y24" i="17"/>
  <c r="Q547" i="17"/>
  <c r="X547" i="17"/>
  <c r="Q72" i="17"/>
  <c r="X72" i="17"/>
  <c r="Q416" i="17"/>
  <c r="X416" i="17"/>
  <c r="R541" i="17"/>
  <c r="S541" i="17" s="1"/>
  <c r="Y541" i="17"/>
  <c r="R485" i="17"/>
  <c r="S485" i="17" s="1"/>
  <c r="Q225" i="17"/>
  <c r="X225" i="17"/>
  <c r="Q315" i="17"/>
  <c r="X315" i="17"/>
  <c r="R434" i="17"/>
  <c r="S434" i="17" s="1"/>
  <c r="Y434" i="17"/>
  <c r="R248" i="17"/>
  <c r="S248" i="17" s="1"/>
  <c r="Q266" i="17"/>
  <c r="X266" i="17"/>
  <c r="Q481" i="17"/>
  <c r="R590" i="17"/>
  <c r="S590" i="17" s="1"/>
  <c r="Y590" i="17"/>
  <c r="Q322" i="17"/>
  <c r="X322" i="17"/>
  <c r="R186" i="17"/>
  <c r="S186" i="17" s="1"/>
  <c r="R586" i="17"/>
  <c r="S586" i="17" s="1"/>
  <c r="R366" i="17"/>
  <c r="S366" i="17" s="1"/>
  <c r="Y366" i="17"/>
  <c r="Q204" i="17"/>
  <c r="X204" i="17"/>
  <c r="Q584" i="17"/>
  <c r="X584" i="17"/>
  <c r="R544" i="17"/>
  <c r="S544" i="17" s="1"/>
  <c r="Y544" i="17"/>
  <c r="Q251" i="17"/>
  <c r="X251" i="17"/>
  <c r="Q523" i="17"/>
  <c r="X523" i="17"/>
  <c r="R274" i="17"/>
  <c r="S274" i="17" s="1"/>
  <c r="Y274" i="17"/>
  <c r="Q558" i="17"/>
  <c r="X558" i="17"/>
  <c r="Q528" i="17"/>
  <c r="R428" i="17"/>
  <c r="S428" i="17" s="1"/>
  <c r="R406" i="17"/>
  <c r="S406" i="17" s="1"/>
  <c r="Y406" i="17"/>
  <c r="X42" i="17"/>
  <c r="R567" i="17"/>
  <c r="S567" i="17" s="1"/>
  <c r="Y567" i="17"/>
  <c r="R471" i="17"/>
  <c r="S471" i="17" s="1"/>
  <c r="R25" i="17"/>
  <c r="S25" i="17" s="1"/>
  <c r="Y25" i="17"/>
  <c r="Q328" i="17"/>
  <c r="X328" i="17"/>
  <c r="R200" i="17"/>
  <c r="S200" i="17" s="1"/>
  <c r="Q432" i="17"/>
  <c r="X432" i="17"/>
  <c r="Q498" i="17"/>
  <c r="R251" i="17"/>
  <c r="S251" i="17" s="1"/>
  <c r="Y251" i="17"/>
  <c r="R333" i="17"/>
  <c r="S333" i="17" s="1"/>
  <c r="R554" i="17"/>
  <c r="S554" i="17" s="1"/>
  <c r="Y554" i="17"/>
  <c r="Y588" i="17"/>
  <c r="R588" i="17"/>
  <c r="S588" i="17" s="1"/>
  <c r="Y331" i="17"/>
  <c r="R331" i="17"/>
  <c r="S331" i="17" s="1"/>
  <c r="Q191" i="17"/>
  <c r="X191" i="17"/>
  <c r="R336" i="17"/>
  <c r="S336" i="17" s="1"/>
  <c r="Y336" i="17"/>
  <c r="Y424" i="17"/>
  <c r="R424" i="17"/>
  <c r="S424" i="17" s="1"/>
  <c r="R55" i="17"/>
  <c r="S55" i="17" s="1"/>
  <c r="Y55" i="17"/>
  <c r="X221" i="17"/>
  <c r="Q221" i="17"/>
  <c r="R133" i="17"/>
  <c r="S133" i="17" s="1"/>
  <c r="Y133" i="17"/>
  <c r="R262" i="17"/>
  <c r="S262" i="17" s="1"/>
  <c r="Y262" i="17"/>
  <c r="Y503" i="17"/>
  <c r="R503" i="17"/>
  <c r="S503" i="17" s="1"/>
  <c r="Y501" i="17"/>
  <c r="R501" i="17"/>
  <c r="S501" i="17" s="1"/>
  <c r="Y106" i="17"/>
  <c r="R106" i="17"/>
  <c r="S106" i="17" s="1"/>
  <c r="Q450" i="17"/>
  <c r="X450" i="17"/>
  <c r="Y232" i="17"/>
  <c r="R232" i="17"/>
  <c r="S232" i="17" s="1"/>
  <c r="Q392" i="17"/>
  <c r="X392" i="17"/>
  <c r="X376" i="17"/>
  <c r="Q376" i="17"/>
  <c r="Y70" i="17"/>
  <c r="R70" i="17"/>
  <c r="S70" i="17" s="1"/>
  <c r="R475" i="17"/>
  <c r="S475" i="17" s="1"/>
  <c r="X223" i="17"/>
  <c r="Q223" i="17"/>
  <c r="R558" i="17"/>
  <c r="S558" i="17" s="1"/>
  <c r="R190" i="17"/>
  <c r="S190" i="17" s="1"/>
  <c r="Q405" i="17"/>
  <c r="Q329" i="17"/>
  <c r="Q476" i="17"/>
  <c r="X476" i="17"/>
  <c r="R583" i="17"/>
  <c r="S583" i="17" s="1"/>
  <c r="Q446" i="17"/>
  <c r="X446" i="17"/>
  <c r="R99" i="17"/>
  <c r="S99" i="17" s="1"/>
  <c r="Y99" i="17"/>
  <c r="R68" i="17"/>
  <c r="S68" i="17" s="1"/>
  <c r="Q353" i="17"/>
  <c r="X353" i="17"/>
  <c r="Q326" i="17"/>
  <c r="X326" i="17"/>
  <c r="Q254" i="17"/>
  <c r="R453" i="17"/>
  <c r="S453" i="17" s="1"/>
  <c r="Q388" i="17"/>
  <c r="R300" i="17"/>
  <c r="S300" i="17" s="1"/>
  <c r="Y300" i="17"/>
  <c r="R33" i="17"/>
  <c r="S33" i="17" s="1"/>
  <c r="Q164" i="17"/>
  <c r="X164" i="17"/>
  <c r="Q216" i="17"/>
  <c r="X216" i="17"/>
  <c r="Q565" i="17"/>
  <c r="X565" i="17"/>
  <c r="R436" i="17"/>
  <c r="S436" i="17" s="1"/>
  <c r="R465" i="17"/>
  <c r="S465" i="17" s="1"/>
  <c r="Y465" i="17"/>
  <c r="R110" i="17"/>
  <c r="S110" i="17" s="1"/>
  <c r="Y110" i="17"/>
  <c r="Q81" i="17"/>
  <c r="R267" i="17"/>
  <c r="S267" i="17" s="1"/>
  <c r="Y267" i="17"/>
  <c r="R169" i="17"/>
  <c r="S169" i="17" s="1"/>
  <c r="Y169" i="17"/>
  <c r="R326" i="17"/>
  <c r="S326" i="17" s="1"/>
  <c r="Y326" i="17"/>
  <c r="Q538" i="17"/>
  <c r="X538" i="17"/>
  <c r="X421" i="17"/>
  <c r="Y157" i="17"/>
  <c r="R82" i="17"/>
  <c r="S82" i="17" s="1"/>
  <c r="Q135" i="17"/>
  <c r="Q403" i="17"/>
  <c r="Q443" i="17"/>
  <c r="Q511" i="17"/>
  <c r="Q509" i="17"/>
  <c r="R198" i="17"/>
  <c r="S198" i="17" s="1"/>
  <c r="Q395" i="17"/>
  <c r="Y82" i="17"/>
  <c r="Q428" i="17"/>
  <c r="Q494" i="17"/>
  <c r="Q162" i="17"/>
  <c r="Q367" i="17"/>
  <c r="Q69" i="17"/>
  <c r="X243" i="17"/>
  <c r="R345" i="17"/>
  <c r="S345" i="17" s="1"/>
  <c r="Q104" i="17"/>
  <c r="R327" i="17"/>
  <c r="S327" i="17" s="1"/>
  <c r="Q147" i="17"/>
  <c r="R458" i="17"/>
  <c r="S458" i="17" s="1"/>
  <c r="Q313" i="17"/>
  <c r="Q271" i="17"/>
  <c r="Q292" i="17"/>
  <c r="R381" i="17"/>
  <c r="S381" i="17" s="1"/>
  <c r="Q140" i="17"/>
  <c r="Q269" i="17"/>
  <c r="Y438" i="17"/>
  <c r="Y381" i="17"/>
  <c r="Q20" i="17"/>
  <c r="R577" i="17"/>
  <c r="S577" i="17" s="1"/>
  <c r="R385" i="17"/>
  <c r="S385" i="17" s="1"/>
  <c r="R108" i="17"/>
  <c r="S108" i="17" s="1"/>
  <c r="Q579" i="17"/>
  <c r="Q379" i="17"/>
  <c r="Q442" i="17"/>
  <c r="R64" i="17"/>
  <c r="S64" i="17" s="1"/>
  <c r="Q142" i="17"/>
  <c r="Q582" i="17"/>
  <c r="R86" i="17"/>
  <c r="S86" i="17" s="1"/>
  <c r="Q604" i="17"/>
  <c r="R98" i="17"/>
  <c r="S98" i="17" s="1"/>
  <c r="R601" i="17"/>
  <c r="S601" i="17" s="1"/>
  <c r="Q575" i="17"/>
  <c r="Q404" i="17"/>
  <c r="Q373" i="17"/>
  <c r="Q47" i="17"/>
  <c r="R255" i="17"/>
  <c r="S255" i="17" s="1"/>
  <c r="Q161" i="17"/>
  <c r="Q599" i="17"/>
  <c r="Q324" i="17"/>
  <c r="Q255" i="17"/>
  <c r="Q262" i="17"/>
  <c r="Q38" i="17"/>
  <c r="Q418" i="17"/>
  <c r="Q486" i="17"/>
  <c r="R512" i="17"/>
  <c r="S512" i="17" s="1"/>
  <c r="Q273" i="17"/>
  <c r="R538" i="17"/>
  <c r="S538" i="17" s="1"/>
  <c r="Q454" i="17"/>
  <c r="Q42" i="17"/>
  <c r="Y86" i="17"/>
  <c r="R580" i="17"/>
  <c r="S580" i="17" s="1"/>
  <c r="Q490" i="17"/>
  <c r="Q447" i="17"/>
  <c r="Q421" i="17"/>
  <c r="R566" i="17"/>
  <c r="S566" i="17" s="1"/>
  <c r="R116" i="17"/>
  <c r="S116" i="17" s="1"/>
  <c r="Q400" i="17"/>
  <c r="Q546" i="17"/>
  <c r="R157" i="17"/>
  <c r="S157" i="17" s="1"/>
  <c r="R209" i="17"/>
  <c r="S209" i="17" s="1"/>
  <c r="Q343" i="17"/>
  <c r="R536" i="17"/>
  <c r="S536" i="17" s="1"/>
  <c r="Q467" i="17"/>
  <c r="R121" i="17"/>
  <c r="S121" i="17" s="1"/>
  <c r="Q71" i="17"/>
  <c r="R81" i="17"/>
  <c r="S81" i="17" s="1"/>
  <c r="Q521" i="17"/>
  <c r="R114" i="17"/>
  <c r="S114" i="17" s="1"/>
  <c r="R224" i="17"/>
  <c r="S224" i="17" s="1"/>
  <c r="R219" i="17"/>
  <c r="S219" i="17" s="1"/>
  <c r="X140" i="17"/>
  <c r="X367" i="17"/>
  <c r="X467" i="17"/>
  <c r="X486" i="17"/>
  <c r="X599" i="17"/>
  <c r="R171" i="17"/>
  <c r="S171" i="17" s="1"/>
  <c r="R339" i="17"/>
  <c r="S339" i="17" s="1"/>
  <c r="R75" i="17"/>
  <c r="S75" i="17" s="1"/>
  <c r="Q49" i="17"/>
  <c r="Q194" i="17"/>
  <c r="R551" i="17"/>
  <c r="S551" i="17" s="1"/>
  <c r="R380" i="17"/>
  <c r="S380" i="17" s="1"/>
  <c r="R397" i="17"/>
  <c r="S397" i="17" s="1"/>
  <c r="R548" i="17"/>
  <c r="S548" i="17" s="1"/>
  <c r="Q117" i="17"/>
  <c r="Q296" i="17"/>
  <c r="R165" i="17"/>
  <c r="S165" i="17" s="1"/>
  <c r="R398" i="17"/>
  <c r="S398" i="17" s="1"/>
  <c r="Q294" i="17"/>
  <c r="Q519" i="17"/>
  <c r="R109" i="17"/>
  <c r="S109" i="17" s="1"/>
  <c r="Q371" i="17"/>
  <c r="Q118" i="17"/>
  <c r="R162" i="17"/>
  <c r="S162" i="17" s="1"/>
  <c r="R599" i="17"/>
  <c r="S599" i="17" s="1"/>
  <c r="R253" i="17"/>
  <c r="S253" i="17" s="1"/>
  <c r="R175" i="17"/>
  <c r="S175" i="17" s="1"/>
  <c r="R194" i="17"/>
  <c r="S194" i="17" s="1"/>
  <c r="Q250" i="17"/>
  <c r="X521" i="17"/>
  <c r="X262" i="17"/>
  <c r="Y162" i="17"/>
  <c r="Q215" i="17"/>
  <c r="Q272" i="17"/>
  <c r="Q591" i="17"/>
  <c r="R537" i="17"/>
  <c r="S537" i="17" s="1"/>
  <c r="Q169" i="17"/>
  <c r="Q440" i="17"/>
  <c r="Q57" i="17"/>
  <c r="R412" i="17"/>
  <c r="S412" i="17" s="1"/>
  <c r="R284" i="17"/>
  <c r="S284" i="17" s="1"/>
  <c r="R291" i="17"/>
  <c r="S291" i="17" s="1"/>
  <c r="R568" i="17"/>
  <c r="S568" i="17" s="1"/>
  <c r="Q487" i="17"/>
  <c r="R93" i="17"/>
  <c r="S93" i="17" s="1"/>
  <c r="R283" i="17"/>
  <c r="S283" i="17" s="1"/>
  <c r="Q56" i="17"/>
  <c r="Q94" i="17"/>
  <c r="Q500" i="17"/>
  <c r="R433" i="17"/>
  <c r="S433" i="17" s="1"/>
  <c r="R18" i="17"/>
  <c r="S18" i="17" s="1"/>
  <c r="R570" i="17"/>
  <c r="S570" i="17" s="1"/>
  <c r="Q368" i="17"/>
  <c r="Q515" i="17"/>
  <c r="Q453" i="17"/>
  <c r="Q192" i="17"/>
  <c r="Q352" i="17"/>
  <c r="R439" i="17"/>
  <c r="S439" i="17" s="1"/>
  <c r="Q257" i="17"/>
  <c r="Q224" i="17"/>
  <c r="Q202" i="17"/>
  <c r="X147" i="17"/>
  <c r="Y219" i="17"/>
  <c r="Q302" i="17"/>
  <c r="U302" i="17" s="1"/>
  <c r="Q175" i="17"/>
  <c r="Q349" i="17"/>
  <c r="R212" i="17"/>
  <c r="S212" i="17" s="1"/>
  <c r="R427" i="17"/>
  <c r="S427" i="17" s="1"/>
  <c r="Q62" i="17"/>
  <c r="Q473" i="17"/>
  <c r="R407" i="17"/>
  <c r="S407" i="17" s="1"/>
  <c r="Q201" i="17"/>
  <c r="R370" i="17"/>
  <c r="S370" i="17" s="1"/>
  <c r="R490" i="17"/>
  <c r="S490" i="17" s="1"/>
  <c r="Q236" i="17"/>
  <c r="Q86" i="17"/>
  <c r="R16" i="17"/>
  <c r="S16" i="17" s="1"/>
  <c r="R26" i="17"/>
  <c r="S26" i="17" s="1"/>
  <c r="R141" i="17"/>
  <c r="S141" i="17" s="1"/>
  <c r="Q77" i="17"/>
  <c r="R455" i="17"/>
  <c r="S455" i="17" s="1"/>
  <c r="R494" i="17"/>
  <c r="S494" i="17" s="1"/>
  <c r="R17" i="17"/>
  <c r="S17" i="17" s="1"/>
  <c r="Q510" i="17"/>
  <c r="R115" i="17"/>
  <c r="S115" i="17" s="1"/>
  <c r="R462" i="17"/>
  <c r="S462" i="17" s="1"/>
  <c r="Q529" i="17"/>
  <c r="Q381" i="17"/>
  <c r="R205" i="17"/>
  <c r="S205" i="17" s="1"/>
  <c r="R500" i="17"/>
  <c r="S500" i="17" s="1"/>
  <c r="R498" i="17"/>
  <c r="S498" i="17" s="1"/>
  <c r="R359" i="17"/>
  <c r="S359" i="17" s="1"/>
  <c r="Y209" i="17"/>
  <c r="Y220" i="17"/>
  <c r="Y121" i="17"/>
  <c r="X20" i="17"/>
  <c r="Y397" i="17"/>
  <c r="Y548" i="17"/>
  <c r="R344" i="17"/>
  <c r="S344" i="17" s="1"/>
  <c r="Q554" i="17"/>
  <c r="Q427" i="17"/>
  <c r="Q526" i="17"/>
  <c r="R226" i="17"/>
  <c r="S226" i="17" s="1"/>
  <c r="R150" i="17"/>
  <c r="S150" i="17" s="1"/>
  <c r="R488" i="17"/>
  <c r="S488" i="17" s="1"/>
  <c r="Q149" i="17"/>
  <c r="R604" i="17"/>
  <c r="S604" i="17" s="1"/>
  <c r="Q459" i="17"/>
  <c r="R526" i="17"/>
  <c r="S526" i="17" s="1"/>
  <c r="Q505" i="17"/>
  <c r="R84" i="17"/>
  <c r="S84" i="17" s="1"/>
  <c r="Q387" i="17"/>
  <c r="R491" i="17"/>
  <c r="S491" i="17" s="1"/>
  <c r="R167" i="17"/>
  <c r="S167" i="17" s="1"/>
  <c r="R460" i="17"/>
  <c r="S460" i="17" s="1"/>
  <c r="R401" i="17"/>
  <c r="S401" i="17" s="1"/>
  <c r="R285" i="17"/>
  <c r="S285" i="17" s="1"/>
  <c r="Q337" i="17"/>
  <c r="Q299" i="17"/>
  <c r="R369" i="17"/>
  <c r="S369" i="17" s="1"/>
  <c r="Q351" i="17"/>
  <c r="R104" i="17"/>
  <c r="S104" i="17" s="1"/>
  <c r="Q358" i="17"/>
  <c r="Q555" i="17"/>
  <c r="Q276" i="17"/>
  <c r="Q514" i="17"/>
  <c r="Q316" i="17"/>
  <c r="R311" i="17"/>
  <c r="S311" i="17" s="1"/>
  <c r="R92" i="17"/>
  <c r="S92" i="17" s="1"/>
  <c r="R578" i="17"/>
  <c r="S578" i="17" s="1"/>
  <c r="Q439" i="17"/>
  <c r="Q187" i="17"/>
  <c r="Q88" i="17"/>
  <c r="X515" i="17"/>
  <c r="Y498" i="17"/>
  <c r="X379" i="17"/>
  <c r="X532" i="17"/>
  <c r="X88" i="17"/>
  <c r="Y460" i="17"/>
  <c r="Y75" i="17"/>
  <c r="Y285" i="17"/>
  <c r="X604" i="17"/>
  <c r="X439" i="17"/>
  <c r="Y494" i="17"/>
  <c r="R481" i="17"/>
  <c r="S481" i="17" s="1"/>
  <c r="R585" i="17"/>
  <c r="S585" i="17" s="1"/>
  <c r="Q275" i="17"/>
  <c r="Q196" i="17"/>
  <c r="Q256" i="17"/>
  <c r="R271" i="17"/>
  <c r="S271" i="17" s="1"/>
  <c r="R399" i="17"/>
  <c r="S399" i="17" s="1"/>
  <c r="R492" i="17"/>
  <c r="S492" i="17" s="1"/>
  <c r="Q101" i="17"/>
  <c r="R182" i="17"/>
  <c r="S182" i="17" s="1"/>
  <c r="R139" i="17"/>
  <c r="S139" i="17" s="1"/>
  <c r="Q172" i="17"/>
  <c r="Q441" i="17"/>
  <c r="Q600" i="17"/>
  <c r="Q495" i="17"/>
  <c r="Q32" i="17"/>
  <c r="R509" i="17"/>
  <c r="S509" i="17" s="1"/>
  <c r="Q153" i="17"/>
  <c r="Q465" i="17"/>
  <c r="R524" i="17"/>
  <c r="S524" i="17" s="1"/>
  <c r="Q159" i="17"/>
  <c r="R387" i="17"/>
  <c r="S387" i="17" s="1"/>
  <c r="R88" i="17"/>
  <c r="S88" i="17" s="1"/>
  <c r="R249" i="17"/>
  <c r="S249" i="17" s="1"/>
  <c r="Q154" i="17"/>
  <c r="R142" i="17"/>
  <c r="S142" i="17" s="1"/>
  <c r="R321" i="17"/>
  <c r="S321" i="17" s="1"/>
  <c r="R230" i="17"/>
  <c r="S230" i="17" s="1"/>
  <c r="R346" i="17"/>
  <c r="S346" i="17" s="1"/>
  <c r="R120" i="17"/>
  <c r="S120" i="17" s="1"/>
  <c r="Q138" i="17"/>
  <c r="Q13" i="17"/>
  <c r="U13" i="17" s="1"/>
  <c r="R463" i="17"/>
  <c r="S463" i="17" s="1"/>
  <c r="Q483" i="17"/>
  <c r="R535" i="17"/>
  <c r="S535" i="17" s="1"/>
  <c r="Y455" i="17"/>
  <c r="Y142" i="17"/>
  <c r="Y84" i="17"/>
  <c r="X509" i="17"/>
  <c r="X500" i="17"/>
  <c r="X600" i="17"/>
  <c r="X352" i="17"/>
  <c r="X71" i="17"/>
  <c r="Y64" i="17"/>
  <c r="Q203" i="17"/>
  <c r="X168" i="17"/>
  <c r="Q168" i="17"/>
  <c r="R273" i="17"/>
  <c r="S273" i="17" s="1"/>
  <c r="Q107" i="17"/>
  <c r="Q170" i="17"/>
  <c r="R519" i="17"/>
  <c r="S519" i="17" s="1"/>
  <c r="R45" i="17"/>
  <c r="S45" i="17" s="1"/>
  <c r="R388" i="17"/>
  <c r="S388" i="17" s="1"/>
  <c r="Q445" i="17"/>
  <c r="Q469" i="17"/>
  <c r="R545" i="17"/>
  <c r="S545" i="17" s="1"/>
  <c r="R497" i="17"/>
  <c r="S497" i="17" s="1"/>
  <c r="R466" i="17"/>
  <c r="S466" i="17" s="1"/>
  <c r="Q297" i="17"/>
  <c r="R443" i="17"/>
  <c r="S443" i="17" s="1"/>
  <c r="R137" i="17"/>
  <c r="S137" i="17" s="1"/>
  <c r="Q237" i="17"/>
  <c r="Q335" i="17"/>
  <c r="Q298" i="17"/>
  <c r="Q61" i="17"/>
  <c r="R626" i="17"/>
  <c r="S626" i="17" s="1"/>
  <c r="R29" i="17"/>
  <c r="S29" i="17" s="1"/>
  <c r="Q146" i="17"/>
  <c r="Q80" i="17"/>
  <c r="R343" i="17"/>
  <c r="S343" i="17" s="1"/>
  <c r="Q578" i="17"/>
  <c r="Q407" i="17"/>
  <c r="Q87" i="17"/>
  <c r="Q363" i="17"/>
  <c r="Q113" i="17"/>
  <c r="Q54" i="17"/>
  <c r="R374" i="17"/>
  <c r="S374" i="17" s="1"/>
  <c r="R290" i="17"/>
  <c r="S290" i="17" s="1"/>
  <c r="X245" i="17"/>
  <c r="Q245" i="17"/>
  <c r="Q249" i="17"/>
  <c r="Q131" i="17"/>
  <c r="R117" i="17"/>
  <c r="S117" i="17" s="1"/>
  <c r="R83" i="17"/>
  <c r="S83" i="17" s="1"/>
  <c r="Q163" i="17"/>
  <c r="Q121" i="17"/>
  <c r="R158" i="17"/>
  <c r="S158" i="17" s="1"/>
  <c r="Q67" i="17"/>
  <c r="X202" i="17"/>
  <c r="X454" i="17"/>
  <c r="X38" i="17"/>
  <c r="Y150" i="17"/>
  <c r="Y343" i="17"/>
  <c r="X47" i="17"/>
  <c r="X32" i="17"/>
  <c r="X113" i="17"/>
  <c r="Y524" i="17"/>
  <c r="X196" i="17"/>
  <c r="Y427" i="17"/>
  <c r="Y212" i="17"/>
  <c r="Y374" i="17"/>
  <c r="Y545" i="17"/>
  <c r="Y255" i="17"/>
  <c r="Y401" i="17"/>
  <c r="Q412" i="17"/>
  <c r="Q466" i="17"/>
  <c r="R540" i="17"/>
  <c r="S540" i="17" s="1"/>
  <c r="Q552" i="17"/>
  <c r="Q148" i="17"/>
  <c r="Q110" i="17"/>
  <c r="R531" i="17"/>
  <c r="S531" i="17" s="1"/>
  <c r="R293" i="17"/>
  <c r="S293" i="17" s="1"/>
  <c r="R323" i="17"/>
  <c r="S323" i="17" s="1"/>
  <c r="R607" i="17"/>
  <c r="S607" i="17" s="1"/>
  <c r="Q124" i="17"/>
  <c r="Q36" i="17"/>
  <c r="R404" i="17"/>
  <c r="S404" i="17" s="1"/>
  <c r="R364" i="17"/>
  <c r="S364" i="17" s="1"/>
  <c r="Q111" i="17"/>
  <c r="R47" i="17"/>
  <c r="S47" i="17" s="1"/>
  <c r="R304" i="17"/>
  <c r="S304" i="17" s="1"/>
  <c r="Q308" i="17"/>
  <c r="R125" i="17"/>
  <c r="S125" i="17" s="1"/>
  <c r="Q31" i="17"/>
  <c r="R469" i="17"/>
  <c r="S469" i="17" s="1"/>
  <c r="R244" i="17"/>
  <c r="S244" i="17" s="1"/>
  <c r="R520" i="17"/>
  <c r="S520" i="17" s="1"/>
  <c r="R400" i="17"/>
  <c r="S400" i="17" s="1"/>
  <c r="R299" i="17"/>
  <c r="S299" i="17" s="1"/>
  <c r="R320" i="17"/>
  <c r="S320" i="17" s="1"/>
  <c r="Q179" i="17"/>
  <c r="Q537" i="17"/>
  <c r="X180" i="17"/>
  <c r="Q180" i="17"/>
  <c r="R352" i="17"/>
  <c r="S352" i="17" s="1"/>
  <c r="R447" i="17"/>
  <c r="S447" i="17" s="1"/>
  <c r="Q471" i="17"/>
  <c r="R48" i="17"/>
  <c r="S48" i="17" s="1"/>
  <c r="Q136" i="17"/>
  <c r="R287" i="17"/>
  <c r="S287" i="17" s="1"/>
  <c r="Q570" i="17"/>
  <c r="X118" i="17"/>
  <c r="X61" i="17"/>
  <c r="Y577" i="17"/>
  <c r="X335" i="17"/>
  <c r="X159" i="17"/>
  <c r="X579" i="17"/>
  <c r="X554" i="17"/>
  <c r="X269" i="17"/>
  <c r="Y443" i="17"/>
  <c r="X552" i="17"/>
  <c r="X69" i="17"/>
  <c r="X192" i="17"/>
  <c r="Y536" i="17"/>
  <c r="R149" i="17"/>
  <c r="S149" i="17" s="1"/>
  <c r="R278" i="17"/>
  <c r="S278" i="17" s="1"/>
  <c r="R160" i="17"/>
  <c r="S160" i="17" s="1"/>
  <c r="Q248" i="17"/>
  <c r="R418" i="17"/>
  <c r="S418" i="17" s="1"/>
  <c r="Q434" i="17"/>
  <c r="Q502" i="17"/>
  <c r="R312" i="17"/>
  <c r="S312" i="17" s="1"/>
  <c r="Q89" i="17"/>
  <c r="R22" i="17"/>
  <c r="S22" i="17" s="1"/>
  <c r="Q569" i="17"/>
  <c r="Q123" i="17"/>
  <c r="Q23" i="17"/>
  <c r="R534" i="17"/>
  <c r="S534" i="17" s="1"/>
  <c r="Q318" i="17"/>
  <c r="Q165" i="17"/>
  <c r="R350" i="17"/>
  <c r="S350" i="17" s="1"/>
  <c r="R53" i="17"/>
  <c r="S53" i="17" s="1"/>
  <c r="Q436" i="17"/>
  <c r="R91" i="17"/>
  <c r="S91" i="17" s="1"/>
  <c r="R52" i="17"/>
  <c r="S52" i="17" s="1"/>
  <c r="R187" i="17"/>
  <c r="S187" i="17" s="1"/>
  <c r="R28" i="17"/>
  <c r="S28" i="17" s="1"/>
  <c r="Q70" i="17"/>
  <c r="R437" i="17"/>
  <c r="S437" i="17" s="1"/>
  <c r="R505" i="17"/>
  <c r="S505" i="17" s="1"/>
  <c r="Q92" i="17"/>
  <c r="Q209" i="17"/>
  <c r="R555" i="17"/>
  <c r="S555" i="17" s="1"/>
  <c r="R473" i="17"/>
  <c r="S473" i="17" s="1"/>
  <c r="R600" i="17"/>
  <c r="S600" i="17" s="1"/>
  <c r="R610" i="17"/>
  <c r="S610" i="17" s="1"/>
  <c r="Q59" i="17"/>
  <c r="R529" i="17"/>
  <c r="S529" i="17" s="1"/>
  <c r="Q185" i="17"/>
  <c r="Q437" i="17"/>
  <c r="Y497" i="17"/>
  <c r="Y125" i="17"/>
  <c r="X92" i="17"/>
  <c r="Y29" i="17"/>
  <c r="Y537" i="17"/>
  <c r="X418" i="17"/>
  <c r="X54" i="17"/>
  <c r="Y108" i="17"/>
  <c r="X248" i="17"/>
  <c r="X442" i="17"/>
  <c r="Y194" i="17"/>
  <c r="R384" i="17"/>
  <c r="S384" i="17" s="1"/>
  <c r="Q227" i="17"/>
  <c r="Q115" i="17"/>
  <c r="Q347" i="17"/>
  <c r="R130" i="17"/>
  <c r="S130" i="17" s="1"/>
  <c r="R310" i="17"/>
  <c r="S310" i="17" s="1"/>
  <c r="Q28" i="17"/>
  <c r="R275" i="17"/>
  <c r="S275" i="17" s="1"/>
  <c r="Q603" i="17"/>
  <c r="R549" i="17"/>
  <c r="S549" i="17" s="1"/>
  <c r="Q470" i="17"/>
  <c r="Q274" i="17"/>
  <c r="R56" i="17"/>
  <c r="S56" i="17" s="1"/>
  <c r="Q228" i="17"/>
  <c r="R315" i="17"/>
  <c r="S315" i="17" s="1"/>
  <c r="Q527" i="17"/>
  <c r="R74" i="17"/>
  <c r="S74" i="17" s="1"/>
  <c r="Q539" i="17"/>
  <c r="Q85" i="17"/>
  <c r="Q377" i="17"/>
  <c r="R602" i="17"/>
  <c r="S602" i="17" s="1"/>
  <c r="X95" i="17"/>
  <c r="Q95" i="17"/>
  <c r="Q336" i="17"/>
  <c r="Q386" i="17"/>
  <c r="R20" i="17"/>
  <c r="S20" i="17" s="1"/>
  <c r="R414" i="17"/>
  <c r="S414" i="17" s="1"/>
  <c r="R297" i="17"/>
  <c r="S297" i="17" s="1"/>
  <c r="R563" i="17"/>
  <c r="S563" i="17" s="1"/>
  <c r="Q414" i="17"/>
  <c r="Q477" i="17"/>
  <c r="Q96" i="17"/>
  <c r="Q585" i="17"/>
  <c r="Q451" i="17"/>
  <c r="R260" i="17"/>
  <c r="S260" i="17" s="1"/>
  <c r="R459" i="17"/>
  <c r="S459" i="17" s="1"/>
  <c r="Q444" i="17"/>
  <c r="Y226" i="17"/>
  <c r="Y462" i="17"/>
  <c r="X529" i="17"/>
  <c r="X427" i="17"/>
  <c r="X85" i="17"/>
  <c r="Y344" i="17"/>
  <c r="Y404" i="17"/>
  <c r="Y273" i="17"/>
  <c r="Y400" i="17"/>
  <c r="Y224" i="17"/>
  <c r="Y98" i="17"/>
  <c r="X117" i="17"/>
  <c r="X407" i="17"/>
  <c r="X624" i="25" l="1"/>
  <c r="U383" i="25"/>
  <c r="AD382" i="25"/>
  <c r="AE382" i="25" s="1"/>
  <c r="AD104" i="25"/>
  <c r="AE104" i="25" s="1"/>
  <c r="U105" i="25"/>
  <c r="U602" i="25"/>
  <c r="AD601" i="25"/>
  <c r="AE601" i="25" s="1"/>
  <c r="AD513" i="25"/>
  <c r="AE513" i="25" s="1"/>
  <c r="U514" i="25"/>
  <c r="U570" i="25"/>
  <c r="AD569" i="25"/>
  <c r="AE569" i="25" s="1"/>
  <c r="U49" i="25"/>
  <c r="AD48" i="25"/>
  <c r="AE48" i="25" s="1"/>
  <c r="U470" i="25"/>
  <c r="AD469" i="25"/>
  <c r="AE469" i="25" s="1"/>
  <c r="U258" i="25"/>
  <c r="AD257" i="25"/>
  <c r="AE257" i="25" s="1"/>
  <c r="AD488" i="25"/>
  <c r="AE488" i="25" s="1"/>
  <c r="U489" i="25"/>
  <c r="U382" i="25"/>
  <c r="AD381" i="25"/>
  <c r="AE381" i="25" s="1"/>
  <c r="U410" i="25"/>
  <c r="AD409" i="25"/>
  <c r="AE409" i="25" s="1"/>
  <c r="U604" i="25"/>
  <c r="AD603" i="25"/>
  <c r="AE603" i="25" s="1"/>
  <c r="U67" i="25"/>
  <c r="AD66" i="25"/>
  <c r="AE66" i="25" s="1"/>
  <c r="U345" i="25"/>
  <c r="AD344" i="25"/>
  <c r="AE344" i="25" s="1"/>
  <c r="AD300" i="25"/>
  <c r="AE300" i="25" s="1"/>
  <c r="U301" i="25"/>
  <c r="U205" i="25"/>
  <c r="AD204" i="25"/>
  <c r="AE204" i="25" s="1"/>
  <c r="U434" i="25"/>
  <c r="AD433" i="25"/>
  <c r="AE433" i="25" s="1"/>
  <c r="AD483" i="25"/>
  <c r="AE483" i="25" s="1"/>
  <c r="U484" i="25"/>
  <c r="U356" i="25"/>
  <c r="AD355" i="25"/>
  <c r="AE355" i="25" s="1"/>
  <c r="U276" i="25"/>
  <c r="AD275" i="25"/>
  <c r="AE275" i="25" s="1"/>
  <c r="U222" i="25"/>
  <c r="AD221" i="25"/>
  <c r="AE221" i="25" s="1"/>
  <c r="U513" i="25"/>
  <c r="AD512" i="25"/>
  <c r="AE512" i="25" s="1"/>
  <c r="U407" i="25"/>
  <c r="AD406" i="25"/>
  <c r="AE406" i="25" s="1"/>
  <c r="U456" i="25"/>
  <c r="AD455" i="25"/>
  <c r="AE455" i="25" s="1"/>
  <c r="AD282" i="25"/>
  <c r="AE282" i="25" s="1"/>
  <c r="U283" i="25"/>
  <c r="U75" i="25"/>
  <c r="AD74" i="25"/>
  <c r="AE74" i="25" s="1"/>
  <c r="AD252" i="25"/>
  <c r="AE252" i="25" s="1"/>
  <c r="U253" i="25"/>
  <c r="U554" i="25"/>
  <c r="AD553" i="25"/>
  <c r="AE553" i="25" s="1"/>
  <c r="AD534" i="25"/>
  <c r="AE534" i="25" s="1"/>
  <c r="U535" i="25"/>
  <c r="U145" i="25"/>
  <c r="AD144" i="25"/>
  <c r="AE144" i="25" s="1"/>
  <c r="U485" i="25"/>
  <c r="AD484" i="25"/>
  <c r="AE484" i="25" s="1"/>
  <c r="AD207" i="25"/>
  <c r="AE207" i="25" s="1"/>
  <c r="U208" i="25"/>
  <c r="AD179" i="25"/>
  <c r="AE179" i="25" s="1"/>
  <c r="U180" i="25"/>
  <c r="U426" i="25"/>
  <c r="AD425" i="25"/>
  <c r="AE425" i="25" s="1"/>
  <c r="AD420" i="25"/>
  <c r="AE420" i="25" s="1"/>
  <c r="U421" i="25"/>
  <c r="U322" i="25"/>
  <c r="AD321" i="25"/>
  <c r="AE321" i="25" s="1"/>
  <c r="U330" i="25"/>
  <c r="AD329" i="25"/>
  <c r="AE329" i="25" s="1"/>
  <c r="U316" i="25"/>
  <c r="AD315" i="25"/>
  <c r="AE315" i="25" s="1"/>
  <c r="U430" i="25"/>
  <c r="AD429" i="25"/>
  <c r="AE429" i="25" s="1"/>
  <c r="U565" i="25"/>
  <c r="AD564" i="25"/>
  <c r="AE564" i="25" s="1"/>
  <c r="U429" i="25"/>
  <c r="AD428" i="25"/>
  <c r="AE428" i="25" s="1"/>
  <c r="AD296" i="25"/>
  <c r="AE296" i="25" s="1"/>
  <c r="U297" i="25"/>
  <c r="U558" i="25"/>
  <c r="AD557" i="25"/>
  <c r="AE557" i="25" s="1"/>
  <c r="U443" i="25"/>
  <c r="AD442" i="25"/>
  <c r="AE442" i="25" s="1"/>
  <c r="U458" i="25"/>
  <c r="AD457" i="25"/>
  <c r="AE457" i="25" s="1"/>
  <c r="AD583" i="25"/>
  <c r="AE583" i="25" s="1"/>
  <c r="U584" i="25"/>
  <c r="U590" i="25"/>
  <c r="AD589" i="25"/>
  <c r="AE589" i="25" s="1"/>
  <c r="AD251" i="25"/>
  <c r="AE251" i="25" s="1"/>
  <c r="U252" i="25"/>
  <c r="U286" i="25"/>
  <c r="AD285" i="25"/>
  <c r="AE285" i="25" s="1"/>
  <c r="U490" i="25"/>
  <c r="AD489" i="25"/>
  <c r="AE489" i="25" s="1"/>
  <c r="AD38" i="25"/>
  <c r="AE38" i="25" s="1"/>
  <c r="U39" i="25"/>
  <c r="U469" i="25"/>
  <c r="AD468" i="25"/>
  <c r="AE468" i="25" s="1"/>
  <c r="U580" i="25"/>
  <c r="AD579" i="25"/>
  <c r="AE579" i="25" s="1"/>
  <c r="AD322" i="25"/>
  <c r="AE322" i="25" s="1"/>
  <c r="U323" i="25"/>
  <c r="U573" i="25"/>
  <c r="AD572" i="25"/>
  <c r="AE572" i="25" s="1"/>
  <c r="U365" i="25"/>
  <c r="AD364" i="25"/>
  <c r="AE364" i="25" s="1"/>
  <c r="AD509" i="25"/>
  <c r="AE509" i="25" s="1"/>
  <c r="U510" i="25"/>
  <c r="AD521" i="25"/>
  <c r="AE521" i="25" s="1"/>
  <c r="U522" i="25"/>
  <c r="AD503" i="25"/>
  <c r="AE503" i="25" s="1"/>
  <c r="U504" i="25"/>
  <c r="U358" i="25"/>
  <c r="AD357" i="25"/>
  <c r="AE357" i="25" s="1"/>
  <c r="U454" i="25"/>
  <c r="AD453" i="25"/>
  <c r="AE453" i="25" s="1"/>
  <c r="AD101" i="25"/>
  <c r="AE101" i="25" s="1"/>
  <c r="U102" i="25"/>
  <c r="AD335" i="25"/>
  <c r="AE335" i="25" s="1"/>
  <c r="U336" i="25"/>
  <c r="U609" i="25"/>
  <c r="AD608" i="25"/>
  <c r="AE608" i="25" s="1"/>
  <c r="AD612" i="25"/>
  <c r="AE612" i="25" s="1"/>
  <c r="AD613" i="25"/>
  <c r="AE613" i="25" s="1"/>
  <c r="U613" i="25"/>
  <c r="U259" i="25"/>
  <c r="AD258" i="25"/>
  <c r="AE258" i="25" s="1"/>
  <c r="U197" i="25"/>
  <c r="AD196" i="25"/>
  <c r="AE196" i="25" s="1"/>
  <c r="U201" i="25"/>
  <c r="AD200" i="25"/>
  <c r="AE200" i="25" s="1"/>
  <c r="U396" i="25"/>
  <c r="AD395" i="25"/>
  <c r="AE395" i="25" s="1"/>
  <c r="AD180" i="25"/>
  <c r="AE180" i="25" s="1"/>
  <c r="U181" i="25"/>
  <c r="U332" i="25"/>
  <c r="AD331" i="25"/>
  <c r="AE331" i="25" s="1"/>
  <c r="U385" i="25"/>
  <c r="AD384" i="25"/>
  <c r="AE384" i="25" s="1"/>
  <c r="AD454" i="25"/>
  <c r="AE454" i="25" s="1"/>
  <c r="U455" i="25"/>
  <c r="AD493" i="25"/>
  <c r="AE493" i="25" s="1"/>
  <c r="U494" i="25"/>
  <c r="AD80" i="25"/>
  <c r="AE80" i="25" s="1"/>
  <c r="U81" i="25"/>
  <c r="U48" i="25"/>
  <c r="AD47" i="25"/>
  <c r="AE47" i="25" s="1"/>
  <c r="U478" i="25"/>
  <c r="AD477" i="25"/>
  <c r="AE477" i="25" s="1"/>
  <c r="U389" i="25"/>
  <c r="AD388" i="25"/>
  <c r="AE388" i="25" s="1"/>
  <c r="AD529" i="25"/>
  <c r="AE529" i="25" s="1"/>
  <c r="U530" i="25"/>
  <c r="AD516" i="25"/>
  <c r="AE516" i="25" s="1"/>
  <c r="U517" i="25"/>
  <c r="AD60" i="25"/>
  <c r="AE60" i="25" s="1"/>
  <c r="U61" i="25"/>
  <c r="U562" i="25"/>
  <c r="AD561" i="25"/>
  <c r="AE561" i="25" s="1"/>
  <c r="U491" i="25"/>
  <c r="AD490" i="25"/>
  <c r="AE490" i="25" s="1"/>
  <c r="U236" i="25"/>
  <c r="AD235" i="25"/>
  <c r="AE235" i="25" s="1"/>
  <c r="AD151" i="25"/>
  <c r="AE151" i="25" s="1"/>
  <c r="U152" i="25"/>
  <c r="U460" i="25"/>
  <c r="AD459" i="25"/>
  <c r="AE459" i="25" s="1"/>
  <c r="AD474" i="25"/>
  <c r="AE474" i="25" s="1"/>
  <c r="U475" i="25"/>
  <c r="AD202" i="25"/>
  <c r="AE202" i="25" s="1"/>
  <c r="U203" i="25"/>
  <c r="U136" i="25"/>
  <c r="AD135" i="25"/>
  <c r="AE135" i="25" s="1"/>
  <c r="U256" i="25"/>
  <c r="AD255" i="25"/>
  <c r="AE255" i="25" s="1"/>
  <c r="U552" i="25"/>
  <c r="AD551" i="25"/>
  <c r="AE551" i="25" s="1"/>
  <c r="U233" i="25"/>
  <c r="AD232" i="25"/>
  <c r="AE232" i="25" s="1"/>
  <c r="U140" i="25"/>
  <c r="AD139" i="25"/>
  <c r="AE139" i="25" s="1"/>
  <c r="U210" i="25"/>
  <c r="AD209" i="25"/>
  <c r="AE209" i="25" s="1"/>
  <c r="U521" i="25"/>
  <c r="AD520" i="25"/>
  <c r="AE520" i="25" s="1"/>
  <c r="U280" i="25"/>
  <c r="AD279" i="25"/>
  <c r="AE279" i="25" s="1"/>
  <c r="AD215" i="25"/>
  <c r="AE215" i="25" s="1"/>
  <c r="U216" i="25"/>
  <c r="AD170" i="25"/>
  <c r="AE170" i="25" s="1"/>
  <c r="U171" i="25"/>
  <c r="AD269" i="25"/>
  <c r="AE269" i="25" s="1"/>
  <c r="U270" i="25"/>
  <c r="AD16" i="25"/>
  <c r="AE16" i="25" s="1"/>
  <c r="U17" i="25"/>
  <c r="U488" i="25"/>
  <c r="AD487" i="25"/>
  <c r="AE487" i="25" s="1"/>
  <c r="U115" i="25"/>
  <c r="AD114" i="25"/>
  <c r="AE114" i="25" s="1"/>
  <c r="U320" i="25"/>
  <c r="AD319" i="25"/>
  <c r="AE319" i="25" s="1"/>
  <c r="U506" i="25"/>
  <c r="AD505" i="25"/>
  <c r="AE505" i="25" s="1"/>
  <c r="U124" i="25"/>
  <c r="AD123" i="25"/>
  <c r="AE123" i="25" s="1"/>
  <c r="U103" i="25"/>
  <c r="AD102" i="25"/>
  <c r="AE102" i="25" s="1"/>
  <c r="U512" i="25"/>
  <c r="AD511" i="25"/>
  <c r="AE511" i="25" s="1"/>
  <c r="AD266" i="25"/>
  <c r="AE266" i="25" s="1"/>
  <c r="U267" i="25"/>
  <c r="U125" i="25"/>
  <c r="AD124" i="25"/>
  <c r="AE124" i="25" s="1"/>
  <c r="AD26" i="25"/>
  <c r="AE26" i="25" s="1"/>
  <c r="U27" i="25"/>
  <c r="U523" i="25"/>
  <c r="AD522" i="25"/>
  <c r="AE522" i="25" s="1"/>
  <c r="U243" i="25"/>
  <c r="AD242" i="25"/>
  <c r="AE242" i="25" s="1"/>
  <c r="U387" i="25"/>
  <c r="AD386" i="25"/>
  <c r="AE386" i="25" s="1"/>
  <c r="U288" i="25"/>
  <c r="AD287" i="25"/>
  <c r="AE287" i="25" s="1"/>
  <c r="AD463" i="25"/>
  <c r="AE463" i="25" s="1"/>
  <c r="U464" i="25"/>
  <c r="AD496" i="25"/>
  <c r="AE496" i="25" s="1"/>
  <c r="U497" i="25"/>
  <c r="AD276" i="25"/>
  <c r="AE276" i="25" s="1"/>
  <c r="U277" i="25"/>
  <c r="AD318" i="25"/>
  <c r="AE318" i="25" s="1"/>
  <c r="U319" i="25"/>
  <c r="AD17" i="25"/>
  <c r="AE17" i="25" s="1"/>
  <c r="U18" i="25"/>
  <c r="AD499" i="25"/>
  <c r="AE499" i="25" s="1"/>
  <c r="U500" i="25"/>
  <c r="U557" i="25"/>
  <c r="AD556" i="25"/>
  <c r="AE556" i="25" s="1"/>
  <c r="AD21" i="25"/>
  <c r="AE21" i="25" s="1"/>
  <c r="U22" i="25"/>
  <c r="U344" i="25"/>
  <c r="AD343" i="25"/>
  <c r="AE343" i="25" s="1"/>
  <c r="AD544" i="25"/>
  <c r="AE544" i="25" s="1"/>
  <c r="U545" i="25"/>
  <c r="U574" i="25"/>
  <c r="AD573" i="25"/>
  <c r="AE573" i="25" s="1"/>
  <c r="AD403" i="25"/>
  <c r="AE403" i="25" s="1"/>
  <c r="U404" i="25"/>
  <c r="AD373" i="25"/>
  <c r="AE373" i="25" s="1"/>
  <c r="U374" i="25"/>
  <c r="U272" i="25"/>
  <c r="AD271" i="25"/>
  <c r="AE271" i="25" s="1"/>
  <c r="U547" i="25"/>
  <c r="AD546" i="25"/>
  <c r="AE546" i="25" s="1"/>
  <c r="AD301" i="25"/>
  <c r="AE301" i="25" s="1"/>
  <c r="U302" i="25"/>
  <c r="AD239" i="25"/>
  <c r="AE239" i="25" s="1"/>
  <c r="U240" i="25"/>
  <c r="U589" i="25"/>
  <c r="AD588" i="25"/>
  <c r="AE588" i="25" s="1"/>
  <c r="AD338" i="25"/>
  <c r="AE338" i="25" s="1"/>
  <c r="U339" i="25"/>
  <c r="U611" i="25"/>
  <c r="AD610" i="25"/>
  <c r="AE610" i="25" s="1"/>
  <c r="AD250" i="25"/>
  <c r="AE250" i="25" s="1"/>
  <c r="U251" i="25"/>
  <c r="U268" i="25"/>
  <c r="AD267" i="25"/>
  <c r="AE267" i="25" s="1"/>
  <c r="AD390" i="25"/>
  <c r="AE390" i="25" s="1"/>
  <c r="U391" i="25"/>
  <c r="U137" i="25"/>
  <c r="AD136" i="25"/>
  <c r="AE136" i="25" s="1"/>
  <c r="AD193" i="25"/>
  <c r="AE193" i="25" s="1"/>
  <c r="U194" i="25"/>
  <c r="U157" i="25"/>
  <c r="AD156" i="25"/>
  <c r="AE156" i="25" s="1"/>
  <c r="AD465" i="25"/>
  <c r="AE465" i="25" s="1"/>
  <c r="U466" i="25"/>
  <c r="U72" i="25"/>
  <c r="AD71" i="25"/>
  <c r="AE71" i="25" s="1"/>
  <c r="AD245" i="25"/>
  <c r="AE245" i="25" s="1"/>
  <c r="U246" i="25"/>
  <c r="AD118" i="25"/>
  <c r="AE118" i="25" s="1"/>
  <c r="U119" i="25"/>
  <c r="U62" i="25"/>
  <c r="AD61" i="25"/>
  <c r="AE61" i="25" s="1"/>
  <c r="AD547" i="25"/>
  <c r="AE547" i="25" s="1"/>
  <c r="U548" i="25"/>
  <c r="U178" i="25"/>
  <c r="AD177" i="25"/>
  <c r="AE177" i="25" s="1"/>
  <c r="U58" i="25"/>
  <c r="AD57" i="25"/>
  <c r="AE57" i="25" s="1"/>
  <c r="U154" i="25"/>
  <c r="AD153" i="25"/>
  <c r="AE153" i="25" s="1"/>
  <c r="U78" i="25"/>
  <c r="AD77" i="25"/>
  <c r="AE77" i="25" s="1"/>
  <c r="AD228" i="25"/>
  <c r="AE228" i="25" s="1"/>
  <c r="U229" i="25"/>
  <c r="AD294" i="25"/>
  <c r="AE294" i="25" s="1"/>
  <c r="U295" i="25"/>
  <c r="U142" i="25"/>
  <c r="AD141" i="25"/>
  <c r="AE141" i="25" s="1"/>
  <c r="AD143" i="25"/>
  <c r="AE143" i="25" s="1"/>
  <c r="U144" i="25"/>
  <c r="U568" i="25"/>
  <c r="AD567" i="25"/>
  <c r="AE567" i="25" s="1"/>
  <c r="AD535" i="25"/>
  <c r="AE535" i="25" s="1"/>
  <c r="U536" i="25"/>
  <c r="AD79" i="25"/>
  <c r="AE79" i="25" s="1"/>
  <c r="U80" i="25"/>
  <c r="U350" i="25"/>
  <c r="AD349" i="25"/>
  <c r="AE349" i="25" s="1"/>
  <c r="U315" i="25"/>
  <c r="AD314" i="25"/>
  <c r="AE314" i="25" s="1"/>
  <c r="U218" i="25"/>
  <c r="AD217" i="25"/>
  <c r="AE217" i="25" s="1"/>
  <c r="U200" i="25"/>
  <c r="AD199" i="25"/>
  <c r="AE199" i="25" s="1"/>
  <c r="AD337" i="25"/>
  <c r="AE337" i="25" s="1"/>
  <c r="U338" i="25"/>
  <c r="U534" i="25"/>
  <c r="AD533" i="25"/>
  <c r="AE533" i="25" s="1"/>
  <c r="U393" i="25"/>
  <c r="AD392" i="25"/>
  <c r="AE392" i="25" s="1"/>
  <c r="U273" i="25"/>
  <c r="AD272" i="25"/>
  <c r="AE272" i="25" s="1"/>
  <c r="AD562" i="25"/>
  <c r="AE562" i="25" s="1"/>
  <c r="U563" i="25"/>
  <c r="AD227" i="25"/>
  <c r="AE227" i="25" s="1"/>
  <c r="U228" i="25"/>
  <c r="U572" i="25"/>
  <c r="AD571" i="25"/>
  <c r="AE571" i="25" s="1"/>
  <c r="U38" i="25"/>
  <c r="AD37" i="25"/>
  <c r="AE37" i="25" s="1"/>
  <c r="U266" i="25"/>
  <c r="AD265" i="25"/>
  <c r="AE265" i="25" s="1"/>
  <c r="U487" i="25"/>
  <c r="AD486" i="25"/>
  <c r="AE486" i="25" s="1"/>
  <c r="AD68" i="25"/>
  <c r="AE68" i="25" s="1"/>
  <c r="U69" i="25"/>
  <c r="U537" i="25"/>
  <c r="AD536" i="25"/>
  <c r="AE536" i="25" s="1"/>
  <c r="U19" i="25"/>
  <c r="AD18" i="25"/>
  <c r="AE18" i="25" s="1"/>
  <c r="AD83" i="25"/>
  <c r="AE83" i="25" s="1"/>
  <c r="U84" i="25"/>
  <c r="AD25" i="25"/>
  <c r="AE25" i="25" s="1"/>
  <c r="U26" i="25"/>
  <c r="AD273" i="25"/>
  <c r="AE273" i="25" s="1"/>
  <c r="U274" i="25"/>
  <c r="U577" i="25"/>
  <c r="AD576" i="25"/>
  <c r="AE576" i="25" s="1"/>
  <c r="AD125" i="25"/>
  <c r="AE125" i="25" s="1"/>
  <c r="U126" i="25"/>
  <c r="AD292" i="25"/>
  <c r="AE292" i="25" s="1"/>
  <c r="U293" i="25"/>
  <c r="U482" i="25"/>
  <c r="AD481" i="25"/>
  <c r="AE481" i="25" s="1"/>
  <c r="AD307" i="25"/>
  <c r="AE307" i="25" s="1"/>
  <c r="U308" i="25"/>
  <c r="U227" i="25"/>
  <c r="AD226" i="25"/>
  <c r="AE226" i="25" s="1"/>
  <c r="U263" i="25"/>
  <c r="AD262" i="25"/>
  <c r="AE262" i="25" s="1"/>
  <c r="U223" i="25"/>
  <c r="AD222" i="25"/>
  <c r="AE222" i="25" s="1"/>
  <c r="U24" i="25"/>
  <c r="AD23" i="25"/>
  <c r="AE23" i="25" s="1"/>
  <c r="AD64" i="25"/>
  <c r="AE64" i="25" s="1"/>
  <c r="U65" i="25"/>
  <c r="U217" i="25"/>
  <c r="AD216" i="25"/>
  <c r="AE216" i="25" s="1"/>
  <c r="U333" i="25"/>
  <c r="AD332" i="25"/>
  <c r="AE332" i="25" s="1"/>
  <c r="U34" i="25"/>
  <c r="AD33" i="25"/>
  <c r="AE33" i="25" s="1"/>
  <c r="AD94" i="25"/>
  <c r="AE94" i="25" s="1"/>
  <c r="U95" i="25"/>
  <c r="AD146" i="25"/>
  <c r="AE146" i="25" s="1"/>
  <c r="U147" i="25"/>
  <c r="U438" i="25"/>
  <c r="AD437" i="25"/>
  <c r="AE437" i="25" s="1"/>
  <c r="AD517" i="25"/>
  <c r="AE517" i="25" s="1"/>
  <c r="U518" i="25"/>
  <c r="U211" i="25"/>
  <c r="AD210" i="25"/>
  <c r="AE210" i="25" s="1"/>
  <c r="AD555" i="25"/>
  <c r="AE555" i="25" s="1"/>
  <c r="U556" i="25"/>
  <c r="U193" i="25"/>
  <c r="AD192" i="25"/>
  <c r="AE192" i="25" s="1"/>
  <c r="U416" i="25"/>
  <c r="AD415" i="25"/>
  <c r="AE415" i="25" s="1"/>
  <c r="AD491" i="25"/>
  <c r="AE491" i="25" s="1"/>
  <c r="U492" i="25"/>
  <c r="AD298" i="25"/>
  <c r="AE298" i="25" s="1"/>
  <c r="U299" i="25"/>
  <c r="AD595" i="25"/>
  <c r="AE595" i="25" s="1"/>
  <c r="U596" i="25"/>
  <c r="U541" i="25"/>
  <c r="AD540" i="25"/>
  <c r="AE540" i="25" s="1"/>
  <c r="U313" i="25"/>
  <c r="AD312" i="25"/>
  <c r="AE312" i="25" s="1"/>
  <c r="U343" i="25"/>
  <c r="AD342" i="25"/>
  <c r="AE342" i="25" s="1"/>
  <c r="AD479" i="25"/>
  <c r="AE479" i="25" s="1"/>
  <c r="U480" i="25"/>
  <c r="U532" i="25"/>
  <c r="AD531" i="25"/>
  <c r="AE531" i="25" s="1"/>
  <c r="AD325" i="25"/>
  <c r="AE325" i="25" s="1"/>
  <c r="U326" i="25"/>
  <c r="AD438" i="25"/>
  <c r="AE438" i="25" s="1"/>
  <c r="U439" i="25"/>
  <c r="U446" i="25"/>
  <c r="AD445" i="25"/>
  <c r="AE445" i="25" s="1"/>
  <c r="AD537" i="25"/>
  <c r="AE537" i="25" s="1"/>
  <c r="U538" i="25"/>
  <c r="U271" i="25"/>
  <c r="AD270" i="25"/>
  <c r="AE270" i="25" s="1"/>
  <c r="AD73" i="25"/>
  <c r="AE73" i="25" s="1"/>
  <c r="U74" i="25"/>
  <c r="U212" i="25"/>
  <c r="AD211" i="25"/>
  <c r="AE211" i="25" s="1"/>
  <c r="AD195" i="25"/>
  <c r="AE195" i="25" s="1"/>
  <c r="U196" i="25"/>
  <c r="AD75" i="25"/>
  <c r="AE75" i="25" s="1"/>
  <c r="U76" i="25"/>
  <c r="U139" i="25"/>
  <c r="AD138" i="25"/>
  <c r="AE138" i="25" s="1"/>
  <c r="AD369" i="25"/>
  <c r="AE369" i="25" s="1"/>
  <c r="U370" i="25"/>
  <c r="U414" i="25"/>
  <c r="AD413" i="25"/>
  <c r="AE413" i="25" s="1"/>
  <c r="U170" i="25"/>
  <c r="AD169" i="25"/>
  <c r="AE169" i="25" s="1"/>
  <c r="U499" i="25"/>
  <c r="AD498" i="25"/>
  <c r="AE498" i="25" s="1"/>
  <c r="U610" i="25"/>
  <c r="AD609" i="25"/>
  <c r="AE609" i="25" s="1"/>
  <c r="AD598" i="25"/>
  <c r="AE598" i="25" s="1"/>
  <c r="U599" i="25"/>
  <c r="AD558" i="25"/>
  <c r="AE558" i="25" s="1"/>
  <c r="U559" i="25"/>
  <c r="U401" i="25"/>
  <c r="AD400" i="25"/>
  <c r="AE400" i="25" s="1"/>
  <c r="U167" i="25"/>
  <c r="AD166" i="25"/>
  <c r="AE166" i="25" s="1"/>
  <c r="U423" i="25"/>
  <c r="AD422" i="25"/>
  <c r="AE422" i="25" s="1"/>
  <c r="U42" i="25"/>
  <c r="AD41" i="25"/>
  <c r="AE41" i="25" s="1"/>
  <c r="AD523" i="25"/>
  <c r="AE523" i="25" s="1"/>
  <c r="U524" i="25"/>
  <c r="U161" i="25"/>
  <c r="AD160" i="25"/>
  <c r="AE160" i="25" s="1"/>
  <c r="U118" i="25"/>
  <c r="AD117" i="25"/>
  <c r="AE117" i="25" s="1"/>
  <c r="U560" i="25"/>
  <c r="AD559" i="25"/>
  <c r="AE559" i="25" s="1"/>
  <c r="Y624" i="25"/>
  <c r="U450" i="25"/>
  <c r="AD449" i="25"/>
  <c r="AE449" i="25" s="1"/>
  <c r="AD580" i="25"/>
  <c r="AE580" i="25" s="1"/>
  <c r="U581" i="25"/>
  <c r="AD214" i="25"/>
  <c r="AE214" i="25" s="1"/>
  <c r="U215" i="25"/>
  <c r="U505" i="25"/>
  <c r="AD504" i="25"/>
  <c r="AE504" i="25" s="1"/>
  <c r="U437" i="25"/>
  <c r="AD436" i="25"/>
  <c r="AE436" i="25" s="1"/>
  <c r="AD268" i="25"/>
  <c r="AE268" i="25" s="1"/>
  <c r="U269" i="25"/>
  <c r="U413" i="25"/>
  <c r="AD412" i="25"/>
  <c r="AE412" i="25" s="1"/>
  <c r="U31" i="25"/>
  <c r="AD30" i="25"/>
  <c r="AE30" i="25" s="1"/>
  <c r="AD291" i="25"/>
  <c r="AE291" i="25" s="1"/>
  <c r="U292" i="25"/>
  <c r="U451" i="25"/>
  <c r="AD450" i="25"/>
  <c r="AE450" i="25" s="1"/>
  <c r="U362" i="25"/>
  <c r="AD361" i="25"/>
  <c r="AE361" i="25" s="1"/>
  <c r="U285" i="25"/>
  <c r="AD284" i="25"/>
  <c r="AE284" i="25" s="1"/>
  <c r="U479" i="25"/>
  <c r="AD478" i="25"/>
  <c r="AE478" i="25" s="1"/>
  <c r="AD426" i="25"/>
  <c r="AE426" i="25" s="1"/>
  <c r="U427" i="25"/>
  <c r="U314" i="25"/>
  <c r="AD313" i="25"/>
  <c r="AE313" i="25" s="1"/>
  <c r="U606" i="25"/>
  <c r="AD605" i="25"/>
  <c r="AE605" i="25" s="1"/>
  <c r="U402" i="25"/>
  <c r="AD401" i="25"/>
  <c r="AE401" i="25" s="1"/>
  <c r="AD471" i="25"/>
  <c r="AE471" i="25" s="1"/>
  <c r="U472" i="25"/>
  <c r="AD98" i="25"/>
  <c r="AE98" i="25" s="1"/>
  <c r="U99" i="25"/>
  <c r="U436" i="25"/>
  <c r="AD435" i="25"/>
  <c r="AE435" i="25" s="1"/>
  <c r="AD72" i="25"/>
  <c r="AE72" i="25" s="1"/>
  <c r="U73" i="25"/>
  <c r="AD365" i="25"/>
  <c r="AE365" i="25" s="1"/>
  <c r="U366" i="25"/>
  <c r="U380" i="25"/>
  <c r="AD379" i="25"/>
  <c r="AE379" i="25" s="1"/>
  <c r="AD89" i="25"/>
  <c r="AE89" i="25" s="1"/>
  <c r="U90" i="25"/>
  <c r="AD303" i="25"/>
  <c r="AE303" i="25" s="1"/>
  <c r="U304" i="25"/>
  <c r="U20" i="25"/>
  <c r="AD19" i="25"/>
  <c r="AE19" i="25" s="1"/>
  <c r="U567" i="25"/>
  <c r="AD566" i="25"/>
  <c r="AE566" i="25" s="1"/>
  <c r="U15" i="25"/>
  <c r="AD14" i="25"/>
  <c r="AE14" i="25" s="1"/>
  <c r="AD366" i="25"/>
  <c r="AE366" i="25" s="1"/>
  <c r="U367" i="25"/>
  <c r="U101" i="25"/>
  <c r="AD100" i="25"/>
  <c r="AE100" i="25" s="1"/>
  <c r="AD145" i="25"/>
  <c r="AE145" i="25" s="1"/>
  <c r="U146" i="25"/>
  <c r="AD327" i="25"/>
  <c r="AE327" i="25" s="1"/>
  <c r="U328" i="25"/>
  <c r="U185" i="25"/>
  <c r="AD184" i="25"/>
  <c r="AE184" i="25" s="1"/>
  <c r="U452" i="25"/>
  <c r="AD451" i="25"/>
  <c r="AE451" i="25" s="1"/>
  <c r="U435" i="25"/>
  <c r="AD434" i="25"/>
  <c r="AE434" i="25" s="1"/>
  <c r="AD348" i="25"/>
  <c r="AE348" i="25" s="1"/>
  <c r="U349" i="25"/>
  <c r="AD88" i="25"/>
  <c r="AE88" i="25" s="1"/>
  <c r="U89" i="25"/>
  <c r="U182" i="25"/>
  <c r="AD181" i="25"/>
  <c r="AE181" i="25" s="1"/>
  <c r="U583" i="25"/>
  <c r="AD582" i="25"/>
  <c r="AE582" i="25" s="1"/>
  <c r="U444" i="25"/>
  <c r="AD443" i="25"/>
  <c r="AE443" i="25" s="1"/>
  <c r="AD93" i="25"/>
  <c r="AE93" i="25" s="1"/>
  <c r="U94" i="25"/>
  <c r="U290" i="25"/>
  <c r="AD289" i="25"/>
  <c r="AE289" i="25" s="1"/>
  <c r="U398" i="25"/>
  <c r="AD397" i="25"/>
  <c r="AE397" i="25" s="1"/>
  <c r="U582" i="25"/>
  <c r="AD581" i="25"/>
  <c r="AE581" i="25" s="1"/>
  <c r="AD229" i="25"/>
  <c r="AE229" i="25" s="1"/>
  <c r="U230" i="25"/>
  <c r="U544" i="25"/>
  <c r="AD543" i="25"/>
  <c r="AE543" i="25" s="1"/>
  <c r="U121" i="25"/>
  <c r="AD120" i="25"/>
  <c r="AE120" i="25" s="1"/>
  <c r="AD280" i="25"/>
  <c r="AE280" i="25" s="1"/>
  <c r="U281" i="25"/>
  <c r="U390" i="25"/>
  <c r="AD389" i="25"/>
  <c r="AE389" i="25" s="1"/>
  <c r="U598" i="25"/>
  <c r="AD597" i="25"/>
  <c r="AE597" i="25" s="1"/>
  <c r="AD81" i="25"/>
  <c r="AE81" i="25" s="1"/>
  <c r="U82" i="25"/>
  <c r="U424" i="25"/>
  <c r="AD423" i="25"/>
  <c r="AE423" i="25" s="1"/>
  <c r="AD330" i="25"/>
  <c r="AE330" i="25" s="1"/>
  <c r="U331" i="25"/>
  <c r="AD263" i="25"/>
  <c r="AE263" i="25" s="1"/>
  <c r="U264" i="25"/>
  <c r="U496" i="25"/>
  <c r="AD495" i="25"/>
  <c r="AE495" i="25" s="1"/>
  <c r="AD115" i="25"/>
  <c r="AE115" i="25" s="1"/>
  <c r="U116" i="25"/>
  <c r="U310" i="25"/>
  <c r="AD309" i="25"/>
  <c r="AE309" i="25" s="1"/>
  <c r="AD430" i="25"/>
  <c r="AE430" i="25" s="1"/>
  <c r="U431" i="25"/>
  <c r="U300" i="25"/>
  <c r="AD299" i="25"/>
  <c r="AE299" i="25" s="1"/>
  <c r="U569" i="25"/>
  <c r="AD568" i="25"/>
  <c r="AE568" i="25" s="1"/>
  <c r="AD473" i="25"/>
  <c r="AE473" i="25" s="1"/>
  <c r="U474" i="25"/>
  <c r="AD441" i="25"/>
  <c r="AE441" i="25" s="1"/>
  <c r="U442" i="25"/>
  <c r="U351" i="25"/>
  <c r="AD350" i="25"/>
  <c r="AE350" i="25" s="1"/>
  <c r="U122" i="25"/>
  <c r="AD121" i="25"/>
  <c r="AE121" i="25" s="1"/>
  <c r="AD399" i="25"/>
  <c r="AE399" i="25" s="1"/>
  <c r="U400" i="25"/>
  <c r="AD264" i="25"/>
  <c r="AE264" i="25" s="1"/>
  <c r="U265" i="25"/>
  <c r="U117" i="25"/>
  <c r="AD116" i="25"/>
  <c r="AE116" i="25" s="1"/>
  <c r="U392" i="25"/>
  <c r="AD391" i="25"/>
  <c r="AE391" i="25" s="1"/>
  <c r="U564" i="25"/>
  <c r="AD563" i="25"/>
  <c r="AE563" i="25" s="1"/>
  <c r="AD464" i="25"/>
  <c r="AE464" i="25" s="1"/>
  <c r="U465" i="25"/>
  <c r="U561" i="25"/>
  <c r="AD560" i="25"/>
  <c r="AE560" i="25" s="1"/>
  <c r="U483" i="25"/>
  <c r="AD482" i="25"/>
  <c r="AE482" i="25" s="1"/>
  <c r="U419" i="25"/>
  <c r="AD418" i="25"/>
  <c r="AE418" i="25" s="1"/>
  <c r="U226" i="25"/>
  <c r="AD225" i="25"/>
  <c r="AE225" i="25" s="1"/>
  <c r="AD162" i="25"/>
  <c r="AE162" i="25" s="1"/>
  <c r="U163" i="25"/>
  <c r="AD58" i="25"/>
  <c r="AE58" i="25" s="1"/>
  <c r="U59" i="25"/>
  <c r="U305" i="25"/>
  <c r="AD304" i="25"/>
  <c r="AE304" i="25" s="1"/>
  <c r="U603" i="25"/>
  <c r="AD602" i="25"/>
  <c r="AE602" i="25" s="1"/>
  <c r="AD28" i="25"/>
  <c r="AE28" i="25" s="1"/>
  <c r="U29" i="25"/>
  <c r="U566" i="25"/>
  <c r="AD565" i="25"/>
  <c r="AE565" i="25" s="1"/>
  <c r="U462" i="25"/>
  <c r="AD461" i="25"/>
  <c r="AE461" i="25" s="1"/>
  <c r="AD519" i="25"/>
  <c r="AE519" i="25" s="1"/>
  <c r="U520" i="25"/>
  <c r="R624" i="25"/>
  <c r="S624" i="25" s="1"/>
  <c r="AB624" i="25"/>
  <c r="AD353" i="25"/>
  <c r="AE353" i="25" s="1"/>
  <c r="U354" i="25"/>
  <c r="AD63" i="25"/>
  <c r="AE63" i="25" s="1"/>
  <c r="U64" i="25"/>
  <c r="U601" i="25"/>
  <c r="AD600" i="25"/>
  <c r="AE600" i="25" s="1"/>
  <c r="AD545" i="25"/>
  <c r="AE545" i="25" s="1"/>
  <c r="U546" i="25"/>
  <c r="AD352" i="25"/>
  <c r="AE352" i="25" s="1"/>
  <c r="U353" i="25"/>
  <c r="AD15" i="25"/>
  <c r="AE15" i="25" s="1"/>
  <c r="U16" i="25"/>
  <c r="U86" i="25"/>
  <c r="AD85" i="25"/>
  <c r="AE85" i="25" s="1"/>
  <c r="AD288" i="25"/>
  <c r="AE288" i="25" s="1"/>
  <c r="U289" i="25"/>
  <c r="U41" i="25"/>
  <c r="AD40" i="25"/>
  <c r="AE40" i="25" s="1"/>
  <c r="AD253" i="25"/>
  <c r="AE253" i="25" s="1"/>
  <c r="U254" i="25"/>
  <c r="U585" i="25"/>
  <c r="AD584" i="25"/>
  <c r="AE584" i="25" s="1"/>
  <c r="U411" i="25"/>
  <c r="AD410" i="25"/>
  <c r="AE410" i="25" s="1"/>
  <c r="U231" i="25"/>
  <c r="AD230" i="25"/>
  <c r="AE230" i="25" s="1"/>
  <c r="AD548" i="25"/>
  <c r="AE548" i="25" s="1"/>
  <c r="U549" i="25"/>
  <c r="U447" i="25"/>
  <c r="AD446" i="25"/>
  <c r="AE446" i="25" s="1"/>
  <c r="U135" i="25"/>
  <c r="AD134" i="25"/>
  <c r="AE134" i="25" s="1"/>
  <c r="U250" i="25"/>
  <c r="AD249" i="25"/>
  <c r="AE249" i="25" s="1"/>
  <c r="AD150" i="25"/>
  <c r="AE150" i="25" s="1"/>
  <c r="U151" i="25"/>
  <c r="U279" i="25"/>
  <c r="AD278" i="25"/>
  <c r="AE278" i="25" s="1"/>
  <c r="U369" i="25"/>
  <c r="AD368" i="25"/>
  <c r="AE368" i="25" s="1"/>
  <c r="U327" i="25"/>
  <c r="AD326" i="25"/>
  <c r="AE326" i="25" s="1"/>
  <c r="AD274" i="25"/>
  <c r="AE274" i="25" s="1"/>
  <c r="U275" i="25"/>
  <c r="U502" i="25"/>
  <c r="AD501" i="25"/>
  <c r="AE501" i="25" s="1"/>
  <c r="U51" i="25"/>
  <c r="AD50" i="25"/>
  <c r="AE50" i="25" s="1"/>
  <c r="U352" i="25"/>
  <c r="AD351" i="25"/>
  <c r="AE351" i="25" s="1"/>
  <c r="AD206" i="25"/>
  <c r="AE206" i="25" s="1"/>
  <c r="U207" i="25"/>
  <c r="U378" i="25"/>
  <c r="AD377" i="25"/>
  <c r="AE377" i="25" s="1"/>
  <c r="AD606" i="25"/>
  <c r="AE606" i="25" s="1"/>
  <c r="U607" i="25"/>
  <c r="AD140" i="25"/>
  <c r="AE140" i="25" s="1"/>
  <c r="U141" i="25"/>
  <c r="U342" i="25"/>
  <c r="AD341" i="25"/>
  <c r="AE341" i="25" s="1"/>
  <c r="AD59" i="25"/>
  <c r="AE59" i="25" s="1"/>
  <c r="U60" i="25"/>
  <c r="U47" i="25"/>
  <c r="AD46" i="25"/>
  <c r="AE46" i="25" s="1"/>
  <c r="U179" i="25"/>
  <c r="AD178" i="25"/>
  <c r="AE178" i="25" s="1"/>
  <c r="U104" i="25"/>
  <c r="AD103" i="25"/>
  <c r="AE103" i="25" s="1"/>
  <c r="AD510" i="25"/>
  <c r="AE510" i="25" s="1"/>
  <c r="U511" i="25"/>
  <c r="U85" i="25"/>
  <c r="AD84" i="25"/>
  <c r="AE84" i="25" s="1"/>
  <c r="U473" i="25"/>
  <c r="AD472" i="25"/>
  <c r="AE472" i="25" s="1"/>
  <c r="AD187" i="25"/>
  <c r="AE187" i="25" s="1"/>
  <c r="U188" i="25"/>
  <c r="AD13" i="25"/>
  <c r="U14" i="25"/>
  <c r="U130" i="25"/>
  <c r="AD129" i="25"/>
  <c r="AE129" i="25" s="1"/>
  <c r="AD131" i="25"/>
  <c r="AE131" i="25" s="1"/>
  <c r="U132" i="25"/>
  <c r="AD238" i="25"/>
  <c r="AE238" i="25" s="1"/>
  <c r="U239" i="25"/>
  <c r="U235" i="25"/>
  <c r="AD234" i="25"/>
  <c r="AE234" i="25" s="1"/>
  <c r="U432" i="25"/>
  <c r="AD431" i="25"/>
  <c r="AE431" i="25" s="1"/>
  <c r="AD27" i="25"/>
  <c r="AE27" i="25" s="1"/>
  <c r="U28" i="25"/>
  <c r="U198" i="25"/>
  <c r="AD197" i="25"/>
  <c r="AE197" i="25" s="1"/>
  <c r="U45" i="25"/>
  <c r="AD44" i="25"/>
  <c r="AE44" i="25" s="1"/>
  <c r="AD171" i="25"/>
  <c r="AE171" i="25" s="1"/>
  <c r="U172" i="25"/>
  <c r="AD194" i="25"/>
  <c r="AE194" i="25" s="1"/>
  <c r="U195" i="25"/>
  <c r="AD393" i="25"/>
  <c r="AE393" i="25" s="1"/>
  <c r="U394" i="25"/>
  <c r="U375" i="25"/>
  <c r="AD374" i="25"/>
  <c r="AE374" i="25" s="1"/>
  <c r="U519" i="25"/>
  <c r="AD518" i="25"/>
  <c r="AE518" i="25" s="1"/>
  <c r="AD34" i="25"/>
  <c r="AE34" i="25" s="1"/>
  <c r="U35" i="25"/>
  <c r="AD119" i="25"/>
  <c r="AE119" i="25" s="1"/>
  <c r="U120" i="25"/>
  <c r="AD380" i="25"/>
  <c r="AE380" i="25" s="1"/>
  <c r="U381" i="25"/>
  <c r="AD448" i="25"/>
  <c r="AE448" i="25" s="1"/>
  <c r="U449" i="25"/>
  <c r="AD527" i="25"/>
  <c r="AE527" i="25" s="1"/>
  <c r="U528" i="25"/>
  <c r="U33" i="25"/>
  <c r="AD32" i="25"/>
  <c r="AE32" i="25" s="1"/>
  <c r="U234" i="25"/>
  <c r="AD233" i="25"/>
  <c r="AE233" i="25" s="1"/>
  <c r="U317" i="25"/>
  <c r="AD316" i="25"/>
  <c r="AE316" i="25" s="1"/>
  <c r="U260" i="25"/>
  <c r="AD259" i="25"/>
  <c r="AE259" i="25" s="1"/>
  <c r="AD607" i="25"/>
  <c r="AE607" i="25" s="1"/>
  <c r="U608" i="25"/>
  <c r="U587" i="25"/>
  <c r="AD586" i="25"/>
  <c r="AE586" i="25" s="1"/>
  <c r="U247" i="25"/>
  <c r="AD246" i="25"/>
  <c r="AE246" i="25" s="1"/>
  <c r="U526" i="25"/>
  <c r="AD525" i="25"/>
  <c r="AE525" i="25" s="1"/>
  <c r="U311" i="25"/>
  <c r="AD310" i="25"/>
  <c r="AE310" i="25" s="1"/>
  <c r="U509" i="25"/>
  <c r="AD508" i="25"/>
  <c r="AE508" i="25" s="1"/>
  <c r="AD378" i="25"/>
  <c r="AE378" i="25" s="1"/>
  <c r="U379" i="25"/>
  <c r="U169" i="25"/>
  <c r="AD168" i="25"/>
  <c r="AE168" i="25" s="1"/>
  <c r="U186" i="25"/>
  <c r="AD185" i="25"/>
  <c r="AE185" i="25" s="1"/>
  <c r="AD354" i="25"/>
  <c r="AE354" i="25" s="1"/>
  <c r="U355" i="25"/>
  <c r="U184" i="25"/>
  <c r="AD183" i="25"/>
  <c r="AE183" i="25" s="1"/>
  <c r="AD127" i="25"/>
  <c r="AE127" i="25" s="1"/>
  <c r="U128" i="25"/>
  <c r="U108" i="25"/>
  <c r="AD107" i="25"/>
  <c r="AE107" i="25" s="1"/>
  <c r="U593" i="25"/>
  <c r="AD592" i="25"/>
  <c r="AE592" i="25" s="1"/>
  <c r="AA624" i="25"/>
  <c r="E634" i="25" s="1"/>
  <c r="Q624" i="25"/>
  <c r="D634" i="25" s="1"/>
  <c r="AD460" i="25"/>
  <c r="AE460" i="25" s="1"/>
  <c r="U461" i="25"/>
  <c r="AD224" i="25"/>
  <c r="AE224" i="25" s="1"/>
  <c r="U225" i="25"/>
  <c r="U189" i="25"/>
  <c r="AD188" i="25"/>
  <c r="AE188" i="25" s="1"/>
  <c r="U468" i="25"/>
  <c r="AD467" i="25"/>
  <c r="AE467" i="25" s="1"/>
  <c r="AD591" i="25"/>
  <c r="AE591" i="25" s="1"/>
  <c r="U592" i="25"/>
  <c r="AD155" i="25"/>
  <c r="AE155" i="25" s="1"/>
  <c r="U156" i="25"/>
  <c r="U209" i="25"/>
  <c r="AD208" i="25"/>
  <c r="AE208" i="25" s="1"/>
  <c r="AD91" i="25"/>
  <c r="AE91" i="25" s="1"/>
  <c r="U92" i="25"/>
  <c r="U23" i="25"/>
  <c r="AD22" i="25"/>
  <c r="AE22" i="25" s="1"/>
  <c r="AD432" i="25"/>
  <c r="AE432" i="25" s="1"/>
  <c r="U433" i="25"/>
  <c r="AD577" i="25"/>
  <c r="AE577" i="25" s="1"/>
  <c r="U578" i="25"/>
  <c r="U467" i="25"/>
  <c r="AD466" i="25"/>
  <c r="AE466" i="25" s="1"/>
  <c r="U165" i="25"/>
  <c r="AD164" i="25"/>
  <c r="AE164" i="25" s="1"/>
  <c r="AD604" i="25"/>
  <c r="AE604" i="25" s="1"/>
  <c r="U605" i="25"/>
  <c r="U96" i="25"/>
  <c r="AD95" i="25"/>
  <c r="AE95" i="25" s="1"/>
  <c r="U298" i="25"/>
  <c r="AD297" i="25"/>
  <c r="AE297" i="25" s="1"/>
  <c r="AD320" i="25"/>
  <c r="AE320" i="25" s="1"/>
  <c r="U321" i="25"/>
  <c r="U412" i="25"/>
  <c r="AD411" i="25"/>
  <c r="AE411" i="25" s="1"/>
  <c r="U325" i="25"/>
  <c r="AD324" i="25"/>
  <c r="AE324" i="25" s="1"/>
  <c r="U309" i="25"/>
  <c r="AD308" i="25"/>
  <c r="AE308" i="25" s="1"/>
  <c r="U36" i="25"/>
  <c r="AD35" i="25"/>
  <c r="AE35" i="25" s="1"/>
  <c r="U202" i="25"/>
  <c r="AD201" i="25"/>
  <c r="AE201" i="25" s="1"/>
  <c r="U199" i="25"/>
  <c r="AD198" i="25"/>
  <c r="AE198" i="25" s="1"/>
  <c r="U55" i="25"/>
  <c r="AD54" i="25"/>
  <c r="AE54" i="25" s="1"/>
  <c r="AD500" i="25"/>
  <c r="AE500" i="25" s="1"/>
  <c r="U501" i="25"/>
  <c r="U531" i="25"/>
  <c r="AD530" i="25"/>
  <c r="AE530" i="25" s="1"/>
  <c r="U503" i="25"/>
  <c r="AD502" i="25"/>
  <c r="AE502" i="25" s="1"/>
  <c r="U133" i="25"/>
  <c r="AD132" i="25"/>
  <c r="AE132" i="25" s="1"/>
  <c r="U395" i="25"/>
  <c r="AD394" i="25"/>
  <c r="AE394" i="25" s="1"/>
  <c r="U149" i="25"/>
  <c r="AD148" i="25"/>
  <c r="AE148" i="25" s="1"/>
  <c r="AD370" i="25"/>
  <c r="AE370" i="25" s="1"/>
  <c r="U371" i="25"/>
  <c r="AD359" i="25"/>
  <c r="AE359" i="25" s="1"/>
  <c r="U360" i="25"/>
  <c r="AD419" i="25"/>
  <c r="AE419" i="25" s="1"/>
  <c r="U420" i="25"/>
  <c r="AD447" i="25"/>
  <c r="AE447" i="25" s="1"/>
  <c r="U448" i="25"/>
  <c r="U348" i="25"/>
  <c r="AD347" i="25"/>
  <c r="AE347" i="25" s="1"/>
  <c r="AD231" i="25"/>
  <c r="AE231" i="25" s="1"/>
  <c r="U232" i="25"/>
  <c r="U242" i="25"/>
  <c r="AD241" i="25"/>
  <c r="AE241" i="25" s="1"/>
  <c r="AD69" i="25"/>
  <c r="AE69" i="25" s="1"/>
  <c r="U70" i="25"/>
  <c r="U190" i="25"/>
  <c r="AD189" i="25"/>
  <c r="AE189" i="25" s="1"/>
  <c r="AD205" i="25"/>
  <c r="AE205" i="25" s="1"/>
  <c r="U206" i="25"/>
  <c r="U408" i="25"/>
  <c r="AD407" i="25"/>
  <c r="AE407" i="25" s="1"/>
  <c r="U335" i="25"/>
  <c r="AD334" i="25"/>
  <c r="AE334" i="25" s="1"/>
  <c r="U600" i="25"/>
  <c r="AD599" i="25"/>
  <c r="AE599" i="25" s="1"/>
  <c r="U220" i="25"/>
  <c r="AD219" i="25"/>
  <c r="AE219" i="25" s="1"/>
  <c r="AD182" i="25"/>
  <c r="AE182" i="25" s="1"/>
  <c r="U183" i="25"/>
  <c r="U257" i="25"/>
  <c r="AD256" i="25"/>
  <c r="AE256" i="25" s="1"/>
  <c r="U150" i="25"/>
  <c r="AD149" i="25"/>
  <c r="AE149" i="25" s="1"/>
  <c r="U307" i="25"/>
  <c r="AD306" i="25"/>
  <c r="AE306" i="25" s="1"/>
  <c r="U284" i="25"/>
  <c r="AD283" i="25"/>
  <c r="AE283" i="25" s="1"/>
  <c r="U248" i="25"/>
  <c r="AD247" i="25"/>
  <c r="AE247" i="25" s="1"/>
  <c r="AD323" i="25"/>
  <c r="AE323" i="25" s="1"/>
  <c r="U324" i="25"/>
  <c r="U515" i="25"/>
  <c r="AD514" i="25"/>
  <c r="AE514" i="25" s="1"/>
  <c r="AD240" i="25"/>
  <c r="AE240" i="25" s="1"/>
  <c r="U241" i="25"/>
  <c r="AD244" i="25"/>
  <c r="AE244" i="25" s="1"/>
  <c r="U245" i="25"/>
  <c r="U417" i="25"/>
  <c r="AD416" i="25"/>
  <c r="AE416" i="25" s="1"/>
  <c r="U495" i="25"/>
  <c r="AD494" i="25"/>
  <c r="AE494" i="25" s="1"/>
  <c r="U174" i="25"/>
  <c r="AD173" i="25"/>
  <c r="AE173" i="25" s="1"/>
  <c r="U114" i="25"/>
  <c r="AD113" i="25"/>
  <c r="AE113" i="25" s="1"/>
  <c r="AD305" i="25"/>
  <c r="AE305" i="25" s="1"/>
  <c r="U306" i="25"/>
  <c r="AD375" i="25"/>
  <c r="AE375" i="25" s="1"/>
  <c r="U376" i="25"/>
  <c r="U262" i="25"/>
  <c r="AD261" i="25"/>
  <c r="AE261" i="25" s="1"/>
  <c r="U134" i="25"/>
  <c r="AD133" i="25"/>
  <c r="AE133" i="25" s="1"/>
  <c r="AD539" i="25"/>
  <c r="AE539" i="25" s="1"/>
  <c r="U540" i="25"/>
  <c r="U111" i="25"/>
  <c r="AD110" i="25"/>
  <c r="AE110" i="25" s="1"/>
  <c r="U415" i="25"/>
  <c r="AD414" i="25"/>
  <c r="AE414" i="25" s="1"/>
  <c r="U282" i="25"/>
  <c r="AD281" i="25"/>
  <c r="AE281" i="25" s="1"/>
  <c r="U32" i="25"/>
  <c r="AD31" i="25"/>
  <c r="AE31" i="25" s="1"/>
  <c r="U576" i="25"/>
  <c r="AD575" i="25"/>
  <c r="AE575" i="25" s="1"/>
  <c r="AD111" i="25"/>
  <c r="AE111" i="25" s="1"/>
  <c r="U112" i="25"/>
  <c r="U508" i="25"/>
  <c r="AD507" i="25"/>
  <c r="AE507" i="25" s="1"/>
  <c r="AD163" i="25"/>
  <c r="AE163" i="25" s="1"/>
  <c r="U164" i="25"/>
  <c r="U177" i="25"/>
  <c r="AD176" i="25"/>
  <c r="AE176" i="25" s="1"/>
  <c r="AD456" i="25"/>
  <c r="AE456" i="25" s="1"/>
  <c r="U457" i="25"/>
  <c r="AD396" i="25"/>
  <c r="AE396" i="25" s="1"/>
  <c r="U397" i="25"/>
  <c r="U56" i="25"/>
  <c r="AD55" i="25"/>
  <c r="AE55" i="25" s="1"/>
  <c r="AD554" i="25"/>
  <c r="AE554" i="25" s="1"/>
  <c r="U555" i="25"/>
  <c r="U575" i="25"/>
  <c r="AD574" i="25"/>
  <c r="AE574" i="25" s="1"/>
  <c r="U373" i="25"/>
  <c r="AD372" i="25"/>
  <c r="AE372" i="25" s="1"/>
  <c r="U597" i="25"/>
  <c r="AD596" i="25"/>
  <c r="AE596" i="25" s="1"/>
  <c r="AD97" i="25"/>
  <c r="AE97" i="25" s="1"/>
  <c r="U98" i="25"/>
  <c r="U25" i="25"/>
  <c r="AD24" i="25"/>
  <c r="AE24" i="25" s="1"/>
  <c r="U341" i="25"/>
  <c r="AD340" i="25"/>
  <c r="AE340" i="25" s="1"/>
  <c r="AD203" i="25"/>
  <c r="AE203" i="25" s="1"/>
  <c r="U204" i="25"/>
  <c r="U388" i="25"/>
  <c r="AD387" i="25"/>
  <c r="AE387" i="25" s="1"/>
  <c r="U312" i="25"/>
  <c r="AD311" i="25"/>
  <c r="AE311" i="25" s="1"/>
  <c r="U37" i="25"/>
  <c r="AD36" i="25"/>
  <c r="AE36" i="25" s="1"/>
  <c r="AD476" i="25"/>
  <c r="AE476" i="25" s="1"/>
  <c r="U477" i="25"/>
  <c r="AD220" i="25"/>
  <c r="AE220" i="25" s="1"/>
  <c r="U221" i="25"/>
  <c r="AD424" i="25"/>
  <c r="AE424" i="25" s="1"/>
  <c r="U425" i="25"/>
  <c r="AD52" i="25"/>
  <c r="AE52" i="25" s="1"/>
  <c r="U53" i="25"/>
  <c r="AD408" i="25"/>
  <c r="AE408" i="25" s="1"/>
  <c r="U409" i="25"/>
  <c r="AD49" i="25"/>
  <c r="AE49" i="25" s="1"/>
  <c r="U50" i="25"/>
  <c r="U591" i="25"/>
  <c r="AD590" i="25"/>
  <c r="AE590" i="25" s="1"/>
  <c r="AD593" i="25"/>
  <c r="AE593" i="25" s="1"/>
  <c r="U594" i="25"/>
  <c r="U291" i="25"/>
  <c r="AD290" i="25"/>
  <c r="AE290" i="25" s="1"/>
  <c r="U110" i="25"/>
  <c r="AD109" i="25"/>
  <c r="AE109" i="25" s="1"/>
  <c r="U612" i="25"/>
  <c r="AD611" i="25"/>
  <c r="AE611" i="25" s="1"/>
  <c r="U249" i="25"/>
  <c r="AD248" i="25"/>
  <c r="AE248" i="25" s="1"/>
  <c r="U363" i="25"/>
  <c r="AD362" i="25"/>
  <c r="AE362" i="25" s="1"/>
  <c r="U131" i="25"/>
  <c r="AD130" i="25"/>
  <c r="AE130" i="25" s="1"/>
  <c r="U527" i="25"/>
  <c r="AD526" i="25"/>
  <c r="AE526" i="25" s="1"/>
  <c r="U168" i="25"/>
  <c r="AD167" i="25"/>
  <c r="AE167" i="25" s="1"/>
  <c r="U138" i="25"/>
  <c r="AD137" i="25"/>
  <c r="AE137" i="25" s="1"/>
  <c r="AD53" i="25"/>
  <c r="AE53" i="25" s="1"/>
  <c r="U54" i="25"/>
  <c r="U213" i="25"/>
  <c r="AD212" i="25"/>
  <c r="AE212" i="25" s="1"/>
  <c r="U87" i="25"/>
  <c r="AD86" i="25"/>
  <c r="AE86" i="25" s="1"/>
  <c r="U176" i="25"/>
  <c r="AD175" i="25"/>
  <c r="AE175" i="25" s="1"/>
  <c r="U368" i="25"/>
  <c r="AD367" i="25"/>
  <c r="AE367" i="25" s="1"/>
  <c r="AD20" i="25"/>
  <c r="AE20" i="25" s="1"/>
  <c r="U21" i="25"/>
  <c r="AD594" i="25"/>
  <c r="AE594" i="25" s="1"/>
  <c r="U595" i="25"/>
  <c r="U346" i="25"/>
  <c r="AD345" i="25"/>
  <c r="AE345" i="25" s="1"/>
  <c r="U187" i="25"/>
  <c r="AD186" i="25"/>
  <c r="AE186" i="25" s="1"/>
  <c r="AD336" i="25"/>
  <c r="AE336" i="25" s="1"/>
  <c r="U337" i="25"/>
  <c r="U553" i="25"/>
  <c r="AD552" i="25"/>
  <c r="AE552" i="25" s="1"/>
  <c r="U357" i="25"/>
  <c r="AD356" i="25"/>
  <c r="AE356" i="25" s="1"/>
  <c r="U550" i="25"/>
  <c r="AD549" i="25"/>
  <c r="AE549" i="25" s="1"/>
  <c r="AD159" i="25"/>
  <c r="AE159" i="25" s="1"/>
  <c r="U160" i="25"/>
  <c r="AD439" i="25"/>
  <c r="AE439" i="25" s="1"/>
  <c r="U440" i="25"/>
  <c r="U384" i="25"/>
  <c r="AD383" i="25"/>
  <c r="AE383" i="25" s="1"/>
  <c r="U422" i="25"/>
  <c r="AD421" i="25"/>
  <c r="AE421" i="25" s="1"/>
  <c r="U46" i="25"/>
  <c r="AD45" i="25"/>
  <c r="AE45" i="25" s="1"/>
  <c r="U296" i="25"/>
  <c r="AD295" i="25"/>
  <c r="AE295" i="25" s="1"/>
  <c r="U129" i="25"/>
  <c r="AD128" i="25"/>
  <c r="AE128" i="25" s="1"/>
  <c r="U278" i="25"/>
  <c r="AD277" i="25"/>
  <c r="AE277" i="25" s="1"/>
  <c r="U97" i="25"/>
  <c r="AD96" i="25"/>
  <c r="AE96" i="25" s="1"/>
  <c r="AD105" i="25"/>
  <c r="AE105" i="25" s="1"/>
  <c r="U106" i="25"/>
  <c r="U30" i="25"/>
  <c r="AD29" i="25"/>
  <c r="AE29" i="25" s="1"/>
  <c r="U543" i="25"/>
  <c r="AD542" i="25"/>
  <c r="AE542" i="25" s="1"/>
  <c r="U571" i="25"/>
  <c r="AD570" i="25"/>
  <c r="AE570" i="25" s="1"/>
  <c r="AD293" i="25"/>
  <c r="AE293" i="25" s="1"/>
  <c r="U294" i="25"/>
  <c r="U551" i="25"/>
  <c r="AD550" i="25"/>
  <c r="AE550" i="25" s="1"/>
  <c r="U347" i="25"/>
  <c r="AD346" i="25"/>
  <c r="AE346" i="25" s="1"/>
  <c r="AD191" i="25"/>
  <c r="AE191" i="25" s="1"/>
  <c r="U192" i="25"/>
  <c r="AD339" i="25"/>
  <c r="AE339" i="25" s="1"/>
  <c r="U340" i="25"/>
  <c r="U83" i="25"/>
  <c r="AD82" i="25"/>
  <c r="AE82" i="25" s="1"/>
  <c r="AD62" i="25"/>
  <c r="AE62" i="25" s="1"/>
  <c r="U63" i="25"/>
  <c r="U329" i="25"/>
  <c r="AD328" i="25"/>
  <c r="AE328" i="25" s="1"/>
  <c r="AD363" i="25"/>
  <c r="AE363" i="25" s="1"/>
  <c r="U364" i="25"/>
  <c r="U486" i="25"/>
  <c r="AD485" i="25"/>
  <c r="AE485" i="25" s="1"/>
  <c r="AD237" i="25"/>
  <c r="AE237" i="25" s="1"/>
  <c r="U238" i="25"/>
  <c r="U107" i="25"/>
  <c r="AD106" i="25"/>
  <c r="AE106" i="25" s="1"/>
  <c r="AD497" i="25"/>
  <c r="AE497" i="25" s="1"/>
  <c r="U498" i="25"/>
  <c r="AD492" i="25"/>
  <c r="AE492" i="25" s="1"/>
  <c r="U493" i="25"/>
  <c r="U143" i="25"/>
  <c r="AD142" i="25"/>
  <c r="AE142" i="25" s="1"/>
  <c r="AD51" i="25"/>
  <c r="AE51" i="25" s="1"/>
  <c r="U52" i="25"/>
  <c r="AD190" i="25"/>
  <c r="AE190" i="25" s="1"/>
  <c r="U191" i="25"/>
  <c r="U153" i="25"/>
  <c r="AD152" i="25"/>
  <c r="AE152" i="25" s="1"/>
  <c r="AD112" i="25"/>
  <c r="AE112" i="25" s="1"/>
  <c r="U113" i="25"/>
  <c r="U158" i="25"/>
  <c r="AD157" i="25"/>
  <c r="AE157" i="25" s="1"/>
  <c r="AD122" i="25"/>
  <c r="AE122" i="25" s="1"/>
  <c r="U123" i="25"/>
  <c r="U88" i="25"/>
  <c r="AD87" i="25"/>
  <c r="AE87" i="25" s="1"/>
  <c r="U175" i="25"/>
  <c r="AD174" i="25"/>
  <c r="AE174" i="25" s="1"/>
  <c r="U507" i="25"/>
  <c r="AD506" i="25"/>
  <c r="AE506" i="25" s="1"/>
  <c r="AD147" i="25"/>
  <c r="AE147" i="25" s="1"/>
  <c r="U148" i="25"/>
  <c r="U529" i="25"/>
  <c r="AD528" i="25"/>
  <c r="AE528" i="25" s="1"/>
  <c r="U525" i="25"/>
  <c r="AD524" i="25"/>
  <c r="AE524" i="25" s="1"/>
  <c r="U428" i="25"/>
  <c r="AD427" i="25"/>
  <c r="AE427" i="25" s="1"/>
  <c r="U57" i="25"/>
  <c r="AD56" i="25"/>
  <c r="AE56" i="25" s="1"/>
  <c r="U214" i="25"/>
  <c r="AD213" i="25"/>
  <c r="AE213" i="25" s="1"/>
  <c r="AD462" i="25"/>
  <c r="AE462" i="25" s="1"/>
  <c r="U463" i="25"/>
  <c r="U481" i="25"/>
  <c r="AD480" i="25"/>
  <c r="AE480" i="25" s="1"/>
  <c r="U79" i="25"/>
  <c r="AD78" i="25"/>
  <c r="AE78" i="25" s="1"/>
  <c r="U399" i="25"/>
  <c r="AD398" i="25"/>
  <c r="AE398" i="25" s="1"/>
  <c r="AD108" i="25"/>
  <c r="AE108" i="25" s="1"/>
  <c r="U109" i="25"/>
  <c r="U476" i="25"/>
  <c r="AD475" i="25"/>
  <c r="AE475" i="25" s="1"/>
  <c r="U377" i="25"/>
  <c r="AD376" i="25"/>
  <c r="AE376" i="25" s="1"/>
  <c r="AD67" i="25"/>
  <c r="AE67" i="25" s="1"/>
  <c r="U68" i="25"/>
  <c r="AD65" i="25"/>
  <c r="AE65" i="25" s="1"/>
  <c r="U66" i="25"/>
  <c r="U100" i="25"/>
  <c r="AD99" i="25"/>
  <c r="AE99" i="25" s="1"/>
  <c r="U406" i="25"/>
  <c r="AD405" i="25"/>
  <c r="AE405" i="25" s="1"/>
  <c r="U303" i="25"/>
  <c r="AD302" i="25"/>
  <c r="AE302" i="25" s="1"/>
  <c r="U237" i="25"/>
  <c r="AD236" i="25"/>
  <c r="AE236" i="25" s="1"/>
  <c r="U244" i="25"/>
  <c r="AD243" i="25"/>
  <c r="AE243" i="25" s="1"/>
  <c r="U44" i="25"/>
  <c r="AD43" i="25"/>
  <c r="AE43" i="25" s="1"/>
  <c r="U43" i="25"/>
  <c r="AD42" i="25"/>
  <c r="AE42" i="25" s="1"/>
  <c r="U453" i="25"/>
  <c r="AD452" i="25"/>
  <c r="AE452" i="25" s="1"/>
  <c r="U71" i="25"/>
  <c r="AD70" i="25"/>
  <c r="AE70" i="25" s="1"/>
  <c r="U91" i="25"/>
  <c r="AD90" i="25"/>
  <c r="AE90" i="25" s="1"/>
  <c r="AD92" i="25"/>
  <c r="AE92" i="25" s="1"/>
  <c r="U93" i="25"/>
  <c r="U533" i="25"/>
  <c r="AD532" i="25"/>
  <c r="AE532" i="25" s="1"/>
  <c r="U162" i="25"/>
  <c r="AD161" i="25"/>
  <c r="AE161" i="25" s="1"/>
  <c r="AD371" i="25"/>
  <c r="AE371" i="25" s="1"/>
  <c r="U372" i="25"/>
  <c r="AD218" i="25"/>
  <c r="AE218" i="25" s="1"/>
  <c r="U219" i="25"/>
  <c r="U318" i="25"/>
  <c r="AD317" i="25"/>
  <c r="AE317" i="25" s="1"/>
  <c r="U155" i="25"/>
  <c r="AD154" i="25"/>
  <c r="AE154" i="25" s="1"/>
  <c r="AD223" i="25"/>
  <c r="AE223" i="25" s="1"/>
  <c r="U224" i="25"/>
  <c r="AD158" i="25"/>
  <c r="AE158" i="25" s="1"/>
  <c r="U159" i="25"/>
  <c r="U441" i="25"/>
  <c r="AD440" i="25"/>
  <c r="AE440" i="25" s="1"/>
  <c r="AD360" i="25"/>
  <c r="AE360" i="25" s="1"/>
  <c r="U361" i="25"/>
  <c r="AD254" i="25"/>
  <c r="AE254" i="25" s="1"/>
  <c r="U255" i="25"/>
  <c r="U166" i="25"/>
  <c r="AD165" i="25"/>
  <c r="AE165" i="25" s="1"/>
  <c r="AD286" i="25"/>
  <c r="AE286" i="25" s="1"/>
  <c r="U287" i="25"/>
  <c r="U127" i="25"/>
  <c r="AD126" i="25"/>
  <c r="AE126" i="25" s="1"/>
  <c r="AD538" i="25"/>
  <c r="AE538" i="25" s="1"/>
  <c r="U539" i="25"/>
  <c r="U173" i="25"/>
  <c r="AD172" i="25"/>
  <c r="AE172" i="25" s="1"/>
  <c r="U459" i="25"/>
  <c r="AD458" i="25"/>
  <c r="AE458" i="25" s="1"/>
  <c r="AD541" i="25"/>
  <c r="AE541" i="25" s="1"/>
  <c r="U542" i="25"/>
  <c r="AD402" i="25"/>
  <c r="AE402" i="25" s="1"/>
  <c r="U403" i="25"/>
  <c r="AD76" i="25"/>
  <c r="AE76" i="25" s="1"/>
  <c r="U77" i="25"/>
  <c r="U359" i="25"/>
  <c r="AD358" i="25"/>
  <c r="AE358" i="25" s="1"/>
  <c r="AD578" i="25"/>
  <c r="AE578" i="25" s="1"/>
  <c r="U579" i="25"/>
  <c r="AD470" i="25"/>
  <c r="AE470" i="25" s="1"/>
  <c r="U471" i="25"/>
  <c r="AD444" i="25"/>
  <c r="AE444" i="25" s="1"/>
  <c r="U445" i="25"/>
  <c r="U261" i="25"/>
  <c r="AD260" i="25"/>
  <c r="AE260" i="25" s="1"/>
  <c r="U386" i="25"/>
  <c r="AD385" i="25"/>
  <c r="AE385" i="25" s="1"/>
  <c r="U40" i="25"/>
  <c r="AD39" i="25"/>
  <c r="AE39" i="25" s="1"/>
  <c r="AD333" i="25"/>
  <c r="AE333" i="25" s="1"/>
  <c r="U334" i="25"/>
  <c r="U588" i="25"/>
  <c r="AD587" i="25"/>
  <c r="AE587" i="25" s="1"/>
  <c r="AD585" i="25"/>
  <c r="AE585" i="25" s="1"/>
  <c r="U586" i="25"/>
  <c r="U516" i="25"/>
  <c r="AD515" i="25"/>
  <c r="AE515" i="25" s="1"/>
  <c r="U418" i="25"/>
  <c r="AD417" i="25"/>
  <c r="AE417" i="25" s="1"/>
  <c r="U405" i="25"/>
  <c r="AD404" i="25"/>
  <c r="AE404" i="25" s="1"/>
  <c r="Y624" i="17"/>
  <c r="Y625" i="17"/>
  <c r="X624" i="17"/>
  <c r="U131" i="17"/>
  <c r="AD130" i="17"/>
  <c r="AE130" i="17" s="1"/>
  <c r="U170" i="17"/>
  <c r="AD169" i="17"/>
  <c r="AE169" i="17" s="1"/>
  <c r="U483" i="17"/>
  <c r="AD482" i="17"/>
  <c r="AE482" i="17" s="1"/>
  <c r="U153" i="17"/>
  <c r="AD152" i="17"/>
  <c r="AE152" i="17" s="1"/>
  <c r="AD348" i="17"/>
  <c r="AE348" i="17" s="1"/>
  <c r="U349" i="17"/>
  <c r="U272" i="17"/>
  <c r="AD271" i="17"/>
  <c r="AE271" i="17" s="1"/>
  <c r="U255" i="17"/>
  <c r="AD254" i="17"/>
  <c r="AE254" i="17" s="1"/>
  <c r="U442" i="17"/>
  <c r="AD441" i="17"/>
  <c r="AE441" i="17" s="1"/>
  <c r="U147" i="17"/>
  <c r="AD146" i="17"/>
  <c r="AE146" i="17" s="1"/>
  <c r="U403" i="17"/>
  <c r="AD402" i="17"/>
  <c r="AE402" i="17" s="1"/>
  <c r="U326" i="17"/>
  <c r="AD325" i="17"/>
  <c r="AE325" i="17" s="1"/>
  <c r="U251" i="17"/>
  <c r="AD250" i="17"/>
  <c r="AE250" i="17" s="1"/>
  <c r="U425" i="17"/>
  <c r="AD424" i="17"/>
  <c r="AE424" i="17" s="1"/>
  <c r="AD229" i="17"/>
  <c r="AE229" i="17" s="1"/>
  <c r="U230" i="17"/>
  <c r="U84" i="17"/>
  <c r="AD83" i="17"/>
  <c r="AE83" i="17" s="1"/>
  <c r="AD89" i="17"/>
  <c r="AE89" i="17" s="1"/>
  <c r="U90" i="17"/>
  <c r="U205" i="17"/>
  <c r="AD204" i="17"/>
  <c r="AE204" i="17" s="1"/>
  <c r="U278" i="17"/>
  <c r="AD277" i="17"/>
  <c r="AE277" i="17" s="1"/>
  <c r="AD373" i="17"/>
  <c r="AE373" i="17" s="1"/>
  <c r="U374" i="17"/>
  <c r="U78" i="17"/>
  <c r="AD77" i="17"/>
  <c r="AE77" i="17" s="1"/>
  <c r="U311" i="17"/>
  <c r="AD310" i="17"/>
  <c r="AE310" i="17" s="1"/>
  <c r="U14" i="17"/>
  <c r="AD13" i="17"/>
  <c r="U346" i="17"/>
  <c r="AD345" i="17"/>
  <c r="AE345" i="17" s="1"/>
  <c r="U572" i="17"/>
  <c r="AD571" i="17"/>
  <c r="AE571" i="17" s="1"/>
  <c r="U321" i="17"/>
  <c r="AD320" i="17"/>
  <c r="AE320" i="17" s="1"/>
  <c r="AD543" i="17"/>
  <c r="AE543" i="17" s="1"/>
  <c r="U544" i="17"/>
  <c r="AD539" i="17"/>
  <c r="AE539" i="17" s="1"/>
  <c r="U540" i="17"/>
  <c r="U567" i="17"/>
  <c r="AD566" i="17"/>
  <c r="AE566" i="17" s="1"/>
  <c r="U157" i="17"/>
  <c r="AD156" i="17"/>
  <c r="AE156" i="17" s="1"/>
  <c r="U304" i="17"/>
  <c r="AD303" i="17"/>
  <c r="AE303" i="17" s="1"/>
  <c r="U545" i="17"/>
  <c r="AD544" i="17"/>
  <c r="AE544" i="17" s="1"/>
  <c r="U176" i="17"/>
  <c r="AD175" i="17"/>
  <c r="AE175" i="17" s="1"/>
  <c r="AD21" i="17"/>
  <c r="AE21" i="17" s="1"/>
  <c r="U22" i="17"/>
  <c r="U267" i="17"/>
  <c r="AD266" i="17"/>
  <c r="AE266" i="17" s="1"/>
  <c r="U100" i="17"/>
  <c r="AD99" i="17"/>
  <c r="AE99" i="17" s="1"/>
  <c r="AD174" i="17"/>
  <c r="AE174" i="17" s="1"/>
  <c r="U175" i="17"/>
  <c r="U500" i="17"/>
  <c r="AD499" i="17"/>
  <c r="AE499" i="17" s="1"/>
  <c r="U215" i="17"/>
  <c r="AD214" i="17"/>
  <c r="AE214" i="17" s="1"/>
  <c r="U324" i="17"/>
  <c r="AD323" i="17"/>
  <c r="AE323" i="17" s="1"/>
  <c r="U379" i="17"/>
  <c r="AD378" i="17"/>
  <c r="AE378" i="17" s="1"/>
  <c r="U135" i="17"/>
  <c r="AD134" i="17"/>
  <c r="AE134" i="17" s="1"/>
  <c r="AD265" i="17"/>
  <c r="AE265" i="17" s="1"/>
  <c r="U266" i="17"/>
  <c r="AD546" i="17"/>
  <c r="AE546" i="17" s="1"/>
  <c r="U547" i="17"/>
  <c r="U399" i="17"/>
  <c r="AD398" i="17"/>
  <c r="AE398" i="17" s="1"/>
  <c r="U391" i="17"/>
  <c r="AD390" i="17"/>
  <c r="AE390" i="17" s="1"/>
  <c r="AD251" i="17"/>
  <c r="AE251" i="17" s="1"/>
  <c r="U252" i="17"/>
  <c r="U342" i="17"/>
  <c r="AD341" i="17"/>
  <c r="AE341" i="17" s="1"/>
  <c r="U68" i="17"/>
  <c r="AD67" i="17"/>
  <c r="AE67" i="17" s="1"/>
  <c r="U411" i="17"/>
  <c r="AD410" i="17"/>
  <c r="AE410" i="17" s="1"/>
  <c r="U293" i="17"/>
  <c r="AD292" i="17"/>
  <c r="AE292" i="17" s="1"/>
  <c r="U468" i="17"/>
  <c r="AD467" i="17"/>
  <c r="AE467" i="17" s="1"/>
  <c r="U239" i="17"/>
  <c r="AD238" i="17"/>
  <c r="AE238" i="17" s="1"/>
  <c r="U458" i="17"/>
  <c r="AD457" i="17"/>
  <c r="AE457" i="17" s="1"/>
  <c r="U610" i="17"/>
  <c r="AD609" i="17"/>
  <c r="AE609" i="17" s="1"/>
  <c r="U350" i="17"/>
  <c r="AD349" i="17"/>
  <c r="AE349" i="17" s="1"/>
  <c r="U280" i="17"/>
  <c r="AD279" i="17"/>
  <c r="AE279" i="17" s="1"/>
  <c r="U211" i="17"/>
  <c r="AD210" i="17"/>
  <c r="AE210" i="17" s="1"/>
  <c r="AD197" i="17"/>
  <c r="AE197" i="17" s="1"/>
  <c r="U198" i="17"/>
  <c r="U144" i="17"/>
  <c r="AD143" i="17"/>
  <c r="AE143" i="17" s="1"/>
  <c r="U406" i="17"/>
  <c r="AD405" i="17"/>
  <c r="AE405" i="17" s="1"/>
  <c r="U413" i="17"/>
  <c r="AD412" i="17"/>
  <c r="AE412" i="17" s="1"/>
  <c r="AD401" i="17"/>
  <c r="AE401" i="17" s="1"/>
  <c r="U402" i="17"/>
  <c r="U386" i="17"/>
  <c r="AD385" i="17"/>
  <c r="AE385" i="17" s="1"/>
  <c r="U32" i="17"/>
  <c r="AD31" i="17"/>
  <c r="AE31" i="17" s="1"/>
  <c r="U77" i="17"/>
  <c r="AD76" i="17"/>
  <c r="AE76" i="17" s="1"/>
  <c r="U94" i="17"/>
  <c r="AD93" i="17"/>
  <c r="AE93" i="17" s="1"/>
  <c r="AD295" i="17"/>
  <c r="AE295" i="17" s="1"/>
  <c r="U296" i="17"/>
  <c r="U421" i="17"/>
  <c r="AD420" i="17"/>
  <c r="AE420" i="17" s="1"/>
  <c r="U599" i="17"/>
  <c r="AD598" i="17"/>
  <c r="AE598" i="17" s="1"/>
  <c r="U579" i="17"/>
  <c r="AD578" i="17"/>
  <c r="AE578" i="17" s="1"/>
  <c r="U104" i="17"/>
  <c r="AD103" i="17"/>
  <c r="AE103" i="17" s="1"/>
  <c r="AD352" i="17"/>
  <c r="AE352" i="17" s="1"/>
  <c r="U353" i="17"/>
  <c r="U234" i="17"/>
  <c r="AD233" i="17"/>
  <c r="AE233" i="17" s="1"/>
  <c r="U282" i="17"/>
  <c r="AD281" i="17"/>
  <c r="AE281" i="17" s="1"/>
  <c r="AD572" i="17"/>
  <c r="AE572" i="17" s="1"/>
  <c r="U573" i="17"/>
  <c r="U158" i="17"/>
  <c r="AD157" i="17"/>
  <c r="AE157" i="17" s="1"/>
  <c r="U419" i="17"/>
  <c r="AD418" i="17"/>
  <c r="AE418" i="17" s="1"/>
  <c r="U449" i="17"/>
  <c r="AD448" i="17"/>
  <c r="AE448" i="17" s="1"/>
  <c r="AD108" i="17"/>
  <c r="AE108" i="17" s="1"/>
  <c r="U109" i="17"/>
  <c r="AD242" i="17"/>
  <c r="AE242" i="17" s="1"/>
  <c r="U243" i="17"/>
  <c r="U241" i="17"/>
  <c r="AD240" i="17"/>
  <c r="AE240" i="17" s="1"/>
  <c r="U424" i="17"/>
  <c r="AD423" i="17"/>
  <c r="AE423" i="17" s="1"/>
  <c r="U45" i="17"/>
  <c r="AD44" i="17"/>
  <c r="AE44" i="17" s="1"/>
  <c r="U507" i="17"/>
  <c r="AD506" i="17"/>
  <c r="AE506" i="17" s="1"/>
  <c r="U378" i="17"/>
  <c r="AD377" i="17"/>
  <c r="AE377" i="17" s="1"/>
  <c r="U319" i="17"/>
  <c r="AD318" i="17"/>
  <c r="AE318" i="17" s="1"/>
  <c r="U16" i="17"/>
  <c r="AD15" i="17"/>
  <c r="AE15" i="17" s="1"/>
  <c r="AD219" i="17"/>
  <c r="AE219" i="17" s="1"/>
  <c r="U220" i="17"/>
  <c r="U99" i="17"/>
  <c r="AD98" i="17"/>
  <c r="AE98" i="17" s="1"/>
  <c r="U492" i="17"/>
  <c r="AD491" i="17"/>
  <c r="AE491" i="17" s="1"/>
  <c r="U183" i="17"/>
  <c r="AD182" i="17"/>
  <c r="AE182" i="17" s="1"/>
  <c r="AD428" i="17"/>
  <c r="AE428" i="17" s="1"/>
  <c r="U429" i="17"/>
  <c r="U422" i="17"/>
  <c r="AD421" i="17"/>
  <c r="AE421" i="17" s="1"/>
  <c r="U317" i="17"/>
  <c r="AD316" i="17"/>
  <c r="AE316" i="17" s="1"/>
  <c r="U35" i="17"/>
  <c r="AD34" i="17"/>
  <c r="AE34" i="17" s="1"/>
  <c r="U485" i="17"/>
  <c r="AD484" i="17"/>
  <c r="AE484" i="17" s="1"/>
  <c r="U362" i="17"/>
  <c r="AD361" i="17"/>
  <c r="AE361" i="17" s="1"/>
  <c r="U48" i="17"/>
  <c r="AD47" i="17"/>
  <c r="AE47" i="17" s="1"/>
  <c r="U235" i="17"/>
  <c r="AD234" i="17"/>
  <c r="AE234" i="17" s="1"/>
  <c r="U233" i="17"/>
  <c r="AD232" i="17"/>
  <c r="AE232" i="17" s="1"/>
  <c r="AD556" i="17"/>
  <c r="AE556" i="17" s="1"/>
  <c r="U557" i="17"/>
  <c r="U385" i="17"/>
  <c r="AD384" i="17"/>
  <c r="AE384" i="17" s="1"/>
  <c r="AD379" i="17"/>
  <c r="AE379" i="17" s="1"/>
  <c r="U380" i="17"/>
  <c r="U188" i="17"/>
  <c r="AD187" i="17"/>
  <c r="AE187" i="17" s="1"/>
  <c r="U61" i="17"/>
  <c r="AD60" i="17"/>
  <c r="AE60" i="17" s="1"/>
  <c r="U168" i="17"/>
  <c r="AD167" i="17"/>
  <c r="AE167" i="17" s="1"/>
  <c r="U138" i="17"/>
  <c r="AD137" i="17"/>
  <c r="AE137" i="17" s="1"/>
  <c r="U495" i="17"/>
  <c r="AD494" i="17"/>
  <c r="AE494" i="17" s="1"/>
  <c r="U316" i="17"/>
  <c r="AD315" i="17"/>
  <c r="AE315" i="17" s="1"/>
  <c r="U56" i="17"/>
  <c r="AD55" i="17"/>
  <c r="AE55" i="17" s="1"/>
  <c r="U117" i="17"/>
  <c r="AD116" i="17"/>
  <c r="AE116" i="17" s="1"/>
  <c r="U447" i="17"/>
  <c r="AD446" i="17"/>
  <c r="AE446" i="17" s="1"/>
  <c r="U161" i="17"/>
  <c r="AD160" i="17"/>
  <c r="AE160" i="17" s="1"/>
  <c r="U590" i="17"/>
  <c r="AD589" i="17"/>
  <c r="AE589" i="17" s="1"/>
  <c r="AD339" i="17"/>
  <c r="AE339" i="17" s="1"/>
  <c r="U340" i="17"/>
  <c r="U518" i="17"/>
  <c r="AD517" i="17"/>
  <c r="AE517" i="17" s="1"/>
  <c r="U448" i="17"/>
  <c r="AD447" i="17"/>
  <c r="AE447" i="17" s="1"/>
  <c r="U173" i="17"/>
  <c r="AD172" i="17"/>
  <c r="AE172" i="17" s="1"/>
  <c r="U355" i="17"/>
  <c r="AD354" i="17"/>
  <c r="AE354" i="17" s="1"/>
  <c r="AD294" i="17"/>
  <c r="AE294" i="17" s="1"/>
  <c r="U295" i="17"/>
  <c r="AD364" i="17"/>
  <c r="AE364" i="17" s="1"/>
  <c r="U365" i="17"/>
  <c r="U410" i="17"/>
  <c r="AD409" i="17"/>
  <c r="AE409" i="17" s="1"/>
  <c r="U285" i="17"/>
  <c r="AD284" i="17"/>
  <c r="AE284" i="17" s="1"/>
  <c r="U213" i="17"/>
  <c r="AD212" i="17"/>
  <c r="AE212" i="17" s="1"/>
  <c r="U218" i="17"/>
  <c r="AD217" i="17"/>
  <c r="AE217" i="17" s="1"/>
  <c r="U79" i="17"/>
  <c r="AD78" i="17"/>
  <c r="AE78" i="17" s="1"/>
  <c r="U126" i="17"/>
  <c r="AD125" i="17"/>
  <c r="AE125" i="17" s="1"/>
  <c r="U52" i="17"/>
  <c r="AD51" i="17"/>
  <c r="AE51" i="17" s="1"/>
  <c r="AD128" i="17"/>
  <c r="AE128" i="17" s="1"/>
  <c r="U128" i="17"/>
  <c r="AD127" i="17"/>
  <c r="AE127" i="17" s="1"/>
  <c r="U502" i="17"/>
  <c r="AD501" i="17"/>
  <c r="AE501" i="17" s="1"/>
  <c r="U387" i="17"/>
  <c r="AD386" i="17"/>
  <c r="AE386" i="17" s="1"/>
  <c r="AD236" i="17"/>
  <c r="AE236" i="17" s="1"/>
  <c r="U237" i="17"/>
  <c r="U600" i="17"/>
  <c r="AD599" i="17"/>
  <c r="AE599" i="17" s="1"/>
  <c r="AD513" i="17"/>
  <c r="AE513" i="17" s="1"/>
  <c r="U514" i="17"/>
  <c r="U505" i="17"/>
  <c r="AD504" i="17"/>
  <c r="AE504" i="17" s="1"/>
  <c r="U490" i="17"/>
  <c r="AD489" i="17"/>
  <c r="AE489" i="17" s="1"/>
  <c r="AD564" i="17"/>
  <c r="AE564" i="17" s="1"/>
  <c r="U565" i="17"/>
  <c r="AD375" i="17"/>
  <c r="AE375" i="17" s="1"/>
  <c r="U376" i="17"/>
  <c r="AD583" i="17"/>
  <c r="AE583" i="17" s="1"/>
  <c r="U584" i="17"/>
  <c r="U219" i="17"/>
  <c r="AD218" i="17"/>
  <c r="AE218" i="17" s="1"/>
  <c r="U479" i="17"/>
  <c r="AD478" i="17"/>
  <c r="AE478" i="17" s="1"/>
  <c r="U415" i="17"/>
  <c r="AD414" i="17"/>
  <c r="AE414" i="17" s="1"/>
  <c r="U229" i="17"/>
  <c r="AD228" i="17"/>
  <c r="AE228" i="17" s="1"/>
  <c r="AD252" i="17"/>
  <c r="AE252" i="17" s="1"/>
  <c r="U253" i="17"/>
  <c r="U34" i="17"/>
  <c r="AD33" i="17"/>
  <c r="AE33" i="17" s="1"/>
  <c r="U264" i="17"/>
  <c r="AD263" i="17"/>
  <c r="AE263" i="17" s="1"/>
  <c r="U17" i="17"/>
  <c r="AD16" i="17"/>
  <c r="AE16" i="17" s="1"/>
  <c r="U332" i="17"/>
  <c r="AD331" i="17"/>
  <c r="AE331" i="17" s="1"/>
  <c r="U438" i="17"/>
  <c r="AD437" i="17"/>
  <c r="AE437" i="17" s="1"/>
  <c r="U598" i="17"/>
  <c r="AD597" i="17"/>
  <c r="AE597" i="17" s="1"/>
  <c r="U199" i="17"/>
  <c r="AD198" i="17"/>
  <c r="AE198" i="17" s="1"/>
  <c r="U372" i="17"/>
  <c r="AD371" i="17"/>
  <c r="AE371" i="17" s="1"/>
  <c r="U536" i="17"/>
  <c r="AD535" i="17"/>
  <c r="AE535" i="17" s="1"/>
  <c r="U595" i="17"/>
  <c r="AD594" i="17"/>
  <c r="AE594" i="17" s="1"/>
  <c r="U106" i="17"/>
  <c r="AD105" i="17"/>
  <c r="AE105" i="17" s="1"/>
  <c r="U542" i="17"/>
  <c r="AD541" i="17"/>
  <c r="AE541" i="17" s="1"/>
  <c r="AD258" i="17"/>
  <c r="AE258" i="17" s="1"/>
  <c r="U259" i="17"/>
  <c r="U613" i="17"/>
  <c r="AD613" i="17"/>
  <c r="AE613" i="17" s="1"/>
  <c r="AD612" i="17"/>
  <c r="AE612" i="17" s="1"/>
  <c r="AD492" i="17"/>
  <c r="AE492" i="17" s="1"/>
  <c r="U493" i="17"/>
  <c r="U336" i="17"/>
  <c r="AD335" i="17"/>
  <c r="AE335" i="17" s="1"/>
  <c r="U107" i="17"/>
  <c r="AD106" i="17"/>
  <c r="AE106" i="17" s="1"/>
  <c r="U436" i="17"/>
  <c r="AD435" i="17"/>
  <c r="AE435" i="17" s="1"/>
  <c r="U203" i="17"/>
  <c r="AD202" i="17"/>
  <c r="AE202" i="17" s="1"/>
  <c r="U441" i="17"/>
  <c r="AD440" i="17"/>
  <c r="AE440" i="17" s="1"/>
  <c r="U276" i="17"/>
  <c r="AD275" i="17"/>
  <c r="AE275" i="17" s="1"/>
  <c r="U202" i="17"/>
  <c r="AD201" i="17"/>
  <c r="AE201" i="17" s="1"/>
  <c r="U250" i="17"/>
  <c r="AD249" i="17"/>
  <c r="AE249" i="17" s="1"/>
  <c r="U521" i="17"/>
  <c r="AD520" i="17"/>
  <c r="AE520" i="17" s="1"/>
  <c r="U47" i="17"/>
  <c r="AD46" i="17"/>
  <c r="AE46" i="17" s="1"/>
  <c r="U69" i="17"/>
  <c r="AD68" i="17"/>
  <c r="AE68" i="17" s="1"/>
  <c r="U27" i="17"/>
  <c r="AD26" i="17"/>
  <c r="AE26" i="17" s="1"/>
  <c r="AD180" i="17"/>
  <c r="AE180" i="17" s="1"/>
  <c r="U181" i="17"/>
  <c r="U398" i="17"/>
  <c r="AD397" i="17"/>
  <c r="AE397" i="17" s="1"/>
  <c r="U120" i="17"/>
  <c r="AD119" i="17"/>
  <c r="AE119" i="17" s="1"/>
  <c r="AD460" i="17"/>
  <c r="AE460" i="17" s="1"/>
  <c r="U461" i="17"/>
  <c r="U607" i="17"/>
  <c r="AD606" i="17"/>
  <c r="AE606" i="17" s="1"/>
  <c r="U150" i="17"/>
  <c r="AD149" i="17"/>
  <c r="AE149" i="17" s="1"/>
  <c r="U556" i="17"/>
  <c r="AD555" i="17"/>
  <c r="AE555" i="17" s="1"/>
  <c r="U401" i="17"/>
  <c r="AD400" i="17"/>
  <c r="AE400" i="17" s="1"/>
  <c r="U156" i="17"/>
  <c r="AD155" i="17"/>
  <c r="AE155" i="17" s="1"/>
  <c r="U506" i="17"/>
  <c r="AD505" i="17"/>
  <c r="AE505" i="17" s="1"/>
  <c r="U327" i="17"/>
  <c r="AD326" i="17"/>
  <c r="AE326" i="17" s="1"/>
  <c r="U184" i="17"/>
  <c r="AD183" i="17"/>
  <c r="AE183" i="17" s="1"/>
  <c r="U339" i="17"/>
  <c r="AD338" i="17"/>
  <c r="AE338" i="17" s="1"/>
  <c r="U456" i="17"/>
  <c r="AD455" i="17"/>
  <c r="AE455" i="17" s="1"/>
  <c r="U290" i="17"/>
  <c r="AD289" i="17"/>
  <c r="AE289" i="17" s="1"/>
  <c r="U516" i="17"/>
  <c r="AD515" i="17"/>
  <c r="AE515" i="17" s="1"/>
  <c r="U91" i="17"/>
  <c r="AD90" i="17"/>
  <c r="AE90" i="17" s="1"/>
  <c r="U397" i="17"/>
  <c r="AD396" i="17"/>
  <c r="AE396" i="17" s="1"/>
  <c r="U394" i="17"/>
  <c r="AD393" i="17"/>
  <c r="AE393" i="17" s="1"/>
  <c r="U63" i="17"/>
  <c r="AD62" i="17"/>
  <c r="AE62" i="17" s="1"/>
  <c r="U314" i="17"/>
  <c r="AD313" i="17"/>
  <c r="AE313" i="17" s="1"/>
  <c r="U248" i="17"/>
  <c r="AD247" i="17"/>
  <c r="AE247" i="17" s="1"/>
  <c r="U85" i="17"/>
  <c r="AD84" i="17"/>
  <c r="AE84" i="17" s="1"/>
  <c r="AD114" i="17"/>
  <c r="AE114" i="17" s="1"/>
  <c r="U115" i="17"/>
  <c r="U31" i="17"/>
  <c r="AD30" i="17"/>
  <c r="AE30" i="17" s="1"/>
  <c r="U552" i="17"/>
  <c r="AD551" i="17"/>
  <c r="AE551" i="17" s="1"/>
  <c r="U54" i="17"/>
  <c r="AD53" i="17"/>
  <c r="AE53" i="17" s="1"/>
  <c r="U172" i="17"/>
  <c r="AD171" i="17"/>
  <c r="AE171" i="17" s="1"/>
  <c r="U555" i="17"/>
  <c r="AD554" i="17"/>
  <c r="AE554" i="17" s="1"/>
  <c r="U459" i="17"/>
  <c r="AD458" i="17"/>
  <c r="AE458" i="17" s="1"/>
  <c r="U86" i="17"/>
  <c r="AD85" i="17"/>
  <c r="AE85" i="17" s="1"/>
  <c r="U224" i="17"/>
  <c r="AD223" i="17"/>
  <c r="AE223" i="17" s="1"/>
  <c r="U487" i="17"/>
  <c r="AD486" i="17"/>
  <c r="AE486" i="17" s="1"/>
  <c r="AD372" i="17"/>
  <c r="AE372" i="17" s="1"/>
  <c r="U373" i="17"/>
  <c r="AD19" i="17"/>
  <c r="AE19" i="17" s="1"/>
  <c r="U20" i="17"/>
  <c r="U367" i="17"/>
  <c r="AD366" i="17"/>
  <c r="AE366" i="17" s="1"/>
  <c r="U538" i="17"/>
  <c r="AD537" i="17"/>
  <c r="AE537" i="17" s="1"/>
  <c r="U216" i="17"/>
  <c r="AD215" i="17"/>
  <c r="AE215" i="17" s="1"/>
  <c r="U221" i="17"/>
  <c r="AD220" i="17"/>
  <c r="AE220" i="17" s="1"/>
  <c r="U204" i="17"/>
  <c r="AD203" i="17"/>
  <c r="AE203" i="17" s="1"/>
  <c r="U315" i="17"/>
  <c r="AD314" i="17"/>
  <c r="AE314" i="17" s="1"/>
  <c r="AD430" i="17"/>
  <c r="AE430" i="17" s="1"/>
  <c r="U431" i="17"/>
  <c r="U497" i="17"/>
  <c r="AD496" i="17"/>
  <c r="AE496" i="17" s="1"/>
  <c r="U382" i="17"/>
  <c r="AD381" i="17"/>
  <c r="AE381" i="17" s="1"/>
  <c r="U29" i="17"/>
  <c r="AD28" i="17"/>
  <c r="AE28" i="17" s="1"/>
  <c r="AD363" i="17"/>
  <c r="AE363" i="17" s="1"/>
  <c r="U364" i="17"/>
  <c r="U512" i="17"/>
  <c r="AD511" i="17"/>
  <c r="AE511" i="17" s="1"/>
  <c r="U55" i="17"/>
  <c r="AD54" i="17"/>
  <c r="AE54" i="17" s="1"/>
  <c r="U132" i="17"/>
  <c r="AD131" i="17"/>
  <c r="AE131" i="17" s="1"/>
  <c r="AD407" i="17"/>
  <c r="AE407" i="17" s="1"/>
  <c r="U408" i="17"/>
  <c r="U286" i="17"/>
  <c r="AD285" i="17"/>
  <c r="AE285" i="17" s="1"/>
  <c r="AA625" i="17"/>
  <c r="E635" i="17" s="1"/>
  <c r="AD563" i="17"/>
  <c r="AE563" i="17" s="1"/>
  <c r="U564" i="17"/>
  <c r="U357" i="17"/>
  <c r="AD356" i="17"/>
  <c r="AE356" i="17" s="1"/>
  <c r="U593" i="17"/>
  <c r="AD592" i="17"/>
  <c r="AE592" i="17" s="1"/>
  <c r="U39" i="17"/>
  <c r="AD38" i="17"/>
  <c r="AE38" i="17" s="1"/>
  <c r="U305" i="17"/>
  <c r="AD304" i="17"/>
  <c r="AE304" i="17" s="1"/>
  <c r="U605" i="17"/>
  <c r="AD604" i="17"/>
  <c r="AE604" i="17" s="1"/>
  <c r="U270" i="17"/>
  <c r="AD269" i="17"/>
  <c r="AE269" i="17" s="1"/>
  <c r="U116" i="17"/>
  <c r="AD115" i="17"/>
  <c r="AE115" i="17" s="1"/>
  <c r="U152" i="17"/>
  <c r="AD151" i="17"/>
  <c r="AE151" i="17" s="1"/>
  <c r="U611" i="17"/>
  <c r="AD610" i="17"/>
  <c r="AE610" i="17" s="1"/>
  <c r="U249" i="17"/>
  <c r="AD248" i="17"/>
  <c r="AE248" i="17" s="1"/>
  <c r="U59" i="17"/>
  <c r="AD58" i="17"/>
  <c r="AE58" i="17" s="1"/>
  <c r="U236" i="17"/>
  <c r="AD235" i="17"/>
  <c r="AE235" i="17" s="1"/>
  <c r="U257" i="17"/>
  <c r="AD256" i="17"/>
  <c r="AE256" i="17" s="1"/>
  <c r="U71" i="17"/>
  <c r="AD70" i="17"/>
  <c r="AE70" i="17" s="1"/>
  <c r="U42" i="17"/>
  <c r="AD41" i="17"/>
  <c r="AE41" i="17" s="1"/>
  <c r="U404" i="17"/>
  <c r="AD403" i="17"/>
  <c r="AE403" i="17" s="1"/>
  <c r="AD161" i="17"/>
  <c r="AE161" i="17" s="1"/>
  <c r="U162" i="17"/>
  <c r="U446" i="17"/>
  <c r="AD445" i="17"/>
  <c r="AE445" i="17" s="1"/>
  <c r="U392" i="17"/>
  <c r="AD391" i="17"/>
  <c r="AE391" i="17" s="1"/>
  <c r="U108" i="17"/>
  <c r="AD107" i="17"/>
  <c r="AE107" i="17" s="1"/>
  <c r="U457" i="17"/>
  <c r="AD456" i="17"/>
  <c r="AE456" i="17" s="1"/>
  <c r="AA624" i="17"/>
  <c r="E634" i="17" s="1"/>
  <c r="Q624" i="17"/>
  <c r="D634" i="17" s="1"/>
  <c r="U167" i="17"/>
  <c r="AD166" i="17"/>
  <c r="AE166" i="17" s="1"/>
  <c r="AD519" i="17"/>
  <c r="AE519" i="17" s="1"/>
  <c r="U520" i="17"/>
  <c r="U145" i="17"/>
  <c r="AD144" i="17"/>
  <c r="AE144" i="17" s="1"/>
  <c r="U190" i="17"/>
  <c r="AD189" i="17"/>
  <c r="AE189" i="17" s="1"/>
  <c r="U396" i="17"/>
  <c r="AD395" i="17"/>
  <c r="AE395" i="17" s="1"/>
  <c r="U112" i="17"/>
  <c r="AD111" i="17"/>
  <c r="AE111" i="17" s="1"/>
  <c r="U462" i="17"/>
  <c r="AD461" i="17"/>
  <c r="AE461" i="17" s="1"/>
  <c r="U390" i="17"/>
  <c r="AD389" i="17"/>
  <c r="AE389" i="17" s="1"/>
  <c r="U261" i="17"/>
  <c r="AD260" i="17"/>
  <c r="AE260" i="17" s="1"/>
  <c r="U93" i="17"/>
  <c r="AD92" i="17"/>
  <c r="AE92" i="17" s="1"/>
  <c r="AD580" i="17"/>
  <c r="AE580" i="17" s="1"/>
  <c r="U581" i="17"/>
  <c r="U549" i="17"/>
  <c r="AD548" i="17"/>
  <c r="AE548" i="17" s="1"/>
  <c r="U303" i="17"/>
  <c r="AD302" i="17"/>
  <c r="AE302" i="17" s="1"/>
  <c r="U207" i="17"/>
  <c r="AD206" i="17"/>
  <c r="AE206" i="17" s="1"/>
  <c r="AD165" i="17"/>
  <c r="AE165" i="17" s="1"/>
  <c r="U166" i="17"/>
  <c r="U354" i="17"/>
  <c r="AD353" i="17"/>
  <c r="AE353" i="17" s="1"/>
  <c r="U356" i="17"/>
  <c r="AD355" i="17"/>
  <c r="AE355" i="17" s="1"/>
  <c r="U369" i="17"/>
  <c r="AD368" i="17"/>
  <c r="AE368" i="17" s="1"/>
  <c r="AD436" i="17"/>
  <c r="AE436" i="17" s="1"/>
  <c r="U437" i="17"/>
  <c r="U136" i="17"/>
  <c r="AD135" i="17"/>
  <c r="AE135" i="17" s="1"/>
  <c r="U297" i="17"/>
  <c r="AD296" i="17"/>
  <c r="AE296" i="17" s="1"/>
  <c r="U585" i="17"/>
  <c r="AD584" i="17"/>
  <c r="AE584" i="17" s="1"/>
  <c r="AD164" i="17"/>
  <c r="AE164" i="17" s="1"/>
  <c r="U165" i="17"/>
  <c r="U308" i="17"/>
  <c r="AD307" i="17"/>
  <c r="AE307" i="17" s="1"/>
  <c r="U466" i="17"/>
  <c r="AD465" i="17"/>
  <c r="AE465" i="17" s="1"/>
  <c r="U363" i="17"/>
  <c r="AD362" i="17"/>
  <c r="AE362" i="17" s="1"/>
  <c r="U149" i="17"/>
  <c r="AD148" i="17"/>
  <c r="AE148" i="17" s="1"/>
  <c r="U194" i="17"/>
  <c r="AD193" i="17"/>
  <c r="AE193" i="17" s="1"/>
  <c r="U454" i="17"/>
  <c r="AD453" i="17"/>
  <c r="AE453" i="17" s="1"/>
  <c r="U575" i="17"/>
  <c r="AD574" i="17"/>
  <c r="AE574" i="17" s="1"/>
  <c r="AD493" i="17"/>
  <c r="AE493" i="17" s="1"/>
  <c r="U494" i="17"/>
  <c r="U164" i="17"/>
  <c r="AD163" i="17"/>
  <c r="AE163" i="17" s="1"/>
  <c r="U528" i="17"/>
  <c r="AD527" i="17"/>
  <c r="AE527" i="17" s="1"/>
  <c r="U225" i="17"/>
  <c r="AD224" i="17"/>
  <c r="AE224" i="17" s="1"/>
  <c r="U51" i="17"/>
  <c r="AD50" i="17"/>
  <c r="AE50" i="17" s="1"/>
  <c r="U83" i="17"/>
  <c r="AD82" i="17"/>
  <c r="AE82" i="17" s="1"/>
  <c r="AD311" i="17"/>
  <c r="AE311" i="17" s="1"/>
  <c r="U312" i="17"/>
  <c r="U609" i="17"/>
  <c r="AD608" i="17"/>
  <c r="AE608" i="17" s="1"/>
  <c r="U551" i="17"/>
  <c r="AD550" i="17"/>
  <c r="AE550" i="17" s="1"/>
  <c r="AD230" i="17"/>
  <c r="AE230" i="17" s="1"/>
  <c r="U231" i="17"/>
  <c r="U247" i="17"/>
  <c r="AD246" i="17"/>
  <c r="AE246" i="17" s="1"/>
  <c r="U82" i="17"/>
  <c r="AD81" i="17"/>
  <c r="AE81" i="17" s="1"/>
  <c r="U174" i="17"/>
  <c r="AD173" i="17"/>
  <c r="AE173" i="17" s="1"/>
  <c r="U370" i="17"/>
  <c r="AD369" i="17"/>
  <c r="AE369" i="17" s="1"/>
  <c r="U608" i="17"/>
  <c r="AD607" i="17"/>
  <c r="AE607" i="17" s="1"/>
  <c r="U281" i="17"/>
  <c r="AD280" i="17"/>
  <c r="AE280" i="17" s="1"/>
  <c r="AD534" i="17"/>
  <c r="AE534" i="17" s="1"/>
  <c r="U535" i="17"/>
  <c r="U550" i="17"/>
  <c r="AD549" i="17"/>
  <c r="AE549" i="17" s="1"/>
  <c r="U344" i="17"/>
  <c r="AD343" i="17"/>
  <c r="AE343" i="17" s="1"/>
  <c r="U137" i="17"/>
  <c r="AD136" i="17"/>
  <c r="AE136" i="17" s="1"/>
  <c r="X625" i="17"/>
  <c r="AD241" i="17"/>
  <c r="AE241" i="17" s="1"/>
  <c r="U242" i="17"/>
  <c r="U151" i="17"/>
  <c r="AD150" i="17"/>
  <c r="AE150" i="17" s="1"/>
  <c r="U258" i="17"/>
  <c r="AD257" i="17"/>
  <c r="AE257" i="17" s="1"/>
  <c r="AD65" i="17"/>
  <c r="AE65" i="17" s="1"/>
  <c r="U66" i="17"/>
  <c r="U513" i="17"/>
  <c r="AD512" i="17"/>
  <c r="AE512" i="17" s="1"/>
  <c r="U244" i="17"/>
  <c r="AD243" i="17"/>
  <c r="AE243" i="17" s="1"/>
  <c r="AD523" i="17"/>
  <c r="AE523" i="17" s="1"/>
  <c r="U524" i="17"/>
  <c r="AD301" i="17"/>
  <c r="AE301" i="17" s="1"/>
  <c r="U301" i="17"/>
  <c r="AD300" i="17"/>
  <c r="AE300" i="17" s="1"/>
  <c r="U263" i="17"/>
  <c r="AD262" i="17"/>
  <c r="AE262" i="17" s="1"/>
  <c r="AD559" i="17"/>
  <c r="AE559" i="17" s="1"/>
  <c r="U560" i="17"/>
  <c r="U148" i="17"/>
  <c r="AD147" i="17"/>
  <c r="AE147" i="17" s="1"/>
  <c r="U227" i="17"/>
  <c r="AD226" i="17"/>
  <c r="AE226" i="17" s="1"/>
  <c r="U113" i="17"/>
  <c r="AD112" i="17"/>
  <c r="AE112" i="17" s="1"/>
  <c r="U96" i="17"/>
  <c r="AD95" i="17"/>
  <c r="AE95" i="17" s="1"/>
  <c r="AD526" i="17"/>
  <c r="AE526" i="17" s="1"/>
  <c r="U527" i="17"/>
  <c r="U318" i="17"/>
  <c r="AD317" i="17"/>
  <c r="AE317" i="17" s="1"/>
  <c r="U471" i="17"/>
  <c r="AD470" i="17"/>
  <c r="AE470" i="17" s="1"/>
  <c r="U412" i="17"/>
  <c r="AD411" i="17"/>
  <c r="AE411" i="17" s="1"/>
  <c r="U87" i="17"/>
  <c r="AD86" i="17"/>
  <c r="AE86" i="17" s="1"/>
  <c r="U154" i="17"/>
  <c r="AD153" i="17"/>
  <c r="AE153" i="17" s="1"/>
  <c r="AD100" i="17"/>
  <c r="AE100" i="17" s="1"/>
  <c r="U101" i="17"/>
  <c r="U351" i="17"/>
  <c r="AD350" i="17"/>
  <c r="AE350" i="17" s="1"/>
  <c r="U352" i="17"/>
  <c r="AD351" i="17"/>
  <c r="AE351" i="17" s="1"/>
  <c r="U49" i="17"/>
  <c r="AD48" i="17"/>
  <c r="AE48" i="17" s="1"/>
  <c r="U467" i="17"/>
  <c r="AD466" i="17"/>
  <c r="AE466" i="17" s="1"/>
  <c r="AD268" i="17"/>
  <c r="AE268" i="17" s="1"/>
  <c r="U269" i="17"/>
  <c r="AD427" i="17"/>
  <c r="AE427" i="17" s="1"/>
  <c r="U428" i="17"/>
  <c r="U498" i="17"/>
  <c r="AD497" i="17"/>
  <c r="AE497" i="17" s="1"/>
  <c r="AD40" i="17"/>
  <c r="AE40" i="17" s="1"/>
  <c r="U41" i="17"/>
  <c r="AD479" i="17"/>
  <c r="AE479" i="17" s="1"/>
  <c r="U480" i="17"/>
  <c r="AD74" i="17"/>
  <c r="AE74" i="17" s="1"/>
  <c r="U75" i="17"/>
  <c r="U58" i="17"/>
  <c r="AD57" i="17"/>
  <c r="AE57" i="17" s="1"/>
  <c r="U222" i="17"/>
  <c r="AD221" i="17"/>
  <c r="AE221" i="17" s="1"/>
  <c r="R624" i="17"/>
  <c r="S624" i="17" s="1"/>
  <c r="AB624" i="17"/>
  <c r="AD596" i="17"/>
  <c r="AE596" i="17" s="1"/>
  <c r="U597" i="17"/>
  <c r="AD129" i="17"/>
  <c r="AE129" i="17" s="1"/>
  <c r="U130" i="17"/>
  <c r="AD419" i="17"/>
  <c r="AE419" i="17" s="1"/>
  <c r="U420" i="17"/>
  <c r="U543" i="17"/>
  <c r="AD542" i="17"/>
  <c r="AE542" i="17" s="1"/>
  <c r="U24" i="17"/>
  <c r="AD23" i="17"/>
  <c r="AE23" i="17" s="1"/>
  <c r="U171" i="17"/>
  <c r="AD170" i="17"/>
  <c r="AE170" i="17" s="1"/>
  <c r="U474" i="17"/>
  <c r="AD473" i="17"/>
  <c r="AE473" i="17" s="1"/>
  <c r="AD521" i="17"/>
  <c r="AE521" i="17" s="1"/>
  <c r="U522" i="17"/>
  <c r="AB625" i="17"/>
  <c r="R625" i="17"/>
  <c r="S625" i="17" s="1"/>
  <c r="U345" i="17"/>
  <c r="AD344" i="17"/>
  <c r="AE344" i="17" s="1"/>
  <c r="U576" i="17"/>
  <c r="AD575" i="17"/>
  <c r="AE575" i="17" s="1"/>
  <c r="U504" i="17"/>
  <c r="AD503" i="17"/>
  <c r="AE503" i="17" s="1"/>
  <c r="U426" i="17"/>
  <c r="AD425" i="17"/>
  <c r="AE425" i="17" s="1"/>
  <c r="U517" i="17"/>
  <c r="AD516" i="17"/>
  <c r="AE516" i="17" s="1"/>
  <c r="U210" i="17"/>
  <c r="AD209" i="17"/>
  <c r="AE209" i="17" s="1"/>
  <c r="U43" i="17"/>
  <c r="AD42" i="17"/>
  <c r="AE42" i="17" s="1"/>
  <c r="U284" i="17"/>
  <c r="AD283" i="17"/>
  <c r="AE283" i="17" s="1"/>
  <c r="U133" i="17"/>
  <c r="AD132" i="17"/>
  <c r="AE132" i="17" s="1"/>
  <c r="U525" i="17"/>
  <c r="AD524" i="17"/>
  <c r="AE524" i="17" s="1"/>
  <c r="AD102" i="17"/>
  <c r="AE102" i="17" s="1"/>
  <c r="U103" i="17"/>
  <c r="U594" i="17"/>
  <c r="AD593" i="17"/>
  <c r="AE593" i="17" s="1"/>
  <c r="U561" i="17"/>
  <c r="AD560" i="17"/>
  <c r="AE560" i="17" s="1"/>
  <c r="U571" i="17"/>
  <c r="AD570" i="17"/>
  <c r="AE570" i="17" s="1"/>
  <c r="U298" i="17"/>
  <c r="AD297" i="17"/>
  <c r="AE297" i="17" s="1"/>
  <c r="U110" i="17"/>
  <c r="AD109" i="17"/>
  <c r="AE109" i="17" s="1"/>
  <c r="U185" i="17"/>
  <c r="AD184" i="17"/>
  <c r="AE184" i="17" s="1"/>
  <c r="AD357" i="17"/>
  <c r="AE357" i="17" s="1"/>
  <c r="U358" i="17"/>
  <c r="U67" i="17"/>
  <c r="AD66" i="17"/>
  <c r="AE66" i="17" s="1"/>
  <c r="U407" i="17"/>
  <c r="AD406" i="17"/>
  <c r="AE406" i="17" s="1"/>
  <c r="U381" i="17"/>
  <c r="AD380" i="17"/>
  <c r="AE380" i="17" s="1"/>
  <c r="U201" i="17"/>
  <c r="AD200" i="17"/>
  <c r="AE200" i="17" s="1"/>
  <c r="U192" i="17"/>
  <c r="AD191" i="17"/>
  <c r="AE191" i="17" s="1"/>
  <c r="U273" i="17"/>
  <c r="AD272" i="17"/>
  <c r="AE272" i="17" s="1"/>
  <c r="U140" i="17"/>
  <c r="AD139" i="17"/>
  <c r="AE139" i="17" s="1"/>
  <c r="AD475" i="17"/>
  <c r="AE475" i="17" s="1"/>
  <c r="U476" i="17"/>
  <c r="U558" i="17"/>
  <c r="AD557" i="17"/>
  <c r="AE557" i="17" s="1"/>
  <c r="U455" i="17"/>
  <c r="AD454" i="17"/>
  <c r="AE454" i="17" s="1"/>
  <c r="U240" i="17"/>
  <c r="AD239" i="17"/>
  <c r="AE239" i="17" s="1"/>
  <c r="AD140" i="17"/>
  <c r="AE140" i="17" s="1"/>
  <c r="U141" i="17"/>
  <c r="U488" i="17"/>
  <c r="AD487" i="17"/>
  <c r="AE487" i="17" s="1"/>
  <c r="AD176" i="17"/>
  <c r="AE176" i="17" s="1"/>
  <c r="U177" i="17"/>
  <c r="U331" i="17"/>
  <c r="AD330" i="17"/>
  <c r="AE330" i="17" s="1"/>
  <c r="U501" i="17"/>
  <c r="AD500" i="17"/>
  <c r="AE500" i="17" s="1"/>
  <c r="U33" i="17"/>
  <c r="AD32" i="17"/>
  <c r="AE32" i="17" s="1"/>
  <c r="U534" i="17"/>
  <c r="AD533" i="17"/>
  <c r="AE533" i="17" s="1"/>
  <c r="AD290" i="17"/>
  <c r="AE290" i="17" s="1"/>
  <c r="U291" i="17"/>
  <c r="AD561" i="17"/>
  <c r="AE561" i="17" s="1"/>
  <c r="U562" i="17"/>
  <c r="U283" i="17"/>
  <c r="AD282" i="17"/>
  <c r="AE282" i="17" s="1"/>
  <c r="U602" i="17"/>
  <c r="AD601" i="17"/>
  <c r="AE601" i="17" s="1"/>
  <c r="U76" i="17"/>
  <c r="AD75" i="17"/>
  <c r="AE75" i="17" s="1"/>
  <c r="U589" i="17"/>
  <c r="AD588" i="17"/>
  <c r="AE588" i="17" s="1"/>
  <c r="U606" i="17"/>
  <c r="AD605" i="17"/>
  <c r="AE605" i="17" s="1"/>
  <c r="U122" i="17"/>
  <c r="AD121" i="17"/>
  <c r="AE121" i="17" s="1"/>
  <c r="U53" i="17"/>
  <c r="AD52" i="17"/>
  <c r="AE52" i="17" s="1"/>
  <c r="U531" i="17"/>
  <c r="AD530" i="17"/>
  <c r="AE530" i="17" s="1"/>
  <c r="U320" i="17"/>
  <c r="AD319" i="17"/>
  <c r="AE319" i="17" s="1"/>
  <c r="U73" i="17"/>
  <c r="AD72" i="17"/>
  <c r="AE72" i="17" s="1"/>
  <c r="U46" i="17"/>
  <c r="AD45" i="17"/>
  <c r="AE45" i="17" s="1"/>
  <c r="U553" i="17"/>
  <c r="AD552" i="17"/>
  <c r="AE552" i="17" s="1"/>
  <c r="U139" i="17"/>
  <c r="AD138" i="17"/>
  <c r="AE138" i="17" s="1"/>
  <c r="U287" i="17"/>
  <c r="AD286" i="17"/>
  <c r="AE286" i="17" s="1"/>
  <c r="U393" i="17"/>
  <c r="AD392" i="17"/>
  <c r="AE392" i="17" s="1"/>
  <c r="AD602" i="17"/>
  <c r="AE602" i="17" s="1"/>
  <c r="U603" i="17"/>
  <c r="U377" i="17"/>
  <c r="AD376" i="17"/>
  <c r="AE376" i="17" s="1"/>
  <c r="U228" i="17"/>
  <c r="AD227" i="17"/>
  <c r="AE227" i="17" s="1"/>
  <c r="U23" i="17"/>
  <c r="AD22" i="17"/>
  <c r="AE22" i="17" s="1"/>
  <c r="U111" i="17"/>
  <c r="AD110" i="17"/>
  <c r="AE110" i="17" s="1"/>
  <c r="U578" i="17"/>
  <c r="AD577" i="17"/>
  <c r="AE577" i="17" s="1"/>
  <c r="U469" i="17"/>
  <c r="AD468" i="17"/>
  <c r="AE468" i="17" s="1"/>
  <c r="U299" i="17"/>
  <c r="AD298" i="17"/>
  <c r="AE298" i="17" s="1"/>
  <c r="U529" i="17"/>
  <c r="AD528" i="17"/>
  <c r="AE528" i="17" s="1"/>
  <c r="U453" i="17"/>
  <c r="AD452" i="17"/>
  <c r="AE452" i="17" s="1"/>
  <c r="U57" i="17"/>
  <c r="AD56" i="17"/>
  <c r="AE56" i="17" s="1"/>
  <c r="U118" i="17"/>
  <c r="AD117" i="17"/>
  <c r="AE117" i="17" s="1"/>
  <c r="U343" i="17"/>
  <c r="AD342" i="17"/>
  <c r="AE342" i="17" s="1"/>
  <c r="AD603" i="17"/>
  <c r="AE603" i="17" s="1"/>
  <c r="U604" i="17"/>
  <c r="U395" i="17"/>
  <c r="AD394" i="17"/>
  <c r="AE394" i="17" s="1"/>
  <c r="U329" i="17"/>
  <c r="AD328" i="17"/>
  <c r="AE328" i="17" s="1"/>
  <c r="AD449" i="17"/>
  <c r="AE449" i="17" s="1"/>
  <c r="U450" i="17"/>
  <c r="U432" i="17"/>
  <c r="AD431" i="17"/>
  <c r="AE431" i="17" s="1"/>
  <c r="U375" i="17"/>
  <c r="AD374" i="17"/>
  <c r="AE374" i="17" s="1"/>
  <c r="AD488" i="17"/>
  <c r="AE488" i="17" s="1"/>
  <c r="U489" i="17"/>
  <c r="U577" i="17"/>
  <c r="AD576" i="17"/>
  <c r="AE576" i="17" s="1"/>
  <c r="AD264" i="17"/>
  <c r="AE264" i="17" s="1"/>
  <c r="U265" i="17"/>
  <c r="AD474" i="17"/>
  <c r="AE474" i="17" s="1"/>
  <c r="U475" i="17"/>
  <c r="AD207" i="17"/>
  <c r="AE207" i="17" s="1"/>
  <c r="U208" i="17"/>
  <c r="U596" i="17"/>
  <c r="AD595" i="17"/>
  <c r="AE595" i="17" s="1"/>
  <c r="AD337" i="17"/>
  <c r="AE337" i="17" s="1"/>
  <c r="U338" i="17"/>
  <c r="AD586" i="17"/>
  <c r="AE586" i="17" s="1"/>
  <c r="U587" i="17"/>
  <c r="AD39" i="17"/>
  <c r="AE39" i="17" s="1"/>
  <c r="U40" i="17"/>
  <c r="U97" i="17"/>
  <c r="AD96" i="17"/>
  <c r="AE96" i="17" s="1"/>
  <c r="U74" i="17"/>
  <c r="AD73" i="17"/>
  <c r="AE73" i="17" s="1"/>
  <c r="U499" i="17"/>
  <c r="AD498" i="17"/>
  <c r="AE498" i="17" s="1"/>
  <c r="AD188" i="17"/>
  <c r="AE188" i="17" s="1"/>
  <c r="U189" i="17"/>
  <c r="AD477" i="17"/>
  <c r="AE477" i="17" s="1"/>
  <c r="U478" i="17"/>
  <c r="U246" i="17"/>
  <c r="AD245" i="17"/>
  <c r="AE245" i="17" s="1"/>
  <c r="U532" i="17"/>
  <c r="AD531" i="17"/>
  <c r="AE531" i="17" s="1"/>
  <c r="U105" i="17"/>
  <c r="AD104" i="17"/>
  <c r="AE104" i="17" s="1"/>
  <c r="U143" i="17"/>
  <c r="AD142" i="17"/>
  <c r="AE142" i="17" s="1"/>
  <c r="U114" i="17"/>
  <c r="AD113" i="17"/>
  <c r="AE113" i="17" s="1"/>
  <c r="U50" i="17"/>
  <c r="AD49" i="17"/>
  <c r="AE49" i="17" s="1"/>
  <c r="AD36" i="17"/>
  <c r="AE36" i="17" s="1"/>
  <c r="U37" i="17"/>
  <c r="U28" i="17"/>
  <c r="AD27" i="17"/>
  <c r="AE27" i="17" s="1"/>
  <c r="AD244" i="17"/>
  <c r="AE244" i="17" s="1"/>
  <c r="U245" i="17"/>
  <c r="U477" i="17"/>
  <c r="AD476" i="17"/>
  <c r="AE476" i="17" s="1"/>
  <c r="AD413" i="17"/>
  <c r="AE413" i="17" s="1"/>
  <c r="U414" i="17"/>
  <c r="U209" i="17"/>
  <c r="AD208" i="17"/>
  <c r="AE208" i="17" s="1"/>
  <c r="U123" i="17"/>
  <c r="AD122" i="17"/>
  <c r="AE122" i="17" s="1"/>
  <c r="AD179" i="17"/>
  <c r="AE179" i="17" s="1"/>
  <c r="U180" i="17"/>
  <c r="U121" i="17"/>
  <c r="AD120" i="17"/>
  <c r="AE120" i="17" s="1"/>
  <c r="AD444" i="17"/>
  <c r="AE444" i="17" s="1"/>
  <c r="U445" i="17"/>
  <c r="U337" i="17"/>
  <c r="AD336" i="17"/>
  <c r="AE336" i="17" s="1"/>
  <c r="U526" i="17"/>
  <c r="AD525" i="17"/>
  <c r="AE525" i="17" s="1"/>
  <c r="U473" i="17"/>
  <c r="AD472" i="17"/>
  <c r="AE472" i="17" s="1"/>
  <c r="U515" i="17"/>
  <c r="AD514" i="17"/>
  <c r="AE514" i="17" s="1"/>
  <c r="U440" i="17"/>
  <c r="AD439" i="17"/>
  <c r="AE439" i="17" s="1"/>
  <c r="AD370" i="17"/>
  <c r="AE370" i="17" s="1"/>
  <c r="U371" i="17"/>
  <c r="AD485" i="17"/>
  <c r="AE485" i="17" s="1"/>
  <c r="U486" i="17"/>
  <c r="U292" i="17"/>
  <c r="AD291" i="17"/>
  <c r="AE291" i="17" s="1"/>
  <c r="U388" i="17"/>
  <c r="AD387" i="17"/>
  <c r="AE387" i="17" s="1"/>
  <c r="U405" i="17"/>
  <c r="AD404" i="17"/>
  <c r="AE404" i="17" s="1"/>
  <c r="U322" i="17"/>
  <c r="AD321" i="17"/>
  <c r="AE321" i="17" s="1"/>
  <c r="AD192" i="17"/>
  <c r="AE192" i="17" s="1"/>
  <c r="U193" i="17"/>
  <c r="AD481" i="17"/>
  <c r="AE481" i="17" s="1"/>
  <c r="U482" i="17"/>
  <c r="AD507" i="17"/>
  <c r="AE507" i="17" s="1"/>
  <c r="U508" i="17"/>
  <c r="U288" i="17"/>
  <c r="AD287" i="17"/>
  <c r="AE287" i="17" s="1"/>
  <c r="U226" i="17"/>
  <c r="AD225" i="17"/>
  <c r="AE225" i="17" s="1"/>
  <c r="U217" i="17"/>
  <c r="AD216" i="17"/>
  <c r="AE216" i="17" s="1"/>
  <c r="U583" i="17"/>
  <c r="AD582" i="17"/>
  <c r="AE582" i="17" s="1"/>
  <c r="U15" i="17"/>
  <c r="AD14" i="17"/>
  <c r="AE14" i="17" s="1"/>
  <c r="U44" i="17"/>
  <c r="AD43" i="17"/>
  <c r="AE43" i="17" s="1"/>
  <c r="U182" i="17"/>
  <c r="AD181" i="17"/>
  <c r="AE181" i="17" s="1"/>
  <c r="U102" i="17"/>
  <c r="AD101" i="17"/>
  <c r="AE101" i="17" s="1"/>
  <c r="AD459" i="17"/>
  <c r="AE459" i="17" s="1"/>
  <c r="U460" i="17"/>
  <c r="AD532" i="17"/>
  <c r="AE532" i="17" s="1"/>
  <c r="U533" i="17"/>
  <c r="AD159" i="17"/>
  <c r="AE159" i="17" s="1"/>
  <c r="U160" i="17"/>
  <c r="U186" i="17"/>
  <c r="AD185" i="17"/>
  <c r="AE185" i="17" s="1"/>
  <c r="U26" i="17"/>
  <c r="AD25" i="17"/>
  <c r="AE25" i="17" s="1"/>
  <c r="AD565" i="17"/>
  <c r="AE565" i="17" s="1"/>
  <c r="U566" i="17"/>
  <c r="U472" i="17"/>
  <c r="AD471" i="17"/>
  <c r="AE471" i="17" s="1"/>
  <c r="U612" i="17"/>
  <c r="AD611" i="17"/>
  <c r="AE611" i="17" s="1"/>
  <c r="U383" i="17"/>
  <c r="AD382" i="17"/>
  <c r="AE382" i="17" s="1"/>
  <c r="U206" i="17"/>
  <c r="AD205" i="17"/>
  <c r="AE205" i="17" s="1"/>
  <c r="AD434" i="17"/>
  <c r="AE434" i="17" s="1"/>
  <c r="U435" i="17"/>
  <c r="AD416" i="17"/>
  <c r="AE416" i="17" s="1"/>
  <c r="U417" i="17"/>
  <c r="AD579" i="17"/>
  <c r="AE579" i="17" s="1"/>
  <c r="U580" i="17"/>
  <c r="AD429" i="17"/>
  <c r="AE429" i="17" s="1"/>
  <c r="U430" i="17"/>
  <c r="U484" i="17"/>
  <c r="AD483" i="17"/>
  <c r="AE483" i="17" s="1"/>
  <c r="U325" i="17"/>
  <c r="AD324" i="17"/>
  <c r="AE324" i="17" s="1"/>
  <c r="U530" i="17"/>
  <c r="AD529" i="17"/>
  <c r="AE529" i="17" s="1"/>
  <c r="AD126" i="17"/>
  <c r="AE126" i="17" s="1"/>
  <c r="U127" i="17"/>
  <c r="AD211" i="17"/>
  <c r="AE211" i="17" s="1"/>
  <c r="U212" i="17"/>
  <c r="U95" i="17"/>
  <c r="AD94" i="17"/>
  <c r="AE94" i="17" s="1"/>
  <c r="AD346" i="17"/>
  <c r="AE346" i="17" s="1"/>
  <c r="U347" i="17"/>
  <c r="AD450" i="17"/>
  <c r="AE450" i="17" s="1"/>
  <c r="U451" i="17"/>
  <c r="U274" i="17"/>
  <c r="AD273" i="17"/>
  <c r="AE273" i="17" s="1"/>
  <c r="U92" i="17"/>
  <c r="AD91" i="17"/>
  <c r="AE91" i="17" s="1"/>
  <c r="U569" i="17"/>
  <c r="AD568" i="17"/>
  <c r="AE568" i="17" s="1"/>
  <c r="U163" i="17"/>
  <c r="AD162" i="17"/>
  <c r="AE162" i="17" s="1"/>
  <c r="U80" i="17"/>
  <c r="AD79" i="17"/>
  <c r="AE79" i="17" s="1"/>
  <c r="AD158" i="17"/>
  <c r="AE158" i="17" s="1"/>
  <c r="U159" i="17"/>
  <c r="U256" i="17"/>
  <c r="AD255" i="17"/>
  <c r="AE255" i="17" s="1"/>
  <c r="U88" i="17"/>
  <c r="AD87" i="17"/>
  <c r="AE87" i="17" s="1"/>
  <c r="U427" i="17"/>
  <c r="AD426" i="17"/>
  <c r="AE426" i="17" s="1"/>
  <c r="U62" i="17"/>
  <c r="AD61" i="17"/>
  <c r="AE61" i="17" s="1"/>
  <c r="AD367" i="17"/>
  <c r="AE367" i="17" s="1"/>
  <c r="U368" i="17"/>
  <c r="U169" i="17"/>
  <c r="AD168" i="17"/>
  <c r="AE168" i="17" s="1"/>
  <c r="U418" i="17"/>
  <c r="AD417" i="17"/>
  <c r="AE417" i="17" s="1"/>
  <c r="U582" i="17"/>
  <c r="AD581" i="17"/>
  <c r="AE581" i="17" s="1"/>
  <c r="AD270" i="17"/>
  <c r="AE270" i="17" s="1"/>
  <c r="U271" i="17"/>
  <c r="AD508" i="17"/>
  <c r="AE508" i="17" s="1"/>
  <c r="U509" i="17"/>
  <c r="U81" i="17"/>
  <c r="AD80" i="17"/>
  <c r="AE80" i="17" s="1"/>
  <c r="U416" i="17"/>
  <c r="AD415" i="17"/>
  <c r="AE415" i="17" s="1"/>
  <c r="U348" i="17"/>
  <c r="AD347" i="17"/>
  <c r="AE347" i="17" s="1"/>
  <c r="U232" i="17"/>
  <c r="AD231" i="17"/>
  <c r="AE231" i="17" s="1"/>
  <c r="AD332" i="17"/>
  <c r="AE332" i="17" s="1"/>
  <c r="U333" i="17"/>
  <c r="U334" i="17"/>
  <c r="AD333" i="17"/>
  <c r="AE333" i="17" s="1"/>
  <c r="U423" i="17"/>
  <c r="AD422" i="17"/>
  <c r="AE422" i="17" s="1"/>
  <c r="U559" i="17"/>
  <c r="AD558" i="17"/>
  <c r="AE558" i="17" s="1"/>
  <c r="AD20" i="17"/>
  <c r="AE20" i="17" s="1"/>
  <c r="U21" i="17"/>
  <c r="AD63" i="17"/>
  <c r="AE63" i="17" s="1"/>
  <c r="U64" i="17"/>
  <c r="U491" i="17"/>
  <c r="AD490" i="17"/>
  <c r="AE490" i="17" s="1"/>
  <c r="U155" i="17"/>
  <c r="AD154" i="17"/>
  <c r="AE154" i="17" s="1"/>
  <c r="U25" i="17"/>
  <c r="AD24" i="17"/>
  <c r="AE24" i="17" s="1"/>
  <c r="U496" i="17"/>
  <c r="AD495" i="17"/>
  <c r="AE495" i="17" s="1"/>
  <c r="U361" i="17"/>
  <c r="AD360" i="17"/>
  <c r="AE360" i="17" s="1"/>
  <c r="U503" i="17"/>
  <c r="AD502" i="17"/>
  <c r="AE502" i="17" s="1"/>
  <c r="AD433" i="17"/>
  <c r="AE433" i="17" s="1"/>
  <c r="U434" i="17"/>
  <c r="AD334" i="17"/>
  <c r="AE334" i="17" s="1"/>
  <c r="U335" i="17"/>
  <c r="U444" i="17"/>
  <c r="AD443" i="17"/>
  <c r="AE443" i="17" s="1"/>
  <c r="AD469" i="17"/>
  <c r="AE469" i="17" s="1"/>
  <c r="U470" i="17"/>
  <c r="U537" i="17"/>
  <c r="AD536" i="17"/>
  <c r="AE536" i="17" s="1"/>
  <c r="AD35" i="17"/>
  <c r="AE35" i="17" s="1"/>
  <c r="U36" i="17"/>
  <c r="AD145" i="17"/>
  <c r="AE145" i="17" s="1"/>
  <c r="U146" i="17"/>
  <c r="U196" i="17"/>
  <c r="AD195" i="17"/>
  <c r="AE195" i="17" s="1"/>
  <c r="AD186" i="17"/>
  <c r="AE186" i="17" s="1"/>
  <c r="U187" i="17"/>
  <c r="AD553" i="17"/>
  <c r="AE553" i="17" s="1"/>
  <c r="U554" i="17"/>
  <c r="U510" i="17"/>
  <c r="AD509" i="17"/>
  <c r="AE509" i="17" s="1"/>
  <c r="U519" i="17"/>
  <c r="AD518" i="17"/>
  <c r="AE518" i="17" s="1"/>
  <c r="U546" i="17"/>
  <c r="AD545" i="17"/>
  <c r="AE545" i="17" s="1"/>
  <c r="U38" i="17"/>
  <c r="AD37" i="17"/>
  <c r="AE37" i="17" s="1"/>
  <c r="U142" i="17"/>
  <c r="AD141" i="17"/>
  <c r="AE141" i="17" s="1"/>
  <c r="U313" i="17"/>
  <c r="AD312" i="17"/>
  <c r="AE312" i="17" s="1"/>
  <c r="U511" i="17"/>
  <c r="AD510" i="17"/>
  <c r="AE510" i="17" s="1"/>
  <c r="U254" i="17"/>
  <c r="AD253" i="17"/>
  <c r="AE253" i="17" s="1"/>
  <c r="U328" i="17"/>
  <c r="AD327" i="17"/>
  <c r="AE327" i="17" s="1"/>
  <c r="AD522" i="17"/>
  <c r="AE522" i="17" s="1"/>
  <c r="U523" i="17"/>
  <c r="AD600" i="17"/>
  <c r="AE600" i="17" s="1"/>
  <c r="U601" i="17"/>
  <c r="U200" i="17"/>
  <c r="AD199" i="17"/>
  <c r="AE199" i="17" s="1"/>
  <c r="U30" i="17"/>
  <c r="AD29" i="17"/>
  <c r="AE29" i="17" s="1"/>
  <c r="U197" i="17"/>
  <c r="AD196" i="17"/>
  <c r="AE196" i="17" s="1"/>
  <c r="U260" i="17"/>
  <c r="AD259" i="17"/>
  <c r="AE259" i="17" s="1"/>
  <c r="AD267" i="17"/>
  <c r="AE267" i="17" s="1"/>
  <c r="U268" i="17"/>
  <c r="U592" i="17"/>
  <c r="AD591" i="17"/>
  <c r="AE591" i="17" s="1"/>
  <c r="AD299" i="17"/>
  <c r="AE299" i="17" s="1"/>
  <c r="U300" i="17"/>
  <c r="AD177" i="17"/>
  <c r="AE177" i="17" s="1"/>
  <c r="U178" i="17"/>
  <c r="U125" i="17"/>
  <c r="AD124" i="17"/>
  <c r="AE124" i="17" s="1"/>
  <c r="U65" i="17"/>
  <c r="AD64" i="17"/>
  <c r="AE64" i="17" s="1"/>
  <c r="U277" i="17"/>
  <c r="AD276" i="17"/>
  <c r="AE276" i="17" s="1"/>
  <c r="AD306" i="17"/>
  <c r="AE306" i="17" s="1"/>
  <c r="U306" i="17"/>
  <c r="AD305" i="17"/>
  <c r="AE305" i="17" s="1"/>
  <c r="AD237" i="17"/>
  <c r="AE237" i="17" s="1"/>
  <c r="U238" i="17"/>
  <c r="U464" i="17"/>
  <c r="AD463" i="17"/>
  <c r="AE463" i="17" s="1"/>
  <c r="U359" i="17"/>
  <c r="AD358" i="17"/>
  <c r="AE358" i="17" s="1"/>
  <c r="U18" i="17"/>
  <c r="AD17" i="17"/>
  <c r="AE17" i="17" s="1"/>
  <c r="U19" i="17"/>
  <c r="AD18" i="17"/>
  <c r="AE18" i="17" s="1"/>
  <c r="U366" i="17"/>
  <c r="AD365" i="17"/>
  <c r="AE365" i="17" s="1"/>
  <c r="U360" i="17"/>
  <c r="AD359" i="17"/>
  <c r="AE359" i="17" s="1"/>
  <c r="U568" i="17"/>
  <c r="AD567" i="17"/>
  <c r="AE567" i="17" s="1"/>
  <c r="AD194" i="17"/>
  <c r="AE194" i="17" s="1"/>
  <c r="U195" i="17"/>
  <c r="U70" i="17"/>
  <c r="AD69" i="17"/>
  <c r="AE69" i="17" s="1"/>
  <c r="U570" i="17"/>
  <c r="AD569" i="17"/>
  <c r="AE569" i="17" s="1"/>
  <c r="U539" i="17"/>
  <c r="AD538" i="17"/>
  <c r="AE538" i="17" s="1"/>
  <c r="U89" i="17"/>
  <c r="AD88" i="17"/>
  <c r="AE88" i="17" s="1"/>
  <c r="AD178" i="17"/>
  <c r="AE178" i="17" s="1"/>
  <c r="U179" i="17"/>
  <c r="U124" i="17"/>
  <c r="AD123" i="17"/>
  <c r="AE123" i="17" s="1"/>
  <c r="U465" i="17"/>
  <c r="AD464" i="17"/>
  <c r="AE464" i="17" s="1"/>
  <c r="AD274" i="17"/>
  <c r="AE274" i="17" s="1"/>
  <c r="U275" i="17"/>
  <c r="U439" i="17"/>
  <c r="AD438" i="17"/>
  <c r="AE438" i="17" s="1"/>
  <c r="U591" i="17"/>
  <c r="AD590" i="17"/>
  <c r="AE590" i="17" s="1"/>
  <c r="U294" i="17"/>
  <c r="AD293" i="17"/>
  <c r="AE293" i="17" s="1"/>
  <c r="U400" i="17"/>
  <c r="AD399" i="17"/>
  <c r="AE399" i="17" s="1"/>
  <c r="U262" i="17"/>
  <c r="AD261" i="17"/>
  <c r="AE261" i="17" s="1"/>
  <c r="AD442" i="17"/>
  <c r="AE442" i="17" s="1"/>
  <c r="U443" i="17"/>
  <c r="AD222" i="17"/>
  <c r="AE222" i="17" s="1"/>
  <c r="U223" i="17"/>
  <c r="AD190" i="17"/>
  <c r="AE190" i="17" s="1"/>
  <c r="U191" i="17"/>
  <c r="AD480" i="17"/>
  <c r="AE480" i="17" s="1"/>
  <c r="U481" i="17"/>
  <c r="AD71" i="17"/>
  <c r="AE71" i="17" s="1"/>
  <c r="U72" i="17"/>
  <c r="U341" i="17"/>
  <c r="AD340" i="17"/>
  <c r="AE340" i="17" s="1"/>
  <c r="U548" i="17"/>
  <c r="AD547" i="17"/>
  <c r="AE547" i="17" s="1"/>
  <c r="AD59" i="17"/>
  <c r="AE59" i="17" s="1"/>
  <c r="U60" i="17"/>
  <c r="U330" i="17"/>
  <c r="AD329" i="17"/>
  <c r="AE329" i="17" s="1"/>
  <c r="U289" i="17"/>
  <c r="AD288" i="17"/>
  <c r="AE288" i="17" s="1"/>
  <c r="U323" i="17"/>
  <c r="AD322" i="17"/>
  <c r="AE322" i="17" s="1"/>
  <c r="U384" i="17"/>
  <c r="AD383" i="17"/>
  <c r="AE383" i="17" s="1"/>
  <c r="U119" i="17"/>
  <c r="AD118" i="17"/>
  <c r="AE118" i="17" s="1"/>
  <c r="U409" i="17"/>
  <c r="AD408" i="17"/>
  <c r="AE408" i="17" s="1"/>
  <c r="U588" i="17"/>
  <c r="AD587" i="17"/>
  <c r="AE587" i="17" s="1"/>
  <c r="U586" i="17"/>
  <c r="AD585" i="17"/>
  <c r="AE585" i="17" s="1"/>
  <c r="U134" i="17"/>
  <c r="AD133" i="17"/>
  <c r="AE133" i="17" s="1"/>
  <c r="AD451" i="17"/>
  <c r="AE451" i="17" s="1"/>
  <c r="U452" i="17"/>
  <c r="Q625" i="17"/>
  <c r="D635" i="17" s="1"/>
  <c r="U389" i="17"/>
  <c r="AD388" i="17"/>
  <c r="AE388" i="17" s="1"/>
  <c r="U563" i="17"/>
  <c r="AD562" i="17"/>
  <c r="AE562" i="17" s="1"/>
  <c r="AD573" i="17"/>
  <c r="AE573" i="17" s="1"/>
  <c r="U574" i="17"/>
  <c r="U463" i="17"/>
  <c r="AD462" i="17"/>
  <c r="AE462" i="17" s="1"/>
  <c r="U310" i="17"/>
  <c r="AD309" i="17"/>
  <c r="AE309" i="17" s="1"/>
  <c r="U214" i="17"/>
  <c r="AD213" i="17"/>
  <c r="AE213" i="17" s="1"/>
  <c r="U279" i="17"/>
  <c r="AD278" i="17"/>
  <c r="AE278" i="17" s="1"/>
  <c r="U433" i="17"/>
  <c r="AD432" i="17"/>
  <c r="AE432" i="17" s="1"/>
  <c r="U309" i="17"/>
  <c r="AD308" i="17"/>
  <c r="AE308" i="17" s="1"/>
  <c r="U541" i="17"/>
  <c r="AD540" i="17"/>
  <c r="AE540" i="17" s="1"/>
  <c r="U98" i="17"/>
  <c r="AD97" i="17"/>
  <c r="AE97" i="17" s="1"/>
  <c r="AE7" i="25" l="1"/>
  <c r="Q4" i="25" s="1"/>
  <c r="AE13" i="25"/>
  <c r="AE9" i="25" s="1"/>
  <c r="Q5" i="25" s="1"/>
  <c r="AE13" i="17"/>
  <c r="AE9" i="17" s="1"/>
  <c r="Q5" i="17" s="1"/>
  <c r="AE7" i="17"/>
  <c r="Q4" i="17" s="1"/>
  <c r="A640" i="25" l="1"/>
  <c r="A617" i="25"/>
  <c r="A639" i="25"/>
  <c r="A617" i="17"/>
  <c r="B388" i="2"/>
  <c r="A388" i="2"/>
  <c r="A640" i="17"/>
  <c r="D388" i="2"/>
  <c r="A639" i="17"/>
  <c r="B389" i="2"/>
  <c r="A389" i="2"/>
  <c r="M617" i="25" l="1"/>
  <c r="P617" i="25"/>
  <c r="L617" i="25"/>
  <c r="D617" i="25"/>
  <c r="K617" i="25"/>
  <c r="I617" i="25"/>
  <c r="F617" i="25"/>
  <c r="N617" i="25"/>
  <c r="A618" i="25"/>
  <c r="A619" i="25" s="1"/>
  <c r="C617" i="25"/>
  <c r="E617" i="25"/>
  <c r="J617" i="25"/>
  <c r="O617" i="25"/>
  <c r="F617" i="17"/>
  <c r="J617" i="17"/>
  <c r="C617" i="17"/>
  <c r="D617" i="17"/>
  <c r="N617" i="17"/>
  <c r="M617" i="17"/>
  <c r="A618" i="17"/>
  <c r="A619" i="17" s="1"/>
  <c r="P617" i="17"/>
  <c r="O617" i="17"/>
  <c r="I617" i="17"/>
  <c r="K617" i="17"/>
  <c r="E617" i="17"/>
  <c r="L617" i="17"/>
  <c r="AA617" i="25" l="1"/>
  <c r="Q617" i="25"/>
  <c r="AB617" i="25"/>
  <c r="R617" i="25"/>
  <c r="X617" i="25"/>
  <c r="Y617" i="25"/>
  <c r="Y617" i="17"/>
  <c r="X617" i="17"/>
  <c r="Q617" i="17"/>
  <c r="AA617" i="17"/>
  <c r="AB617" i="17"/>
  <c r="R617" i="17"/>
  <c r="S617" i="25" l="1"/>
  <c r="R620" i="25"/>
  <c r="R620" i="17"/>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LM(2)5137(F)/-Q1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LM(2)5137(F)/-Q1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http://www.ti.com/power/</t>
        </r>
        <r>
          <rPr>
            <sz val="9"/>
            <color indexed="81"/>
            <rFont val="Tahoma"/>
            <family val="2"/>
          </rPr>
          <t xml:space="preserve">
</t>
        </r>
        <r>
          <rPr>
            <b/>
            <sz val="9"/>
            <color indexed="81"/>
            <rFont val="Tahoma"/>
            <family val="2"/>
          </rPr>
          <t xml:space="preserve">
Rev B6,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LM(2)5137(F)/-Q1 product datasheet and EVM user's guide for more details.
</t>
        </r>
        <r>
          <rPr>
            <b/>
            <sz val="9"/>
            <color indexed="81"/>
            <rFont val="Tahoma"/>
            <family val="2"/>
          </rPr>
          <t>Rev B6,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LM(2)5137F-Q1 input voltage operating range is 4V to (42V)80V.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(42V)80V</t>
        </r>
        <r>
          <rPr>
            <sz val="9"/>
            <color indexed="81"/>
            <rFont val="Tahoma"/>
            <family val="2"/>
          </rPr>
          <t xml:space="preserve">
-The input voltage is below </t>
        </r>
        <r>
          <rPr>
            <b/>
            <sz val="9"/>
            <color indexed="10"/>
            <rFont val="Tahoma"/>
            <family val="2"/>
          </rPr>
          <t>4V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LM(2)5137F-Q1 input voltage operating range is 4V to (42V)80V.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LM(2)5137F/-Q1 input voltage operating range is 4V to (42V)80V.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(42V)80V</t>
        </r>
        <r>
          <rPr>
            <sz val="9"/>
            <color indexed="81"/>
            <rFont val="Tahoma"/>
            <family val="2"/>
          </rPr>
          <t xml:space="preserve">
-The input voltage is below </t>
        </r>
        <r>
          <rPr>
            <b/>
            <sz val="9"/>
            <color indexed="10"/>
            <rFont val="Tahoma"/>
            <family val="2"/>
          </rPr>
          <t>4V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60V (LM5137F) or 36V (LM25137F) 
-The output voltage is below 0.8V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the clock frequency applied at PFM/SYNC. The max frequency set by RT is 2.2MHz, but a SYNC signal can be as high as 2.64MHz.
</t>
        </r>
        <r>
          <rPr>
            <b/>
            <sz val="9"/>
            <color indexed="81"/>
            <rFont val="Tahoma"/>
            <family val="2"/>
          </rPr>
          <t xml:space="preserve">The text in the cell is flagged red if:
</t>
        </r>
        <r>
          <rPr>
            <b/>
            <sz val="9"/>
            <color indexed="10"/>
            <rFont val="Tahoma"/>
            <family val="2"/>
          </rPr>
          <t>-The frequency is below 100 kHz
-The frequency is above 2.64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the inductor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 Also, it is advised to not exceed 2x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1" authorId="0" shapeId="0" xr:uid="{54701086-47FA-466F-AD52-E247A7FAFBB0}">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F34"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6"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8"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3"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5"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7"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2"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If the RSS resistance is greater than 500kΩ or the pin is left open circuit, the soft-start time is 6.5ms. Shorting the RSS pin to GND gives a soft-start time of 1.25ms.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1.25ms or greater than 50ms.</t>
        </r>
      </text>
    </comment>
    <comment ref="F54" authorId="0" shapeId="0" xr:uid="{00000000-0006-0000-0000-000019000000}">
      <text>
        <r>
          <rPr>
            <b/>
            <u/>
            <sz val="8"/>
            <color indexed="81"/>
            <rFont val="Tahoma"/>
            <family val="2"/>
          </rPr>
          <t>UVLO Turn-On Voltage</t>
        </r>
        <r>
          <rPr>
            <b/>
            <sz val="8"/>
            <color indexed="81"/>
            <rFont val="Tahoma"/>
            <family val="2"/>
          </rPr>
          <t xml:space="preserve">:
</t>
        </r>
        <r>
          <rPr>
            <sz val="8"/>
            <color indexed="81"/>
            <rFont val="Tahoma"/>
            <family val="2"/>
          </rPr>
          <t xml:space="preserve">Enter the desired UVLO turn-on voltage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UVLO turn-on voltage is greater than the V</t>
        </r>
        <r>
          <rPr>
            <b/>
            <vertAlign val="subscript"/>
            <sz val="8"/>
            <color indexed="10"/>
            <rFont val="Tahoma"/>
            <family val="2"/>
          </rPr>
          <t>IN(min)</t>
        </r>
      </text>
    </comment>
    <comment ref="F55" authorId="0" shapeId="0" xr:uid="{7759374F-8358-4242-9F35-C567F8B04C31}">
      <text>
        <r>
          <rPr>
            <b/>
            <u/>
            <sz val="8"/>
            <color indexed="81"/>
            <rFont val="Tahoma"/>
            <family val="2"/>
          </rPr>
          <t>UVLO Turn-Off Voltage</t>
        </r>
        <r>
          <rPr>
            <b/>
            <sz val="8"/>
            <color indexed="81"/>
            <rFont val="Tahoma"/>
            <family val="2"/>
          </rPr>
          <t xml:space="preserve">:
</t>
        </r>
        <r>
          <rPr>
            <sz val="8"/>
            <color indexed="81"/>
            <rFont val="Tahoma"/>
            <family val="2"/>
          </rPr>
          <t xml:space="preserve">Enter the desired UVLO turn-off voltage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UVLO turn-off voltage is less than 4V.</t>
        </r>
      </text>
    </comment>
    <comment ref="F56" authorId="0" shapeId="0" xr:uid="{2DA66980-191E-42E3-A26E-6ED0F881BD8E}">
      <text>
        <r>
          <rPr>
            <b/>
            <u/>
            <sz val="8"/>
            <color indexed="81"/>
            <rFont val="Tahoma"/>
            <family val="2"/>
          </rPr>
          <t>EN Pin Series Resistance</t>
        </r>
        <r>
          <rPr>
            <b/>
            <sz val="8"/>
            <color indexed="81"/>
            <rFont val="Tahoma"/>
            <family val="2"/>
          </rPr>
          <t xml:space="preserve">:
</t>
        </r>
        <r>
          <rPr>
            <sz val="8"/>
            <color indexed="81"/>
            <rFont val="Tahoma"/>
            <family val="2"/>
          </rPr>
          <t xml:space="preserve">This resistor increases the input voltage UVLO hysteresis. Also, it is typically required for the pin-check algorithm on the ASIL B and ASIL D versions (see the data sheet for more detail). Enter the effective value.
</t>
        </r>
      </text>
    </comment>
    <comment ref="F57" authorId="0" shapeId="0" xr:uid="{257711DF-7DD0-48D6-8644-EB21DFF21B57}">
      <text>
        <r>
          <rPr>
            <b/>
            <u/>
            <sz val="8"/>
            <color indexed="81"/>
            <rFont val="Tahoma"/>
            <family val="2"/>
          </rPr>
          <t>EN Pin Hysteresis Current</t>
        </r>
        <r>
          <rPr>
            <b/>
            <sz val="8"/>
            <color indexed="81"/>
            <rFont val="Tahoma"/>
            <family val="2"/>
          </rPr>
          <t xml:space="preserve">:
</t>
        </r>
        <r>
          <rPr>
            <sz val="8"/>
            <color indexed="81"/>
            <rFont val="Tahoma"/>
            <family val="2"/>
          </rPr>
          <t>Enter the total EN hysteresis current – 10µA for one EN pin, 20µA for two EN pins in a 2-phase circuit, etc.</t>
        </r>
      </text>
    </comment>
    <comment ref="F61" authorId="0" shapeId="0" xr:uid="{CF80263D-A440-43B5-82DC-E88296DAAA92}">
      <text>
        <r>
          <rPr>
            <b/>
            <u/>
            <sz val="8"/>
            <color indexed="81"/>
            <rFont val="Tahoma"/>
            <family val="2"/>
          </rPr>
          <t>CNFG Resistor</t>
        </r>
        <r>
          <rPr>
            <b/>
            <sz val="8"/>
            <color indexed="81"/>
            <rFont val="Tahoma"/>
            <family val="2"/>
          </rPr>
          <t xml:space="preserve">:
</t>
        </r>
        <r>
          <rPr>
            <sz val="8"/>
            <color indexed="81"/>
            <rFont val="Tahoma"/>
            <family val="2"/>
          </rPr>
          <t xml:space="preserve">The CNFG pin sets the controller either for independent dual outputs or a single output with PWM interleaving. It also configures DRSS for EMI reduction where ±5% and ±10% refer to the spreading of the switching frequency around the nominal value.
</t>
        </r>
        <r>
          <rPr>
            <b/>
            <sz val="8"/>
            <color indexed="81"/>
            <rFont val="Tahoma"/>
            <family val="2"/>
          </rPr>
          <t xml:space="preserve">
</t>
        </r>
      </text>
    </comment>
    <comment ref="F66"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8"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 The parallell resistance of R</t>
        </r>
        <r>
          <rPr>
            <vertAlign val="subscript"/>
            <sz val="9"/>
            <color indexed="81"/>
            <rFont val="Tahoma"/>
            <family val="2"/>
          </rPr>
          <t>FB1</t>
        </r>
        <r>
          <rPr>
            <sz val="9"/>
            <color indexed="81"/>
            <rFont val="Tahoma"/>
            <family val="2"/>
          </rPr>
          <t xml:space="preserve"> and R</t>
        </r>
        <r>
          <rPr>
            <vertAlign val="subscript"/>
            <sz val="9"/>
            <color indexed="81"/>
            <rFont val="Tahoma"/>
            <family val="2"/>
          </rPr>
          <t>FB2</t>
        </r>
        <r>
          <rPr>
            <sz val="9"/>
            <color indexed="81"/>
            <rFont val="Tahoma"/>
            <family val="2"/>
          </rPr>
          <t xml:space="preserve"> shoulld be greater than 5kΩ.</t>
        </r>
      </text>
    </comment>
    <comment ref="E73"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7"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7" authorId="2" shapeId="0" xr:uid="{06002BC6-55F0-4EF1-81CC-CD7E308AF71A}">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8"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8" authorId="2" shapeId="0" xr:uid="{40D203DB-D321-49E5-91F0-D948CD7AD099}">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E89"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9" authorId="2" shapeId="0" xr:uid="{841CA73A-C9E9-46D9-8ED3-68E9C1493959}">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E90"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90" authorId="2" shapeId="0" xr:uid="{22947A76-F36B-4A40-8747-091783F2D752}">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91"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92"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92" authorId="2" shapeId="0" xr:uid="{664E60DE-80B7-456B-B650-6E1E4CFC5AA7}">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E93"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93" authorId="2" shapeId="0" xr:uid="{C3A2DB3E-CE8D-4FCE-B9FF-7A0E832BF208}">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4"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4" authorId="2" shapeId="0" xr:uid="{2BFDF81A-469B-4816-ABC7-8FE2710594BA}">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5"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5" authorId="2" shapeId="0" xr:uid="{730C99A1-77DB-47B6-B731-241978303E45}">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6"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6" authorId="2" shapeId="0" xr:uid="{4C4AC630-C57C-4E8F-BD4B-5B279CCC27BE}">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7"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8"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8" authorId="2" shapeId="0" xr:uid="{C829004D-862C-4D49-BD69-24EFE4C405D5}">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5"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 If VOUT1 &gt; 4.3V, then the bias power is derived from VOUT1, not VIN.</t>
        </r>
      </text>
    </comment>
    <comment ref="F106" authorId="1" shapeId="0" xr:uid="{00000000-0006-0000-0000-000037000000}">
      <text>
        <r>
          <rPr>
            <b/>
            <sz val="9"/>
            <color indexed="81"/>
            <rFont val="Tahoma"/>
            <family val="2"/>
          </rPr>
          <t>IC Junction Temperature:</t>
        </r>
        <r>
          <rPr>
            <sz val="9"/>
            <color indexed="81"/>
            <rFont val="Tahoma"/>
            <family val="2"/>
          </rPr>
          <t xml:space="preserve">
IC junction temperature based on the specified ambient temperature and power loss estimate.</t>
        </r>
      </text>
    </comment>
  </commentList>
</comments>
</file>

<file path=xl/sharedStrings.xml><?xml version="1.0" encoding="utf-8"?>
<sst xmlns="http://schemas.openxmlformats.org/spreadsheetml/2006/main" count="2004" uniqueCount="886">
  <si>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</si>
  <si>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</si>
  <si>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</si>
  <si>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</si>
  <si>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</si>
  <si>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</si>
  <si>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</si>
  <si>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</si>
  <si>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</si>
  <si>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</si>
  <si>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</si>
  <si>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</si>
  <si>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</si>
  <si>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</si>
  <si>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</si>
  <si>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</si>
  <si>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</si>
  <si>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</si>
  <si>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</si>
  <si>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</si>
  <si>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</si>
  <si>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</si>
  <si>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</si>
  <si>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</si>
  <si>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</si>
  <si>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</si>
  <si>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</si>
  <si>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</si>
  <si>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</si>
  <si>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</si>
  <si>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</si>
  <si>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</si>
  <si>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</si>
  <si>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</si>
  <si>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</si>
  <si>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</si>
  <si>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</si>
  <si>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</si>
  <si>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</si>
  <si>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</si>
  <si>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</si>
  <si>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</si>
  <si>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</si>
  <si>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</si>
  <si>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</si>
  <si>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</si>
  <si>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</si>
  <si>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</si>
  <si>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</si>
  <si>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</si>
  <si>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</si>
  <si>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</si>
  <si>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</si>
  <si>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</si>
  <si>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</si>
  <si>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</si>
  <si>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</si>
  <si>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</si>
  <si>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</si>
  <si>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</si>
  <si>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</si>
  <si>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</si>
  <si>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</si>
  <si>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</si>
  <si>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</si>
  <si>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</si>
  <si>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</si>
  <si>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</si>
  <si>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</si>
  <si>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</si>
  <si>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</si>
  <si>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</si>
  <si>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</si>
  <si>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</si>
  <si>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</si>
  <si>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</si>
  <si>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</si>
  <si>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</si>
  <si>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</si>
  <si>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</si>
  <si>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</si>
  <si>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</si>
  <si>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</si>
  <si>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</si>
  <si>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</si>
  <si>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</si>
  <si>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</si>
  <si>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</si>
  <si>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</si>
  <si>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</si>
  <si>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</si>
  <si>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</si>
  <si>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</si>
  <si>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</si>
  <si>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</si>
  <si>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</si>
  <si>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</si>
  <si>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</si>
  <si>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</si>
  <si>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</si>
  <si>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</si>
  <si>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</si>
  <si>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</si>
  <si>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</si>
  <si>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</si>
  <si>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</si>
  <si>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</si>
  <si>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</si>
  <si>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</si>
  <si>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</si>
  <si>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</si>
  <si>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</si>
  <si>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</si>
  <si>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</si>
  <si>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</si>
  <si>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</si>
  <si>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</si>
  <si>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</si>
  <si>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</si>
  <si>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</si>
  <si>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</si>
  <si>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</si>
  <si>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</si>
  <si>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</si>
  <si>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</si>
  <si>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</si>
  <si>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</si>
  <si>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</si>
  <si>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</si>
  <si>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</si>
  <si>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</si>
  <si>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</si>
  <si>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</si>
  <si>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</si>
  <si>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</si>
  <si>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</si>
  <si>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</si>
  <si>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</si>
  <si>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</si>
  <si>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</si>
  <si>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</si>
  <si>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</si>
  <si>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</si>
  <si>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</si>
  <si>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</si>
  <si>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 Input Box</t>
  </si>
  <si>
    <t>Input capacitance</t>
  </si>
  <si>
    <t>Step 1: Operational Specs</t>
  </si>
  <si>
    <t>ms</t>
  </si>
  <si>
    <t>Tss</t>
  </si>
  <si>
    <t>Css</t>
  </si>
  <si>
    <t>C1</t>
  </si>
  <si>
    <t>C2</t>
  </si>
  <si>
    <t>Ripple I</t>
  </si>
  <si>
    <t>%</t>
  </si>
  <si>
    <t xml:space="preserve">I1 </t>
  </si>
  <si>
    <t xml:space="preserve">I2 </t>
  </si>
  <si>
    <t>Part Number</t>
  </si>
  <si>
    <t>Capacitors</t>
  </si>
  <si>
    <t>(pF)</t>
  </si>
  <si>
    <t>Standard Result</t>
  </si>
  <si>
    <t>Inputs</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</si>
  <si>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</si>
  <si>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</si>
  <si>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</si>
  <si>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</si>
  <si>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</si>
  <si>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</si>
  <si>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</si>
  <si>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</si>
  <si>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</si>
  <si>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</si>
  <si>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</si>
  <si>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</si>
  <si>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</si>
  <si>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</si>
  <si>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</si>
  <si>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</si>
  <si>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</si>
  <si>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</si>
  <si>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</si>
  <si>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</si>
  <si>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</si>
  <si>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</si>
  <si>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</si>
  <si>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</si>
  <si>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</si>
  <si>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</si>
  <si>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</si>
  <si>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</si>
  <si>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</si>
  <si>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</si>
  <si>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</si>
  <si>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</si>
  <si>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</si>
  <si>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</si>
  <si>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</si>
  <si>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</si>
  <si>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</si>
  <si>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</si>
  <si>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</si>
  <si>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</si>
  <si>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</si>
  <si>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</si>
  <si>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</si>
  <si>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</si>
  <si>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</si>
  <si>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</si>
  <si>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</si>
  <si>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</si>
  <si>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</si>
  <si>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</si>
  <si>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</si>
  <si>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</si>
  <si>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</si>
  <si>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</si>
  <si>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</si>
  <si>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</si>
  <si>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</si>
  <si>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</si>
  <si>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</si>
  <si>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</si>
  <si>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</si>
  <si>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</si>
  <si>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</si>
  <si>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</si>
  <si>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</si>
  <si>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</si>
  <si>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</si>
  <si>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</si>
  <si>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</si>
  <si>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</si>
  <si>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</si>
  <si>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</si>
  <si>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</si>
  <si>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</si>
  <si>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</si>
  <si>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</si>
  <si>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</si>
  <si>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</si>
  <si>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</si>
  <si>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</si>
  <si>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</si>
  <si>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</si>
  <si>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</si>
  <si>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</si>
  <si>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</si>
  <si>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</si>
  <si>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</si>
  <si>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</si>
  <si>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</si>
  <si>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</si>
  <si>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</si>
  <si>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</si>
  <si>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</si>
  <si>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</si>
  <si>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</si>
  <si>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</si>
  <si>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</si>
  <si>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</si>
  <si>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</si>
  <si>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</si>
  <si>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</si>
  <si>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</si>
  <si>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</si>
  <si>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</si>
  <si>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</si>
  <si>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</si>
  <si>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</si>
  <si>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</si>
  <si>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</si>
  <si>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</si>
  <si>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</si>
  <si>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</si>
  <si>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</si>
  <si>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</si>
  <si>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Input Capacitance, C</t>
    </r>
    <r>
      <rPr>
        <b/>
        <vertAlign val="subscript"/>
        <sz val="10"/>
        <color theme="1"/>
        <rFont val="Arial"/>
        <family val="2"/>
      </rPr>
      <t>IN</t>
    </r>
    <r>
      <rPr>
        <b/>
        <sz val="10"/>
        <color theme="1"/>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</si>
  <si>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</si>
  <si>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</si>
  <si>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</si>
  <si>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</si>
  <si>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</si>
  <si>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</si>
  <si>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</si>
  <si>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</si>
  <si>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</si>
  <si>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</si>
  <si>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</si>
  <si>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</si>
  <si>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</si>
  <si>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</si>
  <si>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</si>
  <si>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</si>
  <si>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</si>
  <si>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</si>
  <si>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</si>
  <si>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</si>
  <si>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</si>
  <si>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</si>
  <si>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</si>
  <si>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</si>
  <si>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</si>
  <si>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</si>
  <si>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</si>
  <si>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</si>
  <si>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</si>
  <si>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</si>
  <si>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</si>
  <si>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</si>
  <si>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</si>
  <si>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</si>
  <si>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</si>
  <si>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</si>
  <si>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</si>
  <si>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</si>
  <si>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</si>
  <si>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</si>
  <si>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</si>
  <si>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</si>
  <si>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</si>
  <si>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</si>
  <si>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</si>
  <si>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</si>
  <si>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</si>
  <si>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</si>
  <si>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</si>
  <si>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</si>
  <si>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</si>
  <si>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</si>
  <si>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</si>
  <si>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</si>
  <si>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</si>
  <si>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</si>
  <si>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</si>
  <si>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</si>
  <si>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</si>
  <si>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</si>
  <si>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</si>
  <si>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</si>
  <si>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</si>
  <si>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</si>
  <si>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</si>
  <si>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</si>
  <si>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</si>
  <si>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</si>
  <si>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</si>
  <si>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</si>
  <si>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</si>
  <si>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</si>
  <si>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</si>
  <si>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</si>
  <si>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</si>
  <si>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</si>
  <si>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</si>
  <si>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</si>
  <si>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</si>
  <si>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</si>
  <si>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</si>
  <si>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</si>
  <si>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</si>
  <si>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</si>
  <si>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</si>
  <si>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</si>
  <si>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</si>
  <si>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</si>
  <si>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</si>
  <si>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</si>
  <si>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</si>
  <si>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</si>
  <si>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</si>
  <si>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</si>
  <si>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</si>
  <si>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</si>
  <si>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</si>
  <si>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</si>
  <si>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</si>
  <si>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</si>
  <si>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</si>
  <si>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</si>
  <si>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</si>
  <si>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</si>
  <si>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</si>
  <si>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</si>
  <si>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</si>
  <si>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</si>
  <si>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</si>
  <si>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</si>
  <si>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</si>
  <si>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</si>
  <si>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</si>
  <si>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</si>
  <si>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</si>
  <si>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</si>
  <si>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</si>
  <si>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</si>
  <si>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</si>
  <si>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</si>
  <si>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</si>
  <si>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</si>
  <si>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</si>
  <si>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</si>
  <si>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</si>
  <si>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</si>
  <si>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</si>
  <si>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</si>
  <si>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</si>
  <si>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</si>
  <si>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</si>
  <si>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</si>
  <si>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</si>
  <si>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</si>
  <si>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</si>
  <si>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</si>
  <si>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</si>
  <si>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</si>
  <si>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</si>
  <si>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</si>
  <si>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</si>
  <si>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</si>
  <si>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</si>
  <si>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</si>
  <si>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</si>
  <si>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</si>
  <si>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</si>
  <si>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</si>
  <si>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</si>
  <si>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</si>
  <si>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</si>
  <si>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</si>
  <si>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</si>
  <si>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</si>
  <si>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</si>
  <si>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</si>
  <si>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</si>
  <si>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</si>
  <si>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</si>
  <si>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</si>
  <si>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</si>
  <si>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</si>
  <si>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</si>
  <si>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</si>
  <si>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</si>
  <si>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</si>
  <si>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</si>
  <si>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</si>
  <si>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</si>
  <si>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</si>
  <si>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</si>
  <si>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</si>
  <si>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</si>
  <si>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t>** Effective input and output capacitances should be appropriately derated for applied voltage and temperature, particularly with ceramics **</t>
  </si>
  <si>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</si>
  <si>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</si>
  <si>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</si>
  <si>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</si>
  <si>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</si>
  <si>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</si>
  <si>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</si>
  <si>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</si>
  <si>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</si>
  <si>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</si>
  <si>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</si>
  <si>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</si>
  <si>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</si>
  <si>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</si>
  <si>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</si>
  <si>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</si>
  <si>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</si>
  <si>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</si>
  <si>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</si>
  <si>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</si>
  <si>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</si>
  <si>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</si>
  <si>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</si>
  <si>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</si>
  <si>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</si>
  <si>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</si>
  <si>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</si>
  <si>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</si>
  <si>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</si>
  <si>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</si>
  <si>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</si>
  <si>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</si>
  <si>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</si>
  <si>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</si>
  <si>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</si>
  <si>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</si>
  <si>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</si>
  <si>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</si>
  <si>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</si>
  <si>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</si>
  <si>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</si>
  <si>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</si>
  <si>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</si>
  <si>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</si>
  <si>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</si>
  <si>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</si>
  <si>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</si>
  <si>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</si>
  <si>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</si>
  <si>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</si>
  <si>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</si>
  <si>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</si>
  <si>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</si>
  <si>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</si>
  <si>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</si>
  <si>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</si>
  <si>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</si>
  <si>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</si>
  <si>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</si>
  <si>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</si>
  <si>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</si>
  <si>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</si>
  <si>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</si>
  <si>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</si>
  <si>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</si>
  <si>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</si>
  <si>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</si>
  <si>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</si>
  <si>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</si>
  <si>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</si>
  <si>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</si>
  <si>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</si>
  <si>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</si>
  <si>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</si>
  <si>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</si>
  <si>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</si>
  <si>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</si>
  <si>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</si>
  <si>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</si>
  <si>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Body Diode Rev Recovery Charge, Q</t>
    </r>
    <r>
      <rPr>
        <b/>
        <vertAlign val="subscript"/>
        <sz val="10"/>
        <rFont val="Arial"/>
        <family val="2"/>
      </rPr>
      <t>RR</t>
    </r>
    <r>
      <rPr>
        <b/>
        <sz val="10"/>
        <rFont val="Arial"/>
        <family val="2"/>
      </rPr>
      <t xml:space="preserve"> </t>
    </r>
  </si>
  <si>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</si>
  <si>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</si>
  <si>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</si>
  <si>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</si>
  <si>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</si>
  <si>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</si>
  <si>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</si>
  <si>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</si>
  <si>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</si>
  <si>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</si>
  <si>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</si>
  <si>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</si>
  <si>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</si>
  <si>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</si>
  <si>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</si>
  <si>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</si>
  <si>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</si>
  <si>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</si>
  <si>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</si>
  <si>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</si>
  <si>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</si>
  <si>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</si>
  <si>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</si>
  <si>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</si>
  <si>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</si>
  <si>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</si>
  <si>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</si>
  <si>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</si>
  <si>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</si>
  <si>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</si>
  <si>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</si>
  <si>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</si>
  <si>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</si>
  <si>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</si>
  <si>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</si>
  <si>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</si>
  <si>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</si>
  <si>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</si>
  <si>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</si>
  <si>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</si>
  <si>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</si>
  <si>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</si>
  <si>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</si>
  <si>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</si>
  <si>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</si>
  <si>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</si>
  <si>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</si>
  <si>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</si>
  <si>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</si>
  <si>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</si>
  <si>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</si>
  <si>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</si>
  <si>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</si>
  <si>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</si>
  <si>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</si>
  <si>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</si>
  <si>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</si>
  <si>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</si>
  <si>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</si>
  <si>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</si>
  <si>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1 = Yes, 2 = No</t>
  </si>
  <si>
    <t>http://www.ti.com/product/lm5175</t>
  </si>
  <si>
    <t>VAR</t>
  </si>
  <si>
    <t>Step 4: Output Capacitors</t>
  </si>
  <si>
    <t>Step 5: Input Capacitors</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</si>
  <si>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</si>
  <si>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</si>
  <si>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</si>
  <si>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</si>
  <si>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</si>
  <si>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</si>
  <si>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</si>
  <si>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</si>
  <si>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</si>
  <si>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</si>
  <si>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</si>
  <si>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</si>
  <si>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</si>
  <si>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</si>
  <si>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</si>
  <si>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</si>
  <si>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</si>
  <si>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</si>
  <si>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</si>
  <si>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</si>
  <si>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</si>
  <si>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</si>
  <si>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</si>
  <si>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</si>
  <si>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</si>
  <si>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</si>
  <si>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</si>
  <si>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</si>
  <si>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</si>
  <si>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</si>
  <si>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</si>
  <si>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</si>
  <si>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</si>
  <si>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</si>
  <si>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</si>
  <si>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</si>
  <si>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</si>
  <si>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</si>
  <si>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</si>
  <si>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</si>
  <si>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</si>
  <si>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</si>
  <si>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</si>
  <si>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</si>
  <si>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</si>
  <si>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</si>
  <si>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</si>
  <si>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</si>
  <si>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</si>
  <si>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</si>
  <si>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</si>
  <si>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</si>
  <si>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</si>
  <si>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</si>
  <si>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</si>
  <si>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</si>
  <si>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</si>
  <si>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t>FPWM</t>
  </si>
  <si>
    <t>Tres</t>
  </si>
  <si>
    <t>Cres</t>
  </si>
  <si>
    <r>
      <t>R</t>
    </r>
    <r>
      <rPr>
        <vertAlign val="subscript"/>
        <sz val="10"/>
        <rFont val="Arial"/>
        <family val="2"/>
      </rPr>
      <t>PG1/2</t>
    </r>
  </si>
  <si>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</si>
  <si>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</si>
  <si>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</si>
  <si>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</si>
  <si>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</si>
  <si>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</si>
  <si>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</si>
  <si>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</si>
  <si>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</si>
  <si>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</si>
  <si>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</si>
  <si>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</si>
  <si>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</si>
  <si>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</si>
  <si>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</si>
  <si>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</si>
  <si>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</si>
  <si>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</si>
  <si>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</si>
  <si>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</si>
  <si>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</si>
  <si>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</si>
  <si>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</si>
  <si>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</si>
  <si>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</si>
  <si>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</si>
  <si>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</si>
  <si>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</si>
  <si>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</si>
  <si>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</si>
  <si>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</si>
  <si>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</si>
  <si>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</si>
  <si>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</si>
  <si>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</si>
  <si>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</si>
  <si>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</si>
  <si>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</si>
  <si>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</si>
  <si>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</si>
  <si>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</si>
  <si>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</si>
  <si>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</si>
  <si>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</si>
  <si>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</si>
  <si>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</si>
  <si>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</si>
  <si>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</si>
  <si>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</si>
  <si>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</si>
  <si>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</si>
  <si>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</si>
  <si>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</si>
  <si>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</si>
  <si>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</si>
  <si>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</si>
  <si>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</si>
  <si>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</si>
  <si>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</si>
  <si>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</si>
  <si>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Control MOSFET Loss</t>
  </si>
  <si>
    <t>SYNC MOSFET Loss</t>
  </si>
  <si>
    <t>BUCK CONTROLLER POWER DESIGN TOOL</t>
  </si>
  <si>
    <t>High Efficiency Synchronous Buck Regulator BOM</t>
  </si>
  <si>
    <r>
      <t>L</t>
    </r>
    <r>
      <rPr>
        <vertAlign val="subscript"/>
        <sz val="10"/>
        <rFont val="Arial"/>
        <family val="2"/>
      </rPr>
      <t>O1</t>
    </r>
  </si>
  <si>
    <r>
      <t>L</t>
    </r>
    <r>
      <rPr>
        <vertAlign val="subscript"/>
        <sz val="10"/>
        <rFont val="Arial"/>
        <family val="2"/>
      </rPr>
      <t>O2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</si>
  <si>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</si>
  <si>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</si>
  <si>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</si>
  <si>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</si>
  <si>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</si>
  <si>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</si>
  <si>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</si>
  <si>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</si>
  <si>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</si>
  <si>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</si>
  <si>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</si>
  <si>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</si>
  <si>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</si>
  <si>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</si>
  <si>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Dual  Outputs</t>
  </si>
  <si>
    <t>Single Output – 2  Phases</t>
  </si>
  <si>
    <t>Single Output – 3  Phases</t>
  </si>
  <si>
    <t>Single Output – 4  Phases</t>
  </si>
  <si>
    <t>BODE_PLOT_TYPE</t>
  </si>
  <si>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</si>
  <si>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</si>
  <si>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</si>
  <si>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</si>
  <si>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</si>
  <si>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</si>
  <si>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</si>
  <si>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</si>
  <si>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</si>
  <si>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</si>
  <si>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PG1</t>
    </r>
    <r>
      <rPr>
        <sz val="10"/>
        <rFont val="Arial"/>
        <family val="2"/>
      </rPr>
      <t>, R</t>
    </r>
    <r>
      <rPr>
        <vertAlign val="subscript"/>
        <sz val="10"/>
        <rFont val="Arial"/>
        <family val="2"/>
      </rPr>
      <t>PG2</t>
    </r>
  </si>
  <si>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</si>
  <si>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</si>
  <si>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IC Junction Temperature (estimate)</t>
  </si>
  <si>
    <t>Junction temperature</t>
  </si>
  <si>
    <t>Fp2</t>
  </si>
  <si>
    <t>Chosen output capacitance</t>
  </si>
  <si>
    <t>Minimum output capacitnace</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</si>
  <si>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</si>
  <si>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</si>
  <si>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</si>
  <si>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</si>
  <si>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</si>
  <si>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</si>
  <si>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</si>
  <si>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</si>
  <si>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</si>
  <si>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</si>
  <si>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</si>
  <si>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</si>
  <si>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</si>
  <si>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</si>
  <si>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</si>
  <si>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</si>
  <si>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</si>
  <si>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</si>
  <si>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</si>
  <si>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</si>
  <si>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</si>
  <si>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</si>
  <si>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</si>
  <si>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</si>
  <si>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</si>
  <si>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</si>
  <si>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</si>
  <si>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</si>
  <si>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</si>
  <si>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</si>
  <si>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Tsw (us)</t>
  </si>
  <si>
    <t>Slope comp amplitude</t>
  </si>
  <si>
    <t>VARIANT</t>
  </si>
  <si>
    <t>VIN-MAX</t>
  </si>
  <si>
    <t>VOUT-MAX</t>
  </si>
  <si>
    <t>Shunt current sensing</t>
  </si>
  <si>
    <t>Inductor DCR current sensing</t>
  </si>
  <si>
    <t>SENSING_TYPE</t>
  </si>
  <si>
    <t>VQFNP-36</t>
  </si>
  <si>
    <t>Step 9: IC Power Dissipation</t>
  </si>
  <si>
    <r>
      <t>Soft-Start Resistance, R</t>
    </r>
    <r>
      <rPr>
        <vertAlign val="subscript"/>
        <sz val="10"/>
        <rFont val="Arial"/>
        <family val="2"/>
      </rPr>
      <t>SS</t>
    </r>
    <r>
      <rPr>
        <sz val="10"/>
        <rFont val="Arial"/>
        <family val="2"/>
      </rPr>
      <t xml:space="preserve"> </t>
    </r>
  </si>
  <si>
    <t>Upper UVLO Resistance</t>
  </si>
  <si>
    <t>Input UVLO - Yes</t>
  </si>
  <si>
    <t>Input UVLO - No</t>
  </si>
  <si>
    <t>Input UVLO Yes/No</t>
  </si>
  <si>
    <t>PFM</t>
  </si>
  <si>
    <t>FPWM/PFM</t>
  </si>
  <si>
    <r>
      <t>UVLO Resistance, R</t>
    </r>
    <r>
      <rPr>
        <vertAlign val="subscript"/>
        <sz val="10"/>
        <color theme="1"/>
        <rFont val="Arial"/>
        <family val="2"/>
      </rPr>
      <t>UV1</t>
    </r>
  </si>
  <si>
    <r>
      <t>UVLO Resistance, R</t>
    </r>
    <r>
      <rPr>
        <vertAlign val="subscript"/>
        <sz val="10"/>
        <color theme="1"/>
        <rFont val="Arial"/>
        <family val="2"/>
      </rPr>
      <t>UV2</t>
    </r>
  </si>
  <si>
    <t>Rss</t>
  </si>
  <si>
    <t>Rss_u</t>
  </si>
  <si>
    <t>UVLO On Voltage</t>
  </si>
  <si>
    <t>UVLO Off Voltage</t>
  </si>
  <si>
    <t>Lower UVLO Resistance</t>
  </si>
  <si>
    <t>Ruv1</t>
  </si>
  <si>
    <t>Ruv2</t>
  </si>
  <si>
    <t>Actual Turn-on Voltage</t>
  </si>
  <si>
    <t>Actual Turn-off Voltage</t>
  </si>
  <si>
    <r>
      <t>UVLO Turn-on Voltage, V</t>
    </r>
    <r>
      <rPr>
        <b/>
        <vertAlign val="subscript"/>
        <sz val="10"/>
        <color theme="1"/>
        <rFont val="Arial"/>
        <family val="2"/>
      </rPr>
      <t>IN(on)</t>
    </r>
  </si>
  <si>
    <r>
      <t>UVLO Turn-off Voltage, V</t>
    </r>
    <r>
      <rPr>
        <b/>
        <vertAlign val="subscript"/>
        <sz val="10"/>
        <rFont val="Arial"/>
        <family val="2"/>
      </rPr>
      <t>IN(off)</t>
    </r>
  </si>
  <si>
    <r>
      <t>C</t>
    </r>
    <r>
      <rPr>
        <vertAlign val="subscript"/>
        <sz val="10"/>
        <rFont val="Arial"/>
        <family val="2"/>
      </rPr>
      <t>VCC</t>
    </r>
  </si>
  <si>
    <r>
      <t>R</t>
    </r>
    <r>
      <rPr>
        <vertAlign val="subscript"/>
        <sz val="10"/>
        <rFont val="Arial"/>
        <family val="2"/>
      </rPr>
      <t>RT</t>
    </r>
  </si>
  <si>
    <r>
      <t>R</t>
    </r>
    <r>
      <rPr>
        <vertAlign val="subscript"/>
        <sz val="10"/>
        <rFont val="Arial"/>
        <family val="2"/>
      </rPr>
      <t>CNFG</t>
    </r>
  </si>
  <si>
    <t xml:space="preserve">   ** Tie PFM/SYNCIN to VDDA for PFM, AGND for FPWM **</t>
  </si>
  <si>
    <t>14ns for LM5143-Q1</t>
  </si>
  <si>
    <r>
      <t>Gate Miller Plateau Voltage, V</t>
    </r>
    <r>
      <rPr>
        <b/>
        <vertAlign val="subscript"/>
        <sz val="10"/>
        <rFont val="Arial"/>
        <family val="2"/>
      </rPr>
      <t>PL</t>
    </r>
    <r>
      <rPr>
        <b/>
        <sz val="10"/>
        <rFont val="Arial"/>
        <family val="2"/>
      </rPr>
      <t xml:space="preserve"> </t>
    </r>
  </si>
  <si>
    <t>Deadtime1</t>
  </si>
  <si>
    <t>LO off to HO on deadtime</t>
  </si>
  <si>
    <t>Deadtime2</t>
  </si>
  <si>
    <t>Quiescent current of LM5137-Q1 controller (One channel disabled)</t>
  </si>
  <si>
    <t>HO off to LO on deadtime</t>
  </si>
  <si>
    <t>I_Cout</t>
  </si>
  <si>
    <t>Cres_u</t>
  </si>
  <si>
    <t>DRSS - OFF</t>
  </si>
  <si>
    <t>CNFG</t>
  </si>
  <si>
    <t>DRSS ON - 5%</t>
  </si>
  <si>
    <t>DRSS ON - 10%</t>
  </si>
  <si>
    <t>Step 6b: Other Components - DRSS, Hiccup, DEMB, MODE</t>
  </si>
  <si>
    <t>DRSS Modulation Frequency</t>
  </si>
  <si>
    <t>Step 6: Soft start, Input UVLO, PFM, DRSS</t>
  </si>
  <si>
    <r>
      <t>CNFG Resistance, R</t>
    </r>
    <r>
      <rPr>
        <vertAlign val="subscript"/>
        <sz val="10"/>
        <color theme="1"/>
        <rFont val="Arial"/>
        <family val="2"/>
      </rPr>
      <t>CNFG</t>
    </r>
  </si>
  <si>
    <r>
      <t>R</t>
    </r>
    <r>
      <rPr>
        <vertAlign val="subscript"/>
        <sz val="10"/>
        <rFont val="Arial"/>
        <family val="2"/>
      </rPr>
      <t>RSS</t>
    </r>
  </si>
  <si>
    <r>
      <t>A</t>
    </r>
    <r>
      <rPr>
        <vertAlign val="subscript"/>
        <sz val="10"/>
        <rFont val="Arial"/>
        <family val="2"/>
      </rPr>
      <t>RMS</t>
    </r>
  </si>
  <si>
    <r>
      <t>mV</t>
    </r>
    <r>
      <rPr>
        <b/>
        <vertAlign val="subscript"/>
        <sz val="10"/>
        <rFont val="Arial"/>
        <family val="2"/>
      </rPr>
      <t>PK-PK</t>
    </r>
  </si>
  <si>
    <r>
      <t>mV</t>
    </r>
    <r>
      <rPr>
        <vertAlign val="subscript"/>
        <sz val="10"/>
        <rFont val="Arial"/>
        <family val="2"/>
      </rPr>
      <t>PK-PK</t>
    </r>
  </si>
  <si>
    <t>Power dissipation</t>
  </si>
  <si>
    <t>Bias voltage</t>
  </si>
  <si>
    <t>Ext bias yes/no</t>
  </si>
  <si>
    <t>LDO Loss Saved from Gate Drive Current</t>
  </si>
  <si>
    <r>
      <t xml:space="preserve">   ** For </t>
    </r>
    <r>
      <rPr>
        <b/>
        <sz val="10"/>
        <color rgb="FFFF0000"/>
        <rFont val="Arial"/>
        <family val="2"/>
      </rPr>
      <t>dual-output operation</t>
    </r>
    <r>
      <rPr>
        <sz val="10"/>
        <rFont val="Arial"/>
        <family val="2"/>
      </rPr>
      <t>, tie FB1/FB2 to VDDA through a 7.5kΩ, 24.9kΩ or 49.9kΩ resistor for fixed 3.3V, 5V and 12V outputs, respectively **</t>
    </r>
  </si>
  <si>
    <r>
      <t xml:space="preserve">   ** For </t>
    </r>
    <r>
      <rPr>
        <b/>
        <sz val="10"/>
        <color rgb="FFFF0000"/>
        <rFont val="Arial"/>
        <family val="2"/>
      </rPr>
      <t>single-output operation in 2-phase mode</t>
    </r>
    <r>
      <rPr>
        <sz val="10"/>
        <rFont val="Arial"/>
        <family val="2"/>
      </rPr>
      <t>, use FB1 to set VOUT. Connect FB2 to AGND to disable the EA of channel 2 **</t>
    </r>
  </si>
  <si>
    <r>
      <t xml:space="preserve">   ** For </t>
    </r>
    <r>
      <rPr>
        <b/>
        <sz val="10"/>
        <color rgb="FFFF0000"/>
        <rFont val="Arial"/>
        <family val="2"/>
      </rPr>
      <t>single-output operation in 3-phase or 4-phase mode</t>
    </r>
    <r>
      <rPr>
        <sz val="10"/>
        <rFont val="Arial"/>
        <family val="2"/>
      </rPr>
      <t>, use FB1 of the master IC to set VOUT. Connect FB2 of the master IC to AGND. Connect FB1 of the slave IC to GND for FPWM and to PFM/SYNCIN of the master for PFM. Connect FB2 of the slave IC to GND to configure it as a slave **</t>
    </r>
  </si>
  <si>
    <t>12V</t>
  </si>
  <si>
    <t>Power dissipation - related to Ch2</t>
  </si>
  <si>
    <t>Power dissipation - related to Ch1</t>
  </si>
  <si>
    <r>
      <t>Estimate Core Loss at V</t>
    </r>
    <r>
      <rPr>
        <b/>
        <vertAlign val="subscript"/>
        <sz val="10"/>
        <rFont val="Arial"/>
        <family val="2"/>
      </rPr>
      <t>IN(nom)</t>
    </r>
  </si>
  <si>
    <t xml:space="preserve"> LM(2)5137F/-Q1 Quickstart Design Tool</t>
  </si>
  <si>
    <t>Irms Lo</t>
  </si>
  <si>
    <t>LM5137</t>
  </si>
  <si>
    <t>LM5137-Q1</t>
  </si>
  <si>
    <t>LM25137</t>
  </si>
  <si>
    <t>LM25137-Q1</t>
  </si>
  <si>
    <r>
      <t>Output Capacitance (derated), C</t>
    </r>
    <r>
      <rPr>
        <b/>
        <vertAlign val="subscript"/>
        <sz val="10"/>
        <color theme="1"/>
        <rFont val="Arial"/>
        <family val="2"/>
      </rPr>
      <t>OUT</t>
    </r>
    <r>
      <rPr>
        <b/>
        <sz val="10"/>
        <color theme="1"/>
        <rFont val="Arial"/>
        <family val="2"/>
      </rPr>
      <t xml:space="preserve"> </t>
    </r>
  </si>
  <si>
    <r>
      <t>Ch2 Output Cap (derated), C</t>
    </r>
    <r>
      <rPr>
        <b/>
        <vertAlign val="subscript"/>
        <sz val="10"/>
        <color theme="1"/>
        <rFont val="Arial"/>
        <family val="2"/>
      </rPr>
      <t>OUT2</t>
    </r>
    <r>
      <rPr>
        <b/>
        <sz val="10"/>
        <color theme="1"/>
        <rFont val="Arial"/>
        <family val="2"/>
      </rPr>
      <t xml:space="preserve"> </t>
    </r>
  </si>
  <si>
    <t>Cinmin_Vinmin</t>
  </si>
  <si>
    <t>Vinripple2_Vinmin</t>
  </si>
  <si>
    <t>CinEsrMax_Vinmin</t>
  </si>
  <si>
    <t>LM25137F-Q1-EVM5D3 PCB Layout</t>
  </si>
  <si>
    <t>kd</t>
  </si>
  <si>
    <t>Ruv3</t>
  </si>
  <si>
    <t>Ien-hys</t>
  </si>
  <si>
    <t>µA</t>
  </si>
  <si>
    <t>Ruv3 = 0</t>
  </si>
  <si>
    <t>Total EN Hysteresis Current</t>
  </si>
  <si>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</si>
  <si>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High side</t>
  </si>
  <si>
    <t xml:space="preserve">  Low side</t>
  </si>
  <si>
    <t>'852NL, '818NL</t>
  </si>
  <si>
    <r>
      <t>Effective Sense Resistance, R</t>
    </r>
    <r>
      <rPr>
        <b/>
        <vertAlign val="subscript"/>
        <sz val="10"/>
        <color theme="1"/>
        <rFont val="Arial"/>
        <family val="2"/>
      </rPr>
      <t>S</t>
    </r>
  </si>
  <si>
    <r>
      <t>Effective Sense Resistance, R</t>
    </r>
    <r>
      <rPr>
        <b/>
        <vertAlign val="subscript"/>
        <sz val="10"/>
        <color theme="1"/>
        <rFont val="Arial"/>
        <family val="2"/>
      </rPr>
      <t>S2</t>
    </r>
  </si>
  <si>
    <r>
      <t>Eff. EN Pin Series Resistance, R</t>
    </r>
    <r>
      <rPr>
        <b/>
        <vertAlign val="subscript"/>
        <sz val="10"/>
        <rFont val="Arial"/>
        <family val="2"/>
      </rPr>
      <t>UV3</t>
    </r>
  </si>
  <si>
    <r>
      <t>Frequency Set Resistor, R</t>
    </r>
    <r>
      <rPr>
        <vertAlign val="subscript"/>
        <sz val="10"/>
        <rFont val="Arial"/>
        <family val="2"/>
      </rPr>
      <t>RT</t>
    </r>
    <r>
      <rPr>
        <sz val="10"/>
        <rFont val="Arial"/>
        <family val="2"/>
      </rPr>
      <t xml:space="preserve"> </t>
    </r>
  </si>
  <si>
    <t>Check parallel value &gt; 5kΩ</t>
  </si>
  <si>
    <t>Calculate parallel value</t>
  </si>
  <si>
    <t>Actual VOUT setpoints</t>
  </si>
  <si>
    <t xml:space="preserve">                                      LM(2)5137(F)-Q1 Functional Safety Buck Controller Design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</si>
</sst>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_(* #,##0.00_);_(* \(#,##0.00\);_(* &quot;-&quot;??_);_(@_)"/>
    <numFmt numFmtId="177" formatCode="0.000000"/>
    <numFmt numFmtId="178" formatCode="0.00000"/>
    <numFmt numFmtId="179" formatCode="0.0000"/>
    <numFmt numFmtId="180" formatCode="0.000"/>
    <numFmt numFmtId="181" formatCode="0.0"/>
    <numFmt numFmtId="182" formatCode="0.000E+00"/>
    <numFmt numFmtId="183" formatCode="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Inductor, &quot;General&quot;-µH, 10%&quot;"/>
    <numFmt numFmtId="191" formatCode="0.0%"/>
    <numFmt numFmtId="192" formatCode="0.0E+00"/>
    <numFmt numFmtId="193" formatCode="General&quot;m&quot;"/>
    <numFmt numFmtId="194" formatCode="0.0.E+00"/>
    <numFmt numFmtId="195" formatCode="&quot;MOSFET, N-CH, 40V, &quot;General&quot;mΩ&quot;"/>
    <numFmt numFmtId="196" formatCode="&quot;Resistor, Chip, &quot;General&quot;kΩ, 1/16W, 1%&quot;"/>
    <numFmt numFmtId="197" formatCode="&quot;Resistor, Chip, &quot;General&quot;mΩ, 2W, 1%&quot;"/>
    <numFmt numFmtId="198" formatCode="&quot;Resistor, Chip, &quot;General&quot;Ω, 1/16W, 1%&quot;"/>
    <numFmt numFmtId="199" formatCode="&quot;Capacitor, Ceramic, &quot;General&quot;µF, 25V, X7R, 20%&quot;"/>
    <numFmt numFmtId="200" formatCode="&quot;Capacitor, Ceramic, &quot;General&quot;nF, 16V, X7R, 10%&quot;"/>
    <numFmt numFmtId="201" formatCode="&quot;Capacitor, Ceramic, &quot;General&quot;pF, 50V, NP0, 5%&quot;"/>
    <numFmt numFmtId="202" formatCode="&quot;Capacitor, Ceramic, &quot;General&quot;µF, 50V, X7R, 20%&quot;"/>
    <numFmt numFmtId="203" formatCode="&quot;Capacitor, Ceramic, &quot;General&quot;µF, 10V, X7R, 20%&quot;"/>
  </numFmts>
  <fonts count="92" x14ac:knownFonts="1">
    <font>
      <sz val="10"/>
      <name val="Arial"/>
    </font>
    <font>
      <sz val="11"/>
      <color theme="1"/>
      <name val="宋体"/>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
      <b/>
      <vertAlign val="subscript"/>
      <sz val="8"/>
      <color indexed="10"/>
      <name val="Tahoma"/>
      <family val="2"/>
    </font>
    <font>
      <sz val="26"/>
      <color theme="0"/>
      <name val="Arial"/>
      <family val="2"/>
    </font>
    <font>
      <sz val="9"/>
      <name val="宋体"/>
      <family val="3"/>
      <charset val="134"/>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176"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cellStyleXfs>
  <cellXfs count="780">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82"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81"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84" fontId="17" fillId="3" borderId="0" xfId="0" applyNumberFormat="1" applyFont="1" applyFill="1" applyAlignment="1">
      <alignment horizontal="center"/>
    </xf>
    <xf numFmtId="184"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80" fontId="17" fillId="9" borderId="0" xfId="0" applyNumberFormat="1" applyFont="1" applyFill="1"/>
    <xf numFmtId="183" fontId="17" fillId="9" borderId="0" xfId="0" applyNumberFormat="1" applyFont="1" applyFill="1"/>
    <xf numFmtId="179"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3"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6" fillId="9" borderId="0" xfId="0" applyFont="1" applyFill="1"/>
    <xf numFmtId="1" fontId="3" fillId="19" borderId="0" xfId="0" applyNumberFormat="1" applyFont="1" applyFill="1" applyProtection="1">
      <protection locked="0"/>
    </xf>
    <xf numFmtId="0" fontId="58" fillId="9" borderId="0" xfId="0" applyFont="1" applyFill="1"/>
    <xf numFmtId="0" fontId="3" fillId="9" borderId="0" xfId="0" applyFont="1" applyFill="1"/>
    <xf numFmtId="181" fontId="3" fillId="9" borderId="0" xfId="0" applyNumberFormat="1" applyFont="1" applyFill="1"/>
    <xf numFmtId="0" fontId="2" fillId="16" borderId="0" xfId="0" applyFont="1" applyFill="1"/>
    <xf numFmtId="0" fontId="3" fillId="9" borderId="28" xfId="0" applyFont="1" applyFill="1" applyBorder="1"/>
    <xf numFmtId="0" fontId="58" fillId="16" borderId="0" xfId="0" applyFont="1" applyFill="1"/>
    <xf numFmtId="1" fontId="55" fillId="9" borderId="0" xfId="0" applyNumberFormat="1" applyFont="1" applyFill="1" applyAlignment="1">
      <alignment horizontal="right"/>
    </xf>
    <xf numFmtId="0" fontId="60" fillId="15" borderId="19" xfId="0" applyFont="1" applyFill="1" applyBorder="1"/>
    <xf numFmtId="0" fontId="58" fillId="9" borderId="0" xfId="0" applyFont="1" applyFill="1" applyAlignment="1">
      <alignment vertical="center"/>
    </xf>
    <xf numFmtId="0" fontId="7" fillId="9" borderId="0" xfId="0" applyFont="1" applyFill="1" applyAlignment="1">
      <alignment horizontal="right"/>
    </xf>
    <xf numFmtId="181"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1" fillId="9" borderId="0" xfId="0" applyFont="1" applyFill="1"/>
    <xf numFmtId="0" fontId="2" fillId="9" borderId="0" xfId="0" applyFont="1" applyFill="1" applyAlignment="1">
      <alignment horizontal="left"/>
    </xf>
    <xf numFmtId="0" fontId="59" fillId="19" borderId="0" xfId="0" applyFont="1" applyFill="1" applyAlignment="1" applyProtection="1">
      <alignment horizontal="right"/>
      <protection locked="0" hidden="1"/>
    </xf>
    <xf numFmtId="0" fontId="62" fillId="15" borderId="19" xfId="0" applyFont="1" applyFill="1" applyBorder="1"/>
    <xf numFmtId="0" fontId="22" fillId="9" borderId="28" xfId="0" applyFont="1" applyFill="1" applyBorder="1"/>
    <xf numFmtId="1" fontId="2" fillId="9" borderId="0" xfId="0" applyNumberFormat="1" applyFont="1" applyFill="1"/>
    <xf numFmtId="0" fontId="64"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4"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59" fillId="19" borderId="41" xfId="0" applyFont="1" applyFill="1" applyBorder="1" applyAlignment="1" applyProtection="1">
      <alignment horizontal="right"/>
      <protection locked="0" hidden="1"/>
    </xf>
    <xf numFmtId="0" fontId="59" fillId="9" borderId="42" xfId="0" applyFont="1" applyFill="1" applyBorder="1" applyAlignment="1">
      <alignment horizontal="left"/>
    </xf>
    <xf numFmtId="0" fontId="59"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59" fillId="19" borderId="45" xfId="0" applyFont="1" applyFill="1" applyBorder="1" applyAlignment="1" applyProtection="1">
      <alignment horizontal="right"/>
      <protection locked="0" hidden="1"/>
    </xf>
    <xf numFmtId="0" fontId="59" fillId="9" borderId="46" xfId="0" applyFont="1" applyFill="1" applyBorder="1" applyAlignment="1">
      <alignment horizontal="left"/>
    </xf>
    <xf numFmtId="181"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0" fillId="15" borderId="47" xfId="0" applyFont="1" applyFill="1" applyBorder="1"/>
    <xf numFmtId="0" fontId="17" fillId="3" borderId="28" xfId="0" applyFont="1" applyFill="1" applyBorder="1"/>
    <xf numFmtId="184" fontId="17" fillId="18" borderId="0" xfId="0" applyNumberFormat="1" applyFont="1" applyFill="1" applyAlignment="1">
      <alignment horizontal="center"/>
    </xf>
    <xf numFmtId="0" fontId="17" fillId="18" borderId="0" xfId="0" applyFont="1" applyFill="1"/>
    <xf numFmtId="184" fontId="25" fillId="18" borderId="0" xfId="0" applyNumberFormat="1" applyFont="1" applyFill="1" applyAlignment="1">
      <alignment horizontal="center"/>
    </xf>
    <xf numFmtId="0" fontId="25" fillId="18" borderId="0" xfId="0" applyFont="1" applyFill="1"/>
    <xf numFmtId="0" fontId="2" fillId="9" borderId="44" xfId="0" applyFont="1" applyFill="1" applyBorder="1"/>
    <xf numFmtId="0" fontId="3" fillId="9" borderId="45" xfId="0" applyFont="1" applyFill="1" applyBorder="1"/>
    <xf numFmtId="0" fontId="68" fillId="9" borderId="0" xfId="0" applyFont="1" applyFill="1"/>
    <xf numFmtId="0" fontId="68" fillId="9" borderId="29" xfId="0" applyFont="1" applyFill="1" applyBorder="1"/>
    <xf numFmtId="184" fontId="68" fillId="18" borderId="0" xfId="0" applyNumberFormat="1" applyFont="1" applyFill="1" applyAlignment="1">
      <alignment horizontal="center"/>
    </xf>
    <xf numFmtId="0" fontId="68" fillId="18" borderId="0" xfId="0" applyFont="1" applyFill="1"/>
    <xf numFmtId="184" fontId="68" fillId="3" borderId="0" xfId="0" applyNumberFormat="1" applyFont="1" applyFill="1" applyAlignment="1">
      <alignment horizontal="center"/>
    </xf>
    <xf numFmtId="0" fontId="68" fillId="3" borderId="0" xfId="0" applyFont="1" applyFill="1"/>
    <xf numFmtId="0" fontId="66"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7" fillId="9" borderId="28" xfId="0" applyFont="1" applyFill="1" applyBorder="1" applyAlignment="1">
      <alignment vertical="center"/>
    </xf>
    <xf numFmtId="0" fontId="66" fillId="9" borderId="0" xfId="0" applyFont="1" applyFill="1" applyAlignment="1">
      <alignment horizontal="right" vertical="center"/>
    </xf>
    <xf numFmtId="0" fontId="66" fillId="0" borderId="0" xfId="0" applyFont="1" applyAlignment="1">
      <alignment horizontal="left" vertical="center"/>
    </xf>
    <xf numFmtId="0" fontId="2" fillId="0" borderId="1" xfId="0" applyFont="1" applyBorder="1"/>
    <xf numFmtId="0" fontId="2" fillId="0" borderId="28" xfId="0" applyFont="1" applyBorder="1"/>
    <xf numFmtId="0" fontId="71"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86"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86"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88"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87"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88" fontId="2" fillId="16" borderId="11" xfId="3" applyNumberFormat="1" applyFill="1" applyBorder="1" applyAlignment="1">
      <alignment horizontal="center" vertical="center"/>
    </xf>
    <xf numFmtId="188" fontId="2" fillId="20" borderId="11" xfId="3" applyNumberFormat="1" applyFill="1" applyBorder="1" applyAlignment="1">
      <alignment horizontal="center" vertical="center"/>
    </xf>
    <xf numFmtId="185"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189"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73" fillId="16" borderId="0" xfId="0" applyFont="1" applyFill="1"/>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81"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4"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4"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0" fontId="64"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4"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4"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80" fontId="7" fillId="12" borderId="0" xfId="0" applyNumberFormat="1" applyFont="1" applyFill="1"/>
    <xf numFmtId="180" fontId="8" fillId="12" borderId="0" xfId="0" applyNumberFormat="1" applyFont="1" applyFill="1"/>
    <xf numFmtId="0" fontId="3" fillId="19" borderId="2" xfId="0" applyFont="1" applyFill="1" applyBorder="1" applyProtection="1">
      <protection locked="0"/>
    </xf>
    <xf numFmtId="0" fontId="63" fillId="16" borderId="0" xfId="0" applyFont="1" applyFill="1" applyAlignment="1">
      <alignment horizontal="center"/>
    </xf>
    <xf numFmtId="181" fontId="2" fillId="9" borderId="0" xfId="0" applyNumberFormat="1" applyFont="1" applyFill="1"/>
    <xf numFmtId="2" fontId="0" fillId="22" borderId="0" xfId="0" applyNumberFormat="1" applyFill="1"/>
    <xf numFmtId="1" fontId="0" fillId="12" borderId="0" xfId="0" applyNumberFormat="1" applyFill="1"/>
    <xf numFmtId="179" fontId="0" fillId="22" borderId="0" xfId="0" applyNumberFormat="1" applyFill="1"/>
    <xf numFmtId="179" fontId="0" fillId="12" borderId="0" xfId="0" applyNumberFormat="1" applyFill="1"/>
    <xf numFmtId="1" fontId="0" fillId="0" borderId="0" xfId="0" applyNumberFormat="1"/>
    <xf numFmtId="1" fontId="0" fillId="24" borderId="0" xfId="0" applyNumberFormat="1" applyFill="1"/>
    <xf numFmtId="179" fontId="0" fillId="0" borderId="0" xfId="0" applyNumberFormat="1"/>
    <xf numFmtId="181"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81"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79" fontId="2" fillId="0" borderId="67" xfId="3" applyNumberFormat="1" applyBorder="1" applyAlignment="1">
      <alignment horizontal="center"/>
    </xf>
    <xf numFmtId="179" fontId="2" fillId="0" borderId="12" xfId="3" applyNumberFormat="1" applyBorder="1" applyAlignment="1">
      <alignment horizontal="center"/>
    </xf>
    <xf numFmtId="179" fontId="2" fillId="0" borderId="68" xfId="3" applyNumberFormat="1" applyBorder="1" applyAlignment="1">
      <alignment horizontal="center"/>
    </xf>
    <xf numFmtId="179" fontId="2" fillId="0" borderId="69" xfId="3" applyNumberFormat="1" applyBorder="1" applyAlignment="1">
      <alignment horizontal="center"/>
    </xf>
    <xf numFmtId="177" fontId="2" fillId="0" borderId="67" xfId="3" applyNumberFormat="1" applyBorder="1" applyAlignment="1">
      <alignment horizontal="center"/>
    </xf>
    <xf numFmtId="177"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79" fontId="2" fillId="0" borderId="11" xfId="3" applyNumberFormat="1" applyBorder="1" applyAlignment="1">
      <alignment horizontal="center"/>
    </xf>
    <xf numFmtId="179" fontId="2" fillId="0" borderId="58" xfId="3" applyNumberFormat="1" applyBorder="1" applyAlignment="1">
      <alignment horizontal="center"/>
    </xf>
    <xf numFmtId="0" fontId="2" fillId="0" borderId="0" xfId="3" applyAlignment="1">
      <alignment horizontal="center"/>
    </xf>
    <xf numFmtId="179" fontId="2" fillId="0" borderId="0" xfId="3" applyNumberFormat="1" applyAlignment="1">
      <alignment horizontal="center"/>
    </xf>
    <xf numFmtId="177"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79" fontId="2" fillId="0" borderId="18" xfId="3" applyNumberFormat="1" applyBorder="1" applyAlignment="1">
      <alignment horizontal="center"/>
    </xf>
    <xf numFmtId="179"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80" fontId="0" fillId="0" borderId="0" xfId="0" applyNumberFormat="1"/>
    <xf numFmtId="1" fontId="7" fillId="12" borderId="0" xfId="0" applyNumberFormat="1" applyFont="1" applyFill="1"/>
    <xf numFmtId="0" fontId="61"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80" fontId="2" fillId="0" borderId="77" xfId="0" applyNumberFormat="1" applyFont="1" applyBorder="1"/>
    <xf numFmtId="11" fontId="7" fillId="0" borderId="77" xfId="0" applyNumberFormat="1" applyFont="1" applyBorder="1"/>
    <xf numFmtId="0" fontId="71" fillId="0" borderId="77" xfId="0" applyFont="1" applyBorder="1"/>
    <xf numFmtId="1" fontId="61" fillId="0" borderId="0" xfId="0" applyNumberFormat="1" applyFont="1"/>
    <xf numFmtId="0" fontId="79" fillId="0" borderId="0" xfId="0" applyFont="1"/>
    <xf numFmtId="180" fontId="61" fillId="0" borderId="0" xfId="0" applyNumberFormat="1" applyFont="1"/>
    <xf numFmtId="0" fontId="3" fillId="0" borderId="30" xfId="0" applyFont="1" applyBorder="1"/>
    <xf numFmtId="178"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4" fillId="0" borderId="0" xfId="0" applyNumberFormat="1" applyFont="1"/>
    <xf numFmtId="0" fontId="64" fillId="0" borderId="0" xfId="0" applyFont="1"/>
    <xf numFmtId="0" fontId="71" fillId="0" borderId="58" xfId="3" applyFont="1" applyBorder="1"/>
    <xf numFmtId="180" fontId="0" fillId="12" borderId="0" xfId="0" applyNumberFormat="1" applyFill="1"/>
    <xf numFmtId="179" fontId="7" fillId="12" borderId="0" xfId="0" applyNumberFormat="1" applyFont="1" applyFill="1"/>
    <xf numFmtId="0" fontId="0" fillId="24" borderId="0" xfId="0" applyFill="1" applyAlignment="1">
      <alignment horizontal="right"/>
    </xf>
    <xf numFmtId="180" fontId="30" fillId="22" borderId="0" xfId="0" applyNumberFormat="1" applyFont="1" applyFill="1"/>
    <xf numFmtId="179" fontId="30" fillId="22" borderId="34" xfId="0" applyNumberFormat="1" applyFont="1" applyFill="1" applyBorder="1"/>
    <xf numFmtId="180"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80"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80" fontId="2" fillId="0" borderId="11" xfId="3" applyNumberFormat="1" applyBorder="1"/>
    <xf numFmtId="0" fontId="2" fillId="0" borderId="0" xfId="3" applyAlignment="1">
      <alignment horizontal="left"/>
    </xf>
    <xf numFmtId="1" fontId="2" fillId="0" borderId="0" xfId="3" applyNumberFormat="1"/>
    <xf numFmtId="180" fontId="2" fillId="0" borderId="0" xfId="3" applyNumberFormat="1"/>
    <xf numFmtId="0" fontId="0" fillId="23" borderId="0" xfId="0" applyFill="1"/>
    <xf numFmtId="191" fontId="8" fillId="12" borderId="0" xfId="0" applyNumberFormat="1" applyFont="1" applyFill="1"/>
    <xf numFmtId="2" fontId="2" fillId="0" borderId="0" xfId="0" applyNumberFormat="1" applyFont="1"/>
    <xf numFmtId="180" fontId="3" fillId="0" borderId="0" xfId="0" applyNumberFormat="1" applyFont="1" applyAlignment="1">
      <alignment horizontal="right"/>
    </xf>
    <xf numFmtId="1" fontId="2" fillId="24" borderId="0" xfId="0" applyNumberFormat="1" applyFont="1" applyFill="1"/>
    <xf numFmtId="0" fontId="2" fillId="24" borderId="0" xfId="0" applyFont="1" applyFill="1"/>
    <xf numFmtId="179" fontId="2" fillId="22" borderId="31" xfId="0" applyNumberFormat="1" applyFont="1" applyFill="1" applyBorder="1"/>
    <xf numFmtId="0" fontId="2" fillId="0" borderId="8" xfId="3" applyBorder="1"/>
    <xf numFmtId="181" fontId="2" fillId="0" borderId="8" xfId="3" applyNumberFormat="1" applyBorder="1"/>
    <xf numFmtId="0" fontId="3" fillId="0" borderId="57" xfId="3" applyFont="1" applyBorder="1" applyAlignment="1">
      <alignment horizontal="center"/>
    </xf>
    <xf numFmtId="0" fontId="2" fillId="8" borderId="64" xfId="3" applyFill="1" applyBorder="1"/>
    <xf numFmtId="180" fontId="2" fillId="0" borderId="44" xfId="3" applyNumberFormat="1" applyBorder="1"/>
    <xf numFmtId="177" fontId="2" fillId="0" borderId="58" xfId="3" applyNumberFormat="1" applyBorder="1" applyAlignment="1">
      <alignment horizontal="center"/>
    </xf>
    <xf numFmtId="180" fontId="64" fillId="0" borderId="0" xfId="0" applyNumberFormat="1" applyFont="1"/>
    <xf numFmtId="192" fontId="3" fillId="12" borderId="0" xfId="0" applyNumberFormat="1" applyFont="1" applyFill="1"/>
    <xf numFmtId="192" fontId="2" fillId="4" borderId="0" xfId="0" applyNumberFormat="1" applyFont="1" applyFill="1"/>
    <xf numFmtId="192" fontId="30" fillId="4" borderId="0" xfId="0" applyNumberFormat="1" applyFont="1" applyFill="1"/>
    <xf numFmtId="192" fontId="0" fillId="12" borderId="0" xfId="0" applyNumberFormat="1" applyFill="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80" fontId="2" fillId="8" borderId="11" xfId="3" applyNumberFormat="1" applyFill="1" applyBorder="1"/>
    <xf numFmtId="0" fontId="2" fillId="9" borderId="76" xfId="0" applyFont="1" applyFill="1" applyBorder="1" applyAlignment="1">
      <alignment horizontal="left"/>
    </xf>
    <xf numFmtId="181"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81" fontId="2" fillId="22" borderId="0" xfId="0" applyNumberFormat="1" applyFont="1" applyFill="1"/>
    <xf numFmtId="1" fontId="2" fillId="9" borderId="44" xfId="0" applyNumberFormat="1" applyFont="1" applyFill="1" applyBorder="1" applyAlignment="1">
      <alignment horizontal="right"/>
    </xf>
    <xf numFmtId="193" fontId="2" fillId="21" borderId="11" xfId="3" applyNumberFormat="1" applyFill="1" applyBorder="1" applyAlignment="1">
      <alignment horizontal="center"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1"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79"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82"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80" fontId="3" fillId="2" borderId="6" xfId="0" applyNumberFormat="1" applyFont="1" applyFill="1" applyBorder="1" applyAlignment="1">
      <alignment horizontal="center" vertical="center" wrapText="1"/>
    </xf>
    <xf numFmtId="179" fontId="3" fillId="2" borderId="5" xfId="0" applyNumberFormat="1" applyFont="1" applyFill="1" applyBorder="1" applyAlignment="1">
      <alignment horizontal="center" vertical="center" wrapText="1"/>
    </xf>
    <xf numFmtId="179"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79" fontId="3" fillId="4" borderId="2" xfId="0" applyNumberFormat="1" applyFont="1" applyFill="1" applyBorder="1" applyAlignment="1">
      <alignment horizontal="center"/>
    </xf>
    <xf numFmtId="179" fontId="3" fillId="7" borderId="23" xfId="0" applyNumberFormat="1" applyFont="1" applyFill="1" applyBorder="1" applyAlignment="1">
      <alignment horizontal="center" vertical="center" wrapText="1"/>
    </xf>
    <xf numFmtId="0" fontId="61" fillId="19" borderId="23" xfId="0" applyFont="1" applyFill="1" applyBorder="1" applyAlignment="1">
      <alignment horizontal="center" vertical="center" wrapText="1"/>
    </xf>
    <xf numFmtId="0" fontId="78"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79" fontId="3" fillId="12" borderId="0" xfId="0" applyNumberFormat="1" applyFont="1" applyFill="1"/>
    <xf numFmtId="180" fontId="8" fillId="0" borderId="0" xfId="0" applyNumberFormat="1" applyFont="1"/>
    <xf numFmtId="180"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81" fontId="2" fillId="9" borderId="0" xfId="0" applyNumberFormat="1" applyFont="1" applyFill="1" applyAlignment="1">
      <alignment horizontal="left" vertical="center"/>
    </xf>
    <xf numFmtId="0" fontId="3" fillId="4" borderId="0" xfId="0" applyFont="1" applyFill="1"/>
    <xf numFmtId="0" fontId="72" fillId="3" borderId="49" xfId="3" applyFont="1" applyFill="1" applyBorder="1" applyAlignment="1">
      <alignment horizontal="center" vertical="center"/>
    </xf>
    <xf numFmtId="0" fontId="72" fillId="3" borderId="50" xfId="3" applyFont="1" applyFill="1" applyBorder="1" applyAlignment="1">
      <alignment horizontal="center" vertical="center"/>
    </xf>
    <xf numFmtId="0" fontId="72" fillId="3" borderId="50" xfId="3" applyFont="1" applyFill="1" applyBorder="1" applyAlignment="1">
      <alignment horizontal="left" vertical="center"/>
    </xf>
    <xf numFmtId="181" fontId="0" fillId="0" borderId="0" xfId="0" applyNumberFormat="1" applyAlignment="1">
      <alignment horizontal="left"/>
    </xf>
    <xf numFmtId="0" fontId="66" fillId="0" borderId="0" xfId="0" applyFont="1"/>
    <xf numFmtId="180"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84" fontId="17" fillId="25" borderId="0" xfId="0" applyNumberFormat="1" applyFont="1" applyFill="1" applyAlignment="1">
      <alignment horizontal="center"/>
    </xf>
    <xf numFmtId="0" fontId="17" fillId="25" borderId="0" xfId="0" applyFont="1" applyFill="1"/>
    <xf numFmtId="184" fontId="68" fillId="25" borderId="0" xfId="0" applyNumberFormat="1" applyFont="1" applyFill="1" applyAlignment="1">
      <alignment horizontal="center"/>
    </xf>
    <xf numFmtId="184"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0"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2" fillId="25" borderId="0" xfId="2" applyFont="1" applyFill="1" applyBorder="1" applyAlignment="1" applyProtection="1">
      <alignment horizontal="left" vertical="center"/>
    </xf>
    <xf numFmtId="0" fontId="82" fillId="25" borderId="0" xfId="2" applyFont="1" applyFill="1" applyAlignment="1" applyProtection="1"/>
    <xf numFmtId="1" fontId="2" fillId="9" borderId="75" xfId="0" applyNumberFormat="1" applyFont="1" applyFill="1" applyBorder="1" applyAlignment="1">
      <alignment horizontal="right"/>
    </xf>
    <xf numFmtId="180" fontId="0" fillId="22" borderId="0" xfId="0" applyNumberFormat="1" applyFill="1"/>
    <xf numFmtId="2" fontId="8" fillId="12" borderId="0" xfId="0" applyNumberFormat="1" applyFont="1" applyFill="1"/>
    <xf numFmtId="181" fontId="15" fillId="4" borderId="0" xfId="0" applyNumberFormat="1" applyFont="1" applyFill="1" applyAlignment="1">
      <alignment horizontal="right"/>
    </xf>
    <xf numFmtId="192" fontId="3" fillId="0" borderId="0" xfId="0" applyNumberFormat="1" applyFont="1"/>
    <xf numFmtId="0" fontId="73" fillId="0" borderId="0" xfId="0" applyFont="1"/>
    <xf numFmtId="181" fontId="2" fillId="9" borderId="0" xfId="0" applyNumberFormat="1" applyFont="1" applyFill="1" applyAlignment="1">
      <alignment horizontal="right"/>
    </xf>
    <xf numFmtId="181" fontId="2" fillId="9" borderId="0" xfId="0" applyNumberFormat="1" applyFont="1" applyFill="1" applyAlignment="1">
      <alignment horizontal="right" vertical="center"/>
    </xf>
    <xf numFmtId="11" fontId="63" fillId="22" borderId="0" xfId="0" applyNumberFormat="1" applyFont="1" applyFill="1"/>
    <xf numFmtId="0" fontId="63"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80" fontId="30" fillId="0" borderId="0" xfId="0" applyNumberFormat="1" applyFont="1"/>
    <xf numFmtId="0" fontId="73" fillId="0" borderId="0" xfId="0" applyFont="1" applyAlignment="1">
      <alignment horizontal="left"/>
    </xf>
    <xf numFmtId="0" fontId="61" fillId="0" borderId="0" xfId="0" applyFont="1" applyAlignment="1">
      <alignment horizontal="right"/>
    </xf>
    <xf numFmtId="0" fontId="61"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80" fontId="0" fillId="0" borderId="0" xfId="0" applyNumberFormat="1" applyAlignment="1">
      <alignment horizontal="right"/>
    </xf>
    <xf numFmtId="191" fontId="0" fillId="0" borderId="0" xfId="0" applyNumberFormat="1"/>
    <xf numFmtId="0" fontId="3" fillId="0" borderId="28" xfId="0" applyFont="1" applyBorder="1" applyAlignment="1">
      <alignment horizontal="center"/>
    </xf>
    <xf numFmtId="180" fontId="81" fillId="26" borderId="0" xfId="0" applyNumberFormat="1" applyFont="1" applyFill="1" applyAlignment="1">
      <alignment horizontal="center" vertical="center"/>
    </xf>
    <xf numFmtId="179"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1" fillId="2" borderId="6" xfId="0" applyFont="1" applyFill="1" applyBorder="1" applyAlignment="1">
      <alignment horizontal="center" vertical="center" wrapText="1"/>
    </xf>
    <xf numFmtId="181" fontId="79" fillId="0" borderId="0" xfId="0" applyNumberFormat="1" applyFont="1"/>
    <xf numFmtId="10" fontId="79" fillId="0" borderId="0" xfId="0" applyNumberFormat="1" applyFont="1" applyAlignment="1">
      <alignment horizontal="center"/>
    </xf>
    <xf numFmtId="0" fontId="10" fillId="9" borderId="0" xfId="2" applyFill="1" applyAlignment="1" applyProtection="1"/>
    <xf numFmtId="181" fontId="2" fillId="16" borderId="0" xfId="0" applyNumberFormat="1" applyFont="1" applyFill="1"/>
    <xf numFmtId="0" fontId="3" fillId="9" borderId="45" xfId="0" applyFont="1" applyFill="1" applyBorder="1" applyAlignment="1">
      <alignment horizontal="left" vertical="center"/>
    </xf>
    <xf numFmtId="0" fontId="63" fillId="0" borderId="28" xfId="0" applyFont="1" applyBorder="1"/>
    <xf numFmtId="1" fontId="66" fillId="0" borderId="0" xfId="0" applyNumberFormat="1" applyFont="1"/>
    <xf numFmtId="180" fontId="7" fillId="0" borderId="0" xfId="0" applyNumberFormat="1" applyFont="1"/>
    <xf numFmtId="2" fontId="63"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6" fillId="9" borderId="43" xfId="0" applyFont="1" applyFill="1" applyBorder="1"/>
    <xf numFmtId="0" fontId="56" fillId="9" borderId="44" xfId="0" applyFont="1" applyFill="1" applyBorder="1"/>
    <xf numFmtId="0" fontId="56" fillId="9" borderId="75" xfId="0" applyFont="1" applyFill="1" applyBorder="1"/>
    <xf numFmtId="0" fontId="64"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4"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3" fillId="16" borderId="45" xfId="0" applyFont="1" applyFill="1" applyBorder="1" applyAlignment="1">
      <alignment horizontal="center"/>
    </xf>
    <xf numFmtId="181"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80" fontId="3" fillId="0" borderId="2" xfId="0" applyNumberFormat="1" applyFont="1" applyBorder="1"/>
    <xf numFmtId="2" fontId="2" fillId="22" borderId="0" xfId="0" applyNumberFormat="1" applyFont="1" applyFill="1"/>
    <xf numFmtId="180" fontId="2" fillId="22" borderId="0" xfId="0" applyNumberFormat="1" applyFont="1" applyFill="1"/>
    <xf numFmtId="0" fontId="2" fillId="27" borderId="0" xfId="0" applyFont="1" applyFill="1"/>
    <xf numFmtId="191" fontId="8" fillId="0" borderId="0" xfId="0" applyNumberFormat="1" applyFont="1"/>
    <xf numFmtId="180" fontId="0" fillId="24" borderId="0" xfId="0" applyNumberFormat="1" applyFill="1"/>
    <xf numFmtId="0" fontId="2" fillId="9" borderId="75" xfId="0" applyFont="1" applyFill="1" applyBorder="1"/>
    <xf numFmtId="0" fontId="57" fillId="9" borderId="44" xfId="0" applyFont="1" applyFill="1" applyBorder="1"/>
    <xf numFmtId="0" fontId="2" fillId="16" borderId="45" xfId="0" applyFont="1" applyFill="1" applyBorder="1" applyAlignment="1">
      <alignment horizontal="right" vertical="center"/>
    </xf>
    <xf numFmtId="0" fontId="84" fillId="9" borderId="0" xfId="0" applyFont="1" applyFill="1" applyAlignment="1">
      <alignment horizontal="right" vertical="center"/>
    </xf>
    <xf numFmtId="180" fontId="0" fillId="12" borderId="2" xfId="0" applyNumberFormat="1" applyFill="1" applyBorder="1"/>
    <xf numFmtId="180" fontId="0" fillId="4" borderId="2" xfId="0" applyNumberFormat="1" applyFill="1" applyBorder="1"/>
    <xf numFmtId="192" fontId="0" fillId="4" borderId="0" xfId="0" applyNumberFormat="1" applyFill="1"/>
    <xf numFmtId="0" fontId="87" fillId="0" borderId="0" xfId="0" applyFont="1" applyAlignment="1">
      <alignment horizontal="left"/>
    </xf>
    <xf numFmtId="1" fontId="2" fillId="9" borderId="0" xfId="0" applyNumberFormat="1" applyFont="1" applyFill="1" applyAlignment="1">
      <alignment horizontal="right"/>
    </xf>
    <xf numFmtId="194" fontId="0" fillId="23" borderId="0" xfId="0" applyNumberFormat="1" applyFill="1"/>
    <xf numFmtId="181" fontId="2" fillId="9" borderId="31" xfId="0" applyNumberFormat="1" applyFont="1" applyFill="1" applyBorder="1" applyAlignment="1">
      <alignment vertical="center"/>
    </xf>
    <xf numFmtId="0" fontId="87" fillId="0" borderId="0" xfId="0" applyFont="1" applyAlignment="1">
      <alignment horizontal="right"/>
    </xf>
    <xf numFmtId="0" fontId="64" fillId="0" borderId="0" xfId="0" applyFont="1" applyAlignment="1">
      <alignment horizontal="left"/>
    </xf>
    <xf numFmtId="2" fontId="2" fillId="0" borderId="68" xfId="3" applyNumberFormat="1" applyBorder="1" applyAlignment="1">
      <alignment horizontal="center"/>
    </xf>
    <xf numFmtId="180" fontId="8" fillId="7" borderId="11" xfId="0" applyNumberFormat="1" applyFont="1" applyFill="1" applyBorder="1"/>
    <xf numFmtId="180" fontId="15" fillId="7" borderId="11" xfId="0" applyNumberFormat="1" applyFont="1" applyFill="1" applyBorder="1"/>
    <xf numFmtId="180"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81" fontId="66"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79" fontId="3" fillId="0" borderId="18" xfId="3" applyNumberFormat="1" applyFont="1" applyBorder="1" applyAlignment="1">
      <alignment horizontal="center"/>
    </xf>
    <xf numFmtId="179" fontId="3" fillId="0" borderId="11" xfId="3" applyNumberFormat="1" applyFont="1" applyBorder="1" applyAlignment="1">
      <alignment horizontal="center"/>
    </xf>
    <xf numFmtId="179" fontId="3" fillId="0" borderId="58" xfId="3" applyNumberFormat="1" applyFont="1" applyBorder="1" applyAlignment="1">
      <alignment horizontal="center"/>
    </xf>
    <xf numFmtId="179" fontId="3" fillId="0" borderId="12" xfId="3" applyNumberFormat="1" applyFont="1" applyBorder="1" applyAlignment="1">
      <alignment horizontal="center"/>
    </xf>
    <xf numFmtId="179" fontId="3" fillId="0" borderId="68" xfId="3" applyNumberFormat="1" applyFont="1" applyBorder="1" applyAlignment="1">
      <alignment horizontal="center"/>
    </xf>
    <xf numFmtId="179" fontId="3" fillId="0" borderId="8" xfId="3" applyNumberFormat="1" applyFont="1" applyBorder="1" applyAlignment="1">
      <alignment horizontal="center"/>
    </xf>
    <xf numFmtId="179" fontId="3" fillId="0" borderId="67" xfId="3" applyNumberFormat="1" applyFont="1" applyBorder="1" applyAlignment="1">
      <alignment horizontal="center"/>
    </xf>
    <xf numFmtId="179" fontId="3" fillId="0" borderId="69" xfId="3" applyNumberFormat="1" applyFont="1" applyBorder="1" applyAlignment="1">
      <alignment horizontal="center"/>
    </xf>
    <xf numFmtId="177"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0" fontId="3" fillId="0" borderId="63" xfId="3" applyFont="1" applyBorder="1" applyAlignment="1">
      <alignment horizontal="center"/>
    </xf>
    <xf numFmtId="0" fontId="3" fillId="0" borderId="71" xfId="3" applyFont="1" applyBorder="1" applyAlignment="1">
      <alignment horizontal="center"/>
    </xf>
    <xf numFmtId="177" fontId="3" fillId="0" borderId="67" xfId="3" applyNumberFormat="1" applyFont="1" applyBorder="1" applyAlignment="1">
      <alignment horizontal="center"/>
    </xf>
    <xf numFmtId="0" fontId="3" fillId="9" borderId="80" xfId="0" applyFont="1" applyFill="1" applyBorder="1"/>
    <xf numFmtId="0" fontId="66" fillId="9" borderId="0" xfId="0" applyFont="1" applyFill="1" applyAlignment="1">
      <alignment horizontal="right"/>
    </xf>
    <xf numFmtId="0" fontId="66" fillId="9" borderId="0" xfId="0" applyFont="1" applyFill="1" applyAlignment="1">
      <alignment horizontal="left"/>
    </xf>
    <xf numFmtId="0" fontId="66" fillId="9" borderId="42" xfId="0" applyFont="1" applyFill="1" applyBorder="1" applyAlignment="1">
      <alignment horizontal="lef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81"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1" fillId="2" borderId="82" xfId="0" applyFont="1" applyFill="1" applyBorder="1" applyAlignment="1">
      <alignment horizontal="center" vertical="center" wrapText="1"/>
    </xf>
    <xf numFmtId="181" fontId="30" fillId="22" borderId="0" xfId="0" applyNumberFormat="1" applyFont="1" applyFill="1" applyAlignment="1">
      <alignment horizontal="right"/>
    </xf>
    <xf numFmtId="2" fontId="0" fillId="22" borderId="0" xfId="0" applyNumberFormat="1" applyFill="1" applyAlignment="1">
      <alignment horizontal="right"/>
    </xf>
    <xf numFmtId="2" fontId="0" fillId="0" borderId="0" xfId="0" applyNumberFormat="1" applyAlignment="1">
      <alignment horizontal="right"/>
    </xf>
    <xf numFmtId="181" fontId="30" fillId="0" borderId="0" xfId="0" applyNumberFormat="1" applyFont="1"/>
    <xf numFmtId="2" fontId="61" fillId="0" borderId="0" xfId="0" applyNumberFormat="1" applyFont="1"/>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82" fontId="0" fillId="23" borderId="0" xfId="0" applyNumberFormat="1" applyFill="1"/>
    <xf numFmtId="0" fontId="3" fillId="24" borderId="0" xfId="0" applyFont="1" applyFill="1" applyAlignment="1">
      <alignment horizontal="right"/>
    </xf>
    <xf numFmtId="0" fontId="63" fillId="16" borderId="0" xfId="0" applyFont="1" applyFill="1" applyAlignment="1">
      <alignment horizontal="right" vertical="center"/>
    </xf>
    <xf numFmtId="0" fontId="63" fillId="0" borderId="80" xfId="0" applyFont="1" applyBorder="1"/>
    <xf numFmtId="0" fontId="63" fillId="0" borderId="0" xfId="0" applyFont="1"/>
    <xf numFmtId="0" fontId="0" fillId="4" borderId="31" xfId="0" applyFill="1" applyBorder="1"/>
    <xf numFmtId="0" fontId="0" fillId="22" borderId="0" xfId="0" applyFill="1" applyAlignment="1">
      <alignment horizontal="right"/>
    </xf>
    <xf numFmtId="0" fontId="63" fillId="16" borderId="45" xfId="0" applyFont="1" applyFill="1" applyBorder="1" applyAlignment="1">
      <alignment horizontal="right" vertical="center"/>
    </xf>
    <xf numFmtId="0" fontId="3" fillId="19" borderId="0" xfId="0" applyFont="1" applyFill="1" applyAlignment="1" applyProtection="1">
      <alignment horizontal="right" vertical="center"/>
      <protection locked="0"/>
    </xf>
    <xf numFmtId="1" fontId="2" fillId="9" borderId="31" xfId="0" applyNumberFormat="1" applyFont="1" applyFill="1" applyBorder="1" applyAlignment="1">
      <alignment vertical="center"/>
    </xf>
    <xf numFmtId="181" fontId="59" fillId="0" borderId="0" xfId="0" applyNumberFormat="1" applyFont="1"/>
    <xf numFmtId="0" fontId="66" fillId="9" borderId="80" xfId="0" applyFont="1" applyFill="1" applyBorder="1" applyAlignment="1">
      <alignment horizontal="left"/>
    </xf>
    <xf numFmtId="0" fontId="6" fillId="9" borderId="0" xfId="0" applyFont="1" applyFill="1" applyAlignment="1">
      <alignment horizontal="right" vertical="center"/>
    </xf>
    <xf numFmtId="179" fontId="15" fillId="0" borderId="0" xfId="0" applyNumberFormat="1" applyFont="1"/>
    <xf numFmtId="0" fontId="3" fillId="9" borderId="45" xfId="0" applyFont="1" applyFill="1" applyBorder="1" applyAlignment="1">
      <alignment horizontal="right" vertical="center"/>
    </xf>
    <xf numFmtId="0" fontId="3" fillId="9" borderId="46" xfId="0" applyFont="1" applyFill="1" applyBorder="1"/>
    <xf numFmtId="0" fontId="56" fillId="9" borderId="80" xfId="0" applyFont="1" applyFill="1" applyBorder="1"/>
    <xf numFmtId="0" fontId="63" fillId="9" borderId="2" xfId="1" applyNumberFormat="1" applyFont="1" applyFill="1" applyBorder="1" applyAlignment="1" applyProtection="1">
      <alignment horizontal="right"/>
    </xf>
    <xf numFmtId="181" fontId="2" fillId="9" borderId="31" xfId="0" applyNumberFormat="1" applyFont="1" applyFill="1" applyBorder="1"/>
    <xf numFmtId="11" fontId="30" fillId="0" borderId="0" xfId="0" applyNumberFormat="1" applyFont="1"/>
    <xf numFmtId="0" fontId="79" fillId="9" borderId="29" xfId="0" applyFont="1" applyFill="1" applyBorder="1"/>
    <xf numFmtId="0" fontId="61" fillId="9" borderId="0" xfId="0" applyFont="1" applyFill="1" applyAlignment="1">
      <alignment horizontal="left"/>
    </xf>
    <xf numFmtId="1" fontId="2" fillId="9" borderId="0" xfId="0" applyNumberFormat="1" applyFont="1" applyFill="1" applyAlignment="1">
      <alignment horizontal="right" vertical="center"/>
    </xf>
    <xf numFmtId="181" fontId="2" fillId="0" borderId="0" xfId="0" applyNumberFormat="1" applyFont="1"/>
    <xf numFmtId="2" fontId="0" fillId="0" borderId="29" xfId="0" applyNumberFormat="1" applyBorder="1"/>
    <xf numFmtId="181" fontId="0" fillId="0" borderId="0" xfId="0" applyNumberFormat="1" applyAlignment="1">
      <alignment horizontal="right"/>
    </xf>
    <xf numFmtId="181" fontId="0" fillId="27" borderId="0" xfId="0" applyNumberFormat="1" applyFill="1" applyAlignment="1">
      <alignment horizontal="right"/>
    </xf>
    <xf numFmtId="1" fontId="0" fillId="0" borderId="0" xfId="0" applyNumberFormat="1" applyAlignment="1">
      <alignment horizontal="right"/>
    </xf>
    <xf numFmtId="2" fontId="0" fillId="27" borderId="0" xfId="0" applyNumberFormat="1" applyFill="1" applyAlignment="1">
      <alignment horizontal="right"/>
    </xf>
    <xf numFmtId="0" fontId="79" fillId="0" borderId="0" xfId="0" applyFont="1" applyAlignment="1">
      <alignment horizontal="right"/>
    </xf>
    <xf numFmtId="0" fontId="2" fillId="0" borderId="0" xfId="0" applyFont="1" applyAlignment="1">
      <alignment horizontal="right" vertical="center"/>
    </xf>
    <xf numFmtId="0" fontId="79" fillId="0" borderId="0" xfId="0" applyFont="1" applyAlignment="1">
      <alignment horizontal="left"/>
    </xf>
    <xf numFmtId="0" fontId="63" fillId="9" borderId="0" xfId="0" applyFont="1" applyFill="1" applyAlignment="1">
      <alignment horizontal="right" vertical="top" readingOrder="1"/>
    </xf>
    <xf numFmtId="0" fontId="63" fillId="9" borderId="0" xfId="0" applyFont="1" applyFill="1" applyAlignment="1">
      <alignment horizontal="left" vertical="top"/>
    </xf>
    <xf numFmtId="0" fontId="63" fillId="9" borderId="29" xfId="0" applyFont="1" applyFill="1" applyBorder="1" applyAlignment="1">
      <alignment vertical="center"/>
    </xf>
    <xf numFmtId="0" fontId="63" fillId="9" borderId="29" xfId="0" applyFont="1" applyFill="1" applyBorder="1"/>
    <xf numFmtId="0" fontId="64" fillId="16" borderId="0" xfId="0" applyFont="1" applyFill="1"/>
    <xf numFmtId="0" fontId="68" fillId="16" borderId="41" xfId="0" applyFont="1" applyFill="1" applyBorder="1"/>
    <xf numFmtId="0" fontId="66" fillId="9" borderId="42" xfId="0" applyFont="1" applyFill="1" applyBorder="1" applyAlignment="1">
      <alignment horizontal="right"/>
    </xf>
    <xf numFmtId="0" fontId="64" fillId="19" borderId="0" xfId="0" applyFont="1" applyFill="1" applyProtection="1">
      <protection locked="0"/>
    </xf>
    <xf numFmtId="3" fontId="61" fillId="9" borderId="80" xfId="0" quotePrefix="1" applyNumberFormat="1" applyFont="1" applyFill="1" applyBorder="1" applyAlignment="1" applyProtection="1">
      <alignment horizontal="left"/>
      <protection locked="0"/>
    </xf>
    <xf numFmtId="180" fontId="0" fillId="0" borderId="45" xfId="0" applyNumberFormat="1" applyBorder="1"/>
    <xf numFmtId="11" fontId="2" fillId="0" borderId="31" xfId="0" applyNumberFormat="1" applyFont="1" applyBorder="1"/>
    <xf numFmtId="180" fontId="0" fillId="0" borderId="31" xfId="0" applyNumberFormat="1" applyBorder="1"/>
    <xf numFmtId="0" fontId="2" fillId="0" borderId="45" xfId="0" applyFont="1" applyBorder="1"/>
    <xf numFmtId="1" fontId="79" fillId="0" borderId="0" xfId="0" applyNumberFormat="1" applyFont="1" applyAlignment="1">
      <alignment horizontal="right"/>
    </xf>
    <xf numFmtId="2" fontId="2" fillId="0" borderId="0" xfId="0" applyNumberFormat="1" applyFont="1" applyAlignment="1">
      <alignment horizontal="right"/>
    </xf>
    <xf numFmtId="180" fontId="2" fillId="16" borderId="45" xfId="0" applyNumberFormat="1" applyFont="1" applyFill="1" applyBorder="1" applyAlignment="1">
      <alignment vertical="center"/>
    </xf>
    <xf numFmtId="0" fontId="2" fillId="16" borderId="46" xfId="0" applyFont="1" applyFill="1" applyBorder="1" applyAlignment="1">
      <alignment vertical="center"/>
    </xf>
    <xf numFmtId="0" fontId="2" fillId="16" borderId="45" xfId="0" applyFont="1" applyFill="1" applyBorder="1" applyAlignment="1">
      <alignment vertical="center"/>
    </xf>
    <xf numFmtId="0" fontId="17" fillId="16" borderId="45" xfId="0" applyFont="1" applyFill="1" applyBorder="1" applyAlignment="1">
      <alignment vertical="center"/>
    </xf>
    <xf numFmtId="0" fontId="66" fillId="9" borderId="0" xfId="0" applyFont="1" applyFill="1" applyAlignment="1">
      <alignment horizontal="left" vertical="center"/>
    </xf>
    <xf numFmtId="0" fontId="24" fillId="25" borderId="0" xfId="0" applyFont="1" applyFill="1" applyAlignment="1">
      <alignment horizontal="center" vertical="center"/>
    </xf>
    <xf numFmtId="0" fontId="90" fillId="17" borderId="43" xfId="0" applyFont="1" applyFill="1" applyBorder="1" applyAlignment="1">
      <alignment horizontal="left" vertical="center"/>
    </xf>
    <xf numFmtId="0" fontId="90"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61" fillId="9" borderId="0" xfId="0" quotePrefix="1" applyFont="1" applyFill="1" applyAlignment="1" applyProtection="1">
      <alignment horizontal="left" wrapText="1"/>
      <protection locked="0"/>
    </xf>
    <xf numFmtId="0" fontId="61" fillId="9" borderId="29" xfId="0" quotePrefix="1" applyFont="1" applyFill="1" applyBorder="1" applyAlignment="1" applyProtection="1">
      <alignment horizontal="left" wrapText="1"/>
      <protection locked="0"/>
    </xf>
    <xf numFmtId="196" fontId="2" fillId="21" borderId="8" xfId="3" applyNumberFormat="1" applyFill="1" applyBorder="1" applyAlignment="1">
      <alignment horizontal="left" vertical="center"/>
    </xf>
    <xf numFmtId="196" fontId="2" fillId="21" borderId="9" xfId="3" applyNumberFormat="1" applyFill="1" applyBorder="1" applyAlignment="1">
      <alignment horizontal="left" vertical="center"/>
    </xf>
    <xf numFmtId="196" fontId="2" fillId="21" borderId="15" xfId="3" applyNumberFormat="1" applyFill="1" applyBorder="1" applyAlignment="1">
      <alignment horizontal="left" vertical="center"/>
    </xf>
    <xf numFmtId="198" fontId="2" fillId="16" borderId="8" xfId="3" applyNumberFormat="1" applyFill="1" applyBorder="1" applyAlignment="1">
      <alignment horizontal="left" vertical="center"/>
    </xf>
    <xf numFmtId="198" fontId="2" fillId="16" borderId="9" xfId="3" applyNumberFormat="1" applyFill="1" applyBorder="1" applyAlignment="1">
      <alignment horizontal="left" vertical="center"/>
    </xf>
    <xf numFmtId="198" fontId="2" fillId="16" borderId="15" xfId="3" applyNumberFormat="1" applyFill="1" applyBorder="1" applyAlignment="1">
      <alignment horizontal="left" vertical="center"/>
    </xf>
    <xf numFmtId="203" fontId="2" fillId="20" borderId="8" xfId="3" applyNumberFormat="1" applyFill="1" applyBorder="1" applyAlignment="1">
      <alignment horizontal="left" vertical="center"/>
    </xf>
    <xf numFmtId="203" fontId="2" fillId="20" borderId="9" xfId="3" applyNumberFormat="1" applyFill="1" applyBorder="1" applyAlignment="1">
      <alignment horizontal="left" vertical="center"/>
    </xf>
    <xf numFmtId="199" fontId="2" fillId="16" borderId="8" xfId="3" applyNumberFormat="1" applyFill="1" applyBorder="1" applyAlignment="1">
      <alignment horizontal="left" vertical="center"/>
    </xf>
    <xf numFmtId="199" fontId="2" fillId="16" borderId="9" xfId="3" applyNumberFormat="1" applyFill="1" applyBorder="1" applyAlignment="1">
      <alignment horizontal="left" vertical="center"/>
    </xf>
    <xf numFmtId="200" fontId="2" fillId="20" borderId="8" xfId="3" applyNumberFormat="1" applyFill="1" applyBorder="1" applyAlignment="1">
      <alignment horizontal="left" vertical="center"/>
    </xf>
    <xf numFmtId="200" fontId="2" fillId="20" borderId="9" xfId="3" applyNumberFormat="1" applyFill="1" applyBorder="1" applyAlignment="1">
      <alignment horizontal="left" vertical="center"/>
    </xf>
    <xf numFmtId="202" fontId="2" fillId="20" borderId="8" xfId="3" applyNumberFormat="1" applyFill="1" applyBorder="1" applyAlignment="1">
      <alignment horizontal="left" vertical="center"/>
    </xf>
    <xf numFmtId="202" fontId="2" fillId="20" borderId="9" xfId="3" applyNumberFormat="1" applyFill="1" applyBorder="1" applyAlignment="1">
      <alignment horizontal="left" vertical="center"/>
    </xf>
    <xf numFmtId="201" fontId="2" fillId="20" borderId="8" xfId="3" applyNumberFormat="1" applyFill="1" applyBorder="1" applyAlignment="1">
      <alignment horizontal="left" vertical="center"/>
    </xf>
    <xf numFmtId="201" fontId="2" fillId="20" borderId="9" xfId="3" applyNumberFormat="1" applyFill="1" applyBorder="1" applyAlignment="1">
      <alignment horizontal="left" vertical="center"/>
    </xf>
    <xf numFmtId="0" fontId="72" fillId="3" borderId="51" xfId="3" applyFont="1" applyFill="1" applyBorder="1" applyAlignment="1">
      <alignment horizontal="left" vertical="center"/>
    </xf>
    <xf numFmtId="0" fontId="72" fillId="3" borderId="52" xfId="3" applyFont="1" applyFill="1" applyBorder="1" applyAlignment="1">
      <alignment horizontal="left" vertical="center"/>
    </xf>
    <xf numFmtId="0" fontId="72" fillId="3" borderId="53" xfId="3" applyFont="1" applyFill="1" applyBorder="1" applyAlignment="1">
      <alignment horizontal="left" vertical="center"/>
    </xf>
    <xf numFmtId="196" fontId="2" fillId="16" borderId="8" xfId="3" applyNumberFormat="1" applyFill="1" applyBorder="1" applyAlignment="1">
      <alignment horizontal="left" vertical="center"/>
    </xf>
    <xf numFmtId="196" fontId="2" fillId="16" borderId="9" xfId="3" applyNumberFormat="1" applyFill="1" applyBorder="1" applyAlignment="1">
      <alignment horizontal="left" vertical="center"/>
    </xf>
    <xf numFmtId="196" fontId="2" fillId="16" borderId="15" xfId="3" applyNumberFormat="1" applyFill="1" applyBorder="1" applyAlignment="1">
      <alignment horizontal="left" vertical="center"/>
    </xf>
    <xf numFmtId="195" fontId="2" fillId="16" borderId="8" xfId="3" applyNumberFormat="1" applyFill="1" applyBorder="1" applyAlignment="1">
      <alignment horizontal="left" vertical="center"/>
    </xf>
    <xf numFmtId="195" fontId="2" fillId="16" borderId="9" xfId="3" applyNumberFormat="1" applyFill="1" applyBorder="1" applyAlignment="1">
      <alignment horizontal="left" vertical="center"/>
    </xf>
    <xf numFmtId="195" fontId="2" fillId="16" borderId="15" xfId="3" applyNumberFormat="1" applyFill="1" applyBorder="1" applyAlignment="1">
      <alignment horizontal="left" vertical="center"/>
    </xf>
    <xf numFmtId="197" fontId="2" fillId="21" borderId="8" xfId="3" applyNumberFormat="1" applyFill="1" applyBorder="1" applyAlignment="1">
      <alignment horizontal="left" vertical="center"/>
    </xf>
    <xf numFmtId="197" fontId="2" fillId="21" borderId="9" xfId="3" applyNumberFormat="1" applyFill="1" applyBorder="1" applyAlignment="1">
      <alignment horizontal="left" vertical="center"/>
    </xf>
    <xf numFmtId="197" fontId="2" fillId="21" borderId="15" xfId="3" applyNumberFormat="1" applyFill="1" applyBorder="1" applyAlignment="1">
      <alignment horizontal="left" vertical="center"/>
    </xf>
    <xf numFmtId="190" fontId="2" fillId="20" borderId="8" xfId="3" applyNumberFormat="1" applyFill="1" applyBorder="1" applyAlignment="1">
      <alignment horizontal="left" vertical="center"/>
    </xf>
    <xf numFmtId="190" fontId="2" fillId="20" borderId="9" xfId="3" applyNumberFormat="1" applyFill="1" applyBorder="1" applyAlignment="1">
      <alignment horizontal="left" vertical="center"/>
    </xf>
    <xf numFmtId="190" fontId="2" fillId="20" borderId="15" xfId="3" applyNumberFormat="1" applyFill="1" applyBorder="1" applyAlignment="1">
      <alignment horizontal="left" vertical="center"/>
    </xf>
    <xf numFmtId="199" fontId="2" fillId="9" borderId="8" xfId="3" applyNumberFormat="1" applyFill="1" applyBorder="1" applyAlignment="1">
      <alignment horizontal="left" vertical="center"/>
    </xf>
    <xf numFmtId="199" fontId="2" fillId="9" borderId="9"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1" fillId="9" borderId="14" xfId="3" applyFont="1" applyFill="1" applyBorder="1" applyAlignment="1">
      <alignment horizontal="center" vertical="center"/>
    </xf>
    <xf numFmtId="0" fontId="61"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8" fillId="4" borderId="74" xfId="3" applyFont="1" applyFill="1" applyBorder="1" applyAlignment="1">
      <alignment horizontal="center" vertical="center"/>
    </xf>
    <xf numFmtId="0" fontId="78"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8"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8" fillId="4" borderId="60" xfId="3" applyFont="1" applyFill="1" applyBorder="1" applyAlignment="1">
      <alignment horizontal="center"/>
    </xf>
    <xf numFmtId="0" fontId="78"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8" fillId="4" borderId="55" xfId="3" applyFont="1" applyFill="1" applyBorder="1" applyAlignment="1">
      <alignment horizontal="center"/>
    </xf>
    <xf numFmtId="0" fontId="78" fillId="4" borderId="56" xfId="3" applyFont="1" applyFill="1" applyBorder="1" applyAlignment="1">
      <alignment horizontal="center"/>
    </xf>
    <xf numFmtId="0" fontId="78"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82" fontId="3" fillId="4" borderId="55" xfId="0" applyNumberFormat="1" applyFont="1" applyFill="1" applyBorder="1" applyAlignment="1">
      <alignment horizontal="center"/>
    </xf>
    <xf numFmtId="182" fontId="3" fillId="4" borderId="56" xfId="0" applyNumberFormat="1" applyFont="1" applyFill="1" applyBorder="1" applyAlignment="1">
      <alignment horizontal="center"/>
    </xf>
    <xf numFmtId="182"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3" fillId="4" borderId="83" xfId="0" applyFont="1" applyFill="1" applyBorder="1" applyAlignment="1">
      <alignment horizontal="center"/>
    </xf>
  </cellXfs>
  <cellStyles count="6">
    <cellStyle name="Comma 2" xfId="5" xr:uid="{00000000-0005-0000-0000-000001000000}"/>
    <cellStyle name="Normal 2" xfId="3" xr:uid="{00000000-0005-0000-0000-000004000000}"/>
    <cellStyle name="Normal 3" xfId="4" xr:uid="{00000000-0005-0000-0000-000005000000}"/>
    <cellStyle name="常规" xfId="0" builtinId="0"/>
    <cellStyle name="超链接" xfId="2" builtinId="8"/>
    <cellStyle name="千位分隔" xfId="1" builtinId="3"/>
  </cellStyles>
  <dxfs count="30">
    <dxf>
      <font>
        <b/>
        <i val="0"/>
        <color rgb="FFFF0000"/>
      </font>
    </dxf>
    <dxf>
      <font>
        <b/>
        <i val="0"/>
        <color rgb="FFFF0000"/>
      </font>
    </dxf>
    <dxf>
      <font>
        <color theme="0"/>
      </font>
      <fill>
        <patternFill>
          <bgColor theme="0"/>
        </patternFill>
      </fill>
    </dxf>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0000FF"/>
      <color rgb="FFFF9900"/>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LM(2)5137-Q1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88.604405700709208</c:v>
                </c:pt>
                <c:pt idx="1">
                  <c:v>87.932616883491477</c:v>
                </c:pt>
                <c:pt idx="2">
                  <c:v>87.242271404398011</c:v>
                </c:pt>
                <c:pt idx="3">
                  <c:v>86.535673115105936</c:v>
                </c:pt>
                <c:pt idx="4">
                  <c:v>85.815418927414257</c:v>
                </c:pt>
                <c:pt idx="5">
                  <c:v>85.082225207892819</c:v>
                </c:pt>
                <c:pt idx="6">
                  <c:v>84.338839660657939</c:v>
                </c:pt>
                <c:pt idx="7">
                  <c:v>83.586292532422334</c:v>
                </c:pt>
                <c:pt idx="8">
                  <c:v>82.82646191805577</c:v>
                </c:pt>
                <c:pt idx="9">
                  <c:v>82.059925939638475</c:v>
                </c:pt>
                <c:pt idx="10">
                  <c:v>81.288117003621238</c:v>
                </c:pt>
                <c:pt idx="11">
                  <c:v>80.511778023283469</c:v>
                </c:pt>
                <c:pt idx="12">
                  <c:v>79.731221151976115</c:v>
                </c:pt>
                <c:pt idx="13">
                  <c:v>78.947812218551974</c:v>
                </c:pt>
                <c:pt idx="14">
                  <c:v>78.161448050206872</c:v>
                </c:pt>
                <c:pt idx="15">
                  <c:v>77.372870000179034</c:v>
                </c:pt>
                <c:pt idx="16">
                  <c:v>76.582384959678791</c:v>
                </c:pt>
                <c:pt idx="17">
                  <c:v>75.79041652903706</c:v>
                </c:pt>
                <c:pt idx="18">
                  <c:v>74.996995185834948</c:v>
                </c:pt>
                <c:pt idx="19">
                  <c:v>74.202551847191188</c:v>
                </c:pt>
                <c:pt idx="20">
                  <c:v>73.407109934310327</c:v>
                </c:pt>
                <c:pt idx="21">
                  <c:v>72.610983167068255</c:v>
                </c:pt>
                <c:pt idx="22">
                  <c:v>71.814127577175071</c:v>
                </c:pt>
                <c:pt idx="23">
                  <c:v>71.016845244519033</c:v>
                </c:pt>
                <c:pt idx="24">
                  <c:v>70.219020517217515</c:v>
                </c:pt>
                <c:pt idx="25">
                  <c:v>69.420849382383452</c:v>
                </c:pt>
                <c:pt idx="26">
                  <c:v>68.622206149671399</c:v>
                </c:pt>
                <c:pt idx="27">
                  <c:v>67.823395268331097</c:v>
                </c:pt>
                <c:pt idx="28">
                  <c:v>67.024427609812463</c:v>
                </c:pt>
                <c:pt idx="29">
                  <c:v>66.225834669729068</c:v>
                </c:pt>
                <c:pt idx="30">
                  <c:v>65.426295361928538</c:v>
                </c:pt>
                <c:pt idx="31">
                  <c:v>64.626951608452586</c:v>
                </c:pt>
                <c:pt idx="32">
                  <c:v>63.827282325718201</c:v>
                </c:pt>
                <c:pt idx="33">
                  <c:v>63.027875453510362</c:v>
                </c:pt>
                <c:pt idx="34">
                  <c:v>62.228130237058124</c:v>
                </c:pt>
                <c:pt idx="35">
                  <c:v>61.428510559099394</c:v>
                </c:pt>
                <c:pt idx="36">
                  <c:v>60.628906270885317</c:v>
                </c:pt>
                <c:pt idx="37">
                  <c:v>59.828897736537755</c:v>
                </c:pt>
                <c:pt idx="38">
                  <c:v>59.029256729461068</c:v>
                </c:pt>
                <c:pt idx="39">
                  <c:v>58.229348012465252</c:v>
                </c:pt>
                <c:pt idx="40">
                  <c:v>57.429482187007935</c:v>
                </c:pt>
                <c:pt idx="41">
                  <c:v>56.629597591264904</c:v>
                </c:pt>
                <c:pt idx="42">
                  <c:v>55.829810658925645</c:v>
                </c:pt>
                <c:pt idx="43">
                  <c:v>55.029891677030449</c:v>
                </c:pt>
                <c:pt idx="44">
                  <c:v>54.230057967232462</c:v>
                </c:pt>
                <c:pt idx="45">
                  <c:v>53.430152315184749</c:v>
                </c:pt>
                <c:pt idx="46">
                  <c:v>52.630340167628624</c:v>
                </c:pt>
                <c:pt idx="47">
                  <c:v>51.830453223580726</c:v>
                </c:pt>
                <c:pt idx="48">
                  <c:v>51.030692448091713</c:v>
                </c:pt>
                <c:pt idx="49">
                  <c:v>50.230858091390601</c:v>
                </c:pt>
                <c:pt idx="50">
                  <c:v>49.431078740355609</c:v>
                </c:pt>
                <c:pt idx="51">
                  <c:v>48.631174095676954</c:v>
                </c:pt>
                <c:pt idx="52">
                  <c:v>47.8314063892497</c:v>
                </c:pt>
                <c:pt idx="53">
                  <c:v>47.031753962720906</c:v>
                </c:pt>
                <c:pt idx="54">
                  <c:v>46.23272521704849</c:v>
                </c:pt>
                <c:pt idx="55">
                  <c:v>45.432983592177258</c:v>
                </c:pt>
                <c:pt idx="56">
                  <c:v>44.633664530992789</c:v>
                </c:pt>
                <c:pt idx="57">
                  <c:v>43.834247581636212</c:v>
                </c:pt>
                <c:pt idx="58">
                  <c:v>43.035328730444562</c:v>
                </c:pt>
                <c:pt idx="59">
                  <c:v>42.236323712869762</c:v>
                </c:pt>
                <c:pt idx="60">
                  <c:v>41.437720530217561</c:v>
                </c:pt>
                <c:pt idx="61">
                  <c:v>40.639442639916268</c:v>
                </c:pt>
                <c:pt idx="62">
                  <c:v>39.841115002827181</c:v>
                </c:pt>
                <c:pt idx="63">
                  <c:v>39.043562841943483</c:v>
                </c:pt>
                <c:pt idx="64">
                  <c:v>38.246220561707162</c:v>
                </c:pt>
                <c:pt idx="65">
                  <c:v>37.449480935960139</c:v>
                </c:pt>
                <c:pt idx="66">
                  <c:v>36.653382656629752</c:v>
                </c:pt>
                <c:pt idx="67">
                  <c:v>35.858161377173175</c:v>
                </c:pt>
                <c:pt idx="68">
                  <c:v>35.063731323955757</c:v>
                </c:pt>
                <c:pt idx="69">
                  <c:v>34.270476874773806</c:v>
                </c:pt>
                <c:pt idx="70">
                  <c:v>33.478439913756588</c:v>
                </c:pt>
                <c:pt idx="71">
                  <c:v>32.688014859919015</c:v>
                </c:pt>
                <c:pt idx="72">
                  <c:v>31.899302238760061</c:v>
                </c:pt>
                <c:pt idx="73">
                  <c:v>31.112805985625194</c:v>
                </c:pt>
                <c:pt idx="74">
                  <c:v>30.32867648095479</c:v>
                </c:pt>
                <c:pt idx="75">
                  <c:v>29.547428239837444</c:v>
                </c:pt>
                <c:pt idx="76">
                  <c:v>28.769313246924536</c:v>
                </c:pt>
                <c:pt idx="77">
                  <c:v>27.995047786796437</c:v>
                </c:pt>
                <c:pt idx="78">
                  <c:v>27.225093492369815</c:v>
                </c:pt>
                <c:pt idx="79">
                  <c:v>26.460424542351674</c:v>
                </c:pt>
                <c:pt idx="80">
                  <c:v>25.700237018546357</c:v>
                </c:pt>
                <c:pt idx="81">
                  <c:v>24.946039343327943</c:v>
                </c:pt>
                <c:pt idx="82">
                  <c:v>24.197676578637882</c:v>
                </c:pt>
                <c:pt idx="83">
                  <c:v>23.455909397777685</c:v>
                </c:pt>
                <c:pt idx="84">
                  <c:v>22.720217557621108</c:v>
                </c:pt>
                <c:pt idx="85">
                  <c:v>21.990847428467276</c:v>
                </c:pt>
                <c:pt idx="86">
                  <c:v>21.267258401278131</c:v>
                </c:pt>
                <c:pt idx="87">
                  <c:v>20.54836059759743</c:v>
                </c:pt>
                <c:pt idx="88">
                  <c:v>19.833862616708409</c:v>
                </c:pt>
                <c:pt idx="89">
                  <c:v>19.121971172002098</c:v>
                </c:pt>
                <c:pt idx="90">
                  <c:v>18.41155971343052</c:v>
                </c:pt>
                <c:pt idx="91">
                  <c:v>17.701072612018145</c:v>
                </c:pt>
                <c:pt idx="92">
                  <c:v>16.989111794629792</c:v>
                </c:pt>
                <c:pt idx="93">
                  <c:v>16.274065115206341</c:v>
                </c:pt>
                <c:pt idx="94">
                  <c:v>16.094764032333941</c:v>
                </c:pt>
                <c:pt idx="95">
                  <c:v>16.004453460407444</c:v>
                </c:pt>
                <c:pt idx="96">
                  <c:v>15.915104926338078</c:v>
                </c:pt>
                <c:pt idx="97">
                  <c:v>15.824657054612672</c:v>
                </c:pt>
                <c:pt idx="98">
                  <c:v>15.735168832148187</c:v>
                </c:pt>
                <c:pt idx="99">
                  <c:v>15.644553245499345</c:v>
                </c:pt>
                <c:pt idx="100">
                  <c:v>15.554895743328586</c:v>
                </c:pt>
                <c:pt idx="101">
                  <c:v>15.464152859064953</c:v>
                </c:pt>
                <c:pt idx="102">
                  <c:v>15.37436584002652</c:v>
                </c:pt>
                <c:pt idx="103">
                  <c:v>15.28340182166809</c:v>
                </c:pt>
                <c:pt idx="104">
                  <c:v>15.193393617766514</c:v>
                </c:pt>
                <c:pt idx="105">
                  <c:v>15.102252584466989</c:v>
                </c:pt>
                <c:pt idx="106">
                  <c:v>15.012066599062774</c:v>
                </c:pt>
                <c:pt idx="107">
                  <c:v>14.920790221984346</c:v>
                </c:pt>
                <c:pt idx="108">
                  <c:v>14.83046747801369</c:v>
                </c:pt>
                <c:pt idx="109">
                  <c:v>14.739033214288815</c:v>
                </c:pt>
                <c:pt idx="110">
                  <c:v>14.648551864024235</c:v>
                </c:pt>
                <c:pt idx="111">
                  <c:v>14.556879504787029</c:v>
                </c:pt>
                <c:pt idx="112">
                  <c:v>14.466161225319849</c:v>
                </c:pt>
                <c:pt idx="113">
                  <c:v>14.374297133342115</c:v>
                </c:pt>
                <c:pt idx="114">
                  <c:v>14.283387549943697</c:v>
                </c:pt>
                <c:pt idx="115">
                  <c:v>14.191317500003116</c:v>
                </c:pt>
                <c:pt idx="116">
                  <c:v>14.100202905962698</c:v>
                </c:pt>
                <c:pt idx="117">
                  <c:v>14.007915158863348</c:v>
                </c:pt>
                <c:pt idx="118">
                  <c:v>13.91658427941919</c:v>
                </c:pt>
                <c:pt idx="119">
                  <c:v>13.8241252107769</c:v>
                </c:pt>
                <c:pt idx="120">
                  <c:v>13.732623685549028</c:v>
                </c:pt>
                <c:pt idx="121">
                  <c:v>13.639982640469238</c:v>
                </c:pt>
                <c:pt idx="122">
                  <c:v>13.548300251695533</c:v>
                </c:pt>
                <c:pt idx="123">
                  <c:v>13.45541527354249</c:v>
                </c:pt>
                <c:pt idx="124">
                  <c:v>13.363491550763802</c:v>
                </c:pt>
                <c:pt idx="125">
                  <c:v>13.270411954845802</c:v>
                </c:pt>
                <c:pt idx="126">
                  <c:v>13.178295402200941</c:v>
                </c:pt>
                <c:pt idx="127">
                  <c:v>13.085016654788239</c:v>
                </c:pt>
                <c:pt idx="128">
                  <c:v>12.992703029840115</c:v>
                </c:pt>
                <c:pt idx="129">
                  <c:v>12.899222395572412</c:v>
                </c:pt>
                <c:pt idx="130">
                  <c:v>12.806709209393084</c:v>
                </c:pt>
                <c:pt idx="131">
                  <c:v>12.713025625257366</c:v>
                </c:pt>
                <c:pt idx="132">
                  <c:v>12.666548880263855</c:v>
                </c:pt>
                <c:pt idx="133">
                  <c:v>12.620312018522197</c:v>
                </c:pt>
                <c:pt idx="134">
                  <c:v>12.573221861044178</c:v>
                </c:pt>
                <c:pt idx="135">
                  <c:v>12.526377755487415</c:v>
                </c:pt>
                <c:pt idx="136">
                  <c:v>12.479777054416827</c:v>
                </c:pt>
                <c:pt idx="137">
                  <c:v>12.433417155949959</c:v>
                </c:pt>
                <c:pt idx="138">
                  <c:v>12.386251111173888</c:v>
                </c:pt>
                <c:pt idx="139">
                  <c:v>12.339331563925226</c:v>
                </c:pt>
                <c:pt idx="140">
                  <c:v>12.292655871689817</c:v>
                </c:pt>
                <c:pt idx="141">
                  <c:v>12.246221437053681</c:v>
                </c:pt>
                <c:pt idx="142">
                  <c:v>12.198933124527267</c:v>
                </c:pt>
                <c:pt idx="143">
                  <c:v>12.151892278761931</c:v>
                </c:pt>
                <c:pt idx="144">
                  <c:v>12.105096252929776</c:v>
                </c:pt>
                <c:pt idx="145">
                  <c:v>12.058542445068515</c:v>
                </c:pt>
                <c:pt idx="146">
                  <c:v>12.01115829036485</c:v>
                </c:pt>
                <c:pt idx="147">
                  <c:v>11.964022333405261</c:v>
                </c:pt>
                <c:pt idx="148">
                  <c:v>11.917131926040373</c:v>
                </c:pt>
                <c:pt idx="149">
                  <c:v>11.870484464693437</c:v>
                </c:pt>
                <c:pt idx="150">
                  <c:v>11.823007216445543</c:v>
                </c:pt>
                <c:pt idx="151">
                  <c:v>11.775778903135519</c:v>
                </c:pt>
                <c:pt idx="152">
                  <c:v>11.728796874365266</c:v>
                </c:pt>
                <c:pt idx="153">
                  <c:v>11.682058524048315</c:v>
                </c:pt>
                <c:pt idx="154">
                  <c:v>11.634469605914326</c:v>
                </c:pt>
                <c:pt idx="155">
                  <c:v>11.587130586843053</c:v>
                </c:pt>
                <c:pt idx="156">
                  <c:v>11.540038809763145</c:v>
                </c:pt>
                <c:pt idx="157">
                  <c:v>11.493191661764097</c:v>
                </c:pt>
                <c:pt idx="158">
                  <c:v>11.445496146702641</c:v>
                </c:pt>
                <c:pt idx="159">
                  <c:v>11.398051472013478</c:v>
                </c:pt>
                <c:pt idx="160">
                  <c:v>11.350854973525461</c:v>
                </c:pt>
                <c:pt idx="161">
                  <c:v>11.303904031099322</c:v>
                </c:pt>
                <c:pt idx="162">
                  <c:v>11.256128286505495</c:v>
                </c:pt>
                <c:pt idx="163">
                  <c:v>11.208604074480295</c:v>
                </c:pt>
                <c:pt idx="164">
                  <c:v>11.161328726931902</c:v>
                </c:pt>
                <c:pt idx="165">
                  <c:v>11.114299619615375</c:v>
                </c:pt>
                <c:pt idx="166">
                  <c:v>11.066407085487862</c:v>
                </c:pt>
                <c:pt idx="167">
                  <c:v>11.01876718538624</c:v>
                </c:pt>
                <c:pt idx="168">
                  <c:v>10.97137724004725</c:v>
                </c:pt>
                <c:pt idx="169">
                  <c:v>10.924234614042055</c:v>
                </c:pt>
                <c:pt idx="170">
                  <c:v>10.876332985336237</c:v>
                </c:pt>
                <c:pt idx="171">
                  <c:v>10.828683981449206</c:v>
                </c:pt>
                <c:pt idx="172">
                  <c:v>10.781284928819662</c:v>
                </c:pt>
                <c:pt idx="173">
                  <c:v>10.734133197357178</c:v>
                </c:pt>
                <c:pt idx="174">
                  <c:v>10.68604681043788</c:v>
                </c:pt>
                <c:pt idx="175">
                  <c:v>10.638214909300498</c:v>
                </c:pt>
                <c:pt idx="176">
                  <c:v>10.590634795744247</c:v>
                </c:pt>
                <c:pt idx="177">
                  <c:v>10.54330381534686</c:v>
                </c:pt>
                <c:pt idx="178">
                  <c:v>10.49506462550961</c:v>
                </c:pt>
                <c:pt idx="179">
                  <c:v>10.447081466894252</c:v>
                </c:pt>
                <c:pt idx="180">
                  <c:v>10.399351620975651</c:v>
                </c:pt>
                <c:pt idx="181">
                  <c:v>10.351872413234505</c:v>
                </c:pt>
                <c:pt idx="182">
                  <c:v>10.303699099956006</c:v>
                </c:pt>
                <c:pt idx="183">
                  <c:v>10.255781065445566</c:v>
                </c:pt>
                <c:pt idx="184">
                  <c:v>10.208115606665629</c:v>
                </c:pt>
                <c:pt idx="185">
                  <c:v>10.160700064058059</c:v>
                </c:pt>
                <c:pt idx="186">
                  <c:v>10.112240468882659</c:v>
                </c:pt>
                <c:pt idx="187">
                  <c:v>10.064039143735904</c:v>
                </c:pt>
                <c:pt idx="188">
                  <c:v>10.016093341031823</c:v>
                </c:pt>
                <c:pt idx="189">
                  <c:v>9.9684003574381492</c:v>
                </c:pt>
                <c:pt idx="190">
                  <c:v>9.9200545508425435</c:v>
                </c:pt>
                <c:pt idx="191">
                  <c:v>9.8719657725058578</c:v>
                </c:pt>
                <c:pt idx="192">
                  <c:v>9.8241312969483339</c:v>
                </c:pt>
                <c:pt idx="193">
                  <c:v>9.7765484423077087</c:v>
                </c:pt>
                <c:pt idx="194">
                  <c:v>9.7279769320971905</c:v>
                </c:pt>
                <c:pt idx="195">
                  <c:v>9.6796648235358074</c:v>
                </c:pt>
                <c:pt idx="196">
                  <c:v>9.6316093552485285</c:v>
                </c:pt>
                <c:pt idx="197">
                  <c:v>9.583807810092825</c:v>
                </c:pt>
                <c:pt idx="198">
                  <c:v>9.5352190580507035</c:v>
                </c:pt>
                <c:pt idx="199">
                  <c:v>9.4868898717344159</c:v>
                </c:pt>
                <c:pt idx="200">
                  <c:v>9.4388174884834442</c:v>
                </c:pt>
                <c:pt idx="201">
                  <c:v>9.390999189761347</c:v>
                </c:pt>
                <c:pt idx="202">
                  <c:v>9.342415741597982</c:v>
                </c:pt>
                <c:pt idx="203">
                  <c:v>9.2940917872516859</c:v>
                </c:pt>
                <c:pt idx="204">
                  <c:v>9.2460245660532525</c:v>
                </c:pt>
                <c:pt idx="205">
                  <c:v>9.1982113612939269</c:v>
                </c:pt>
                <c:pt idx="206">
                  <c:v>9.1494885265571373</c:v>
                </c:pt>
                <c:pt idx="207">
                  <c:v>9.1010266597088023</c:v>
                </c:pt>
                <c:pt idx="208">
                  <c:v>9.0528229769928235</c:v>
                </c:pt>
                <c:pt idx="209">
                  <c:v>9.004874738994058</c:v>
                </c:pt>
                <c:pt idx="210">
                  <c:v>8.9558805032167381</c:v>
                </c:pt>
                <c:pt idx="211">
                  <c:v>8.9071501304028526</c:v>
                </c:pt>
                <c:pt idx="212">
                  <c:v>8.8586807904645379</c:v>
                </c:pt>
                <c:pt idx="213">
                  <c:v>8.8104696985402953</c:v>
                </c:pt>
                <c:pt idx="214">
                  <c:v>8.7615607675556024</c:v>
                </c:pt>
                <c:pt idx="215">
                  <c:v>8.7129147705724499</c:v>
                </c:pt>
                <c:pt idx="216">
                  <c:v>8.6645288920030907</c:v>
                </c:pt>
                <c:pt idx="217">
                  <c:v>8.6164003610924258</c:v>
                </c:pt>
                <c:pt idx="218">
                  <c:v>8.5674378112720433</c:v>
                </c:pt>
                <c:pt idx="219">
                  <c:v>8.5187387548825164</c:v>
                </c:pt>
                <c:pt idx="220">
                  <c:v>8.4703003666210499</c:v>
                </c:pt>
                <c:pt idx="221">
                  <c:v>8.4221198661487158</c:v>
                </c:pt>
                <c:pt idx="222">
                  <c:v>8.3731290043034718</c:v>
                </c:pt>
                <c:pt idx="223">
                  <c:v>8.3244019201102617</c:v>
                </c:pt>
                <c:pt idx="224">
                  <c:v>8.2759357826299009</c:v>
                </c:pt>
                <c:pt idx="225">
                  <c:v>8.2277278059421661</c:v>
                </c:pt>
                <c:pt idx="226">
                  <c:v>8.1785834076191986</c:v>
                </c:pt>
                <c:pt idx="227">
                  <c:v>8.1297044131928047</c:v>
                </c:pt>
                <c:pt idx="228">
                  <c:v>8.0810879641854285</c:v>
                </c:pt>
                <c:pt idx="229">
                  <c:v>8.0327312476665629</c:v>
                </c:pt>
                <c:pt idx="230">
                  <c:v>7.9344655847155989</c:v>
                </c:pt>
                <c:pt idx="231">
                  <c:v>7.8857299001783812</c:v>
                </c:pt>
                <c:pt idx="232">
                  <c:v>7.8372551851381225</c:v>
                </c:pt>
                <c:pt idx="233">
                  <c:v>7.7878971581507193</c:v>
                </c:pt>
                <c:pt idx="234">
                  <c:v>7.7388067687589812</c:v>
                </c:pt>
                <c:pt idx="235">
                  <c:v>7.6899811187802856</c:v>
                </c:pt>
                <c:pt idx="236">
                  <c:v>7.6414173563368557</c:v>
                </c:pt>
                <c:pt idx="237">
                  <c:v>7.5921352422379575</c:v>
                </c:pt>
                <c:pt idx="238">
                  <c:v>7.5431198960478536</c:v>
                </c:pt>
                <c:pt idx="239">
                  <c:v>7.494368431484526</c:v>
                </c:pt>
                <c:pt idx="240">
                  <c:v>7.4458780082876528</c:v>
                </c:pt>
                <c:pt idx="241">
                  <c:v>7.3964159835729841</c:v>
                </c:pt>
                <c:pt idx="242">
                  <c:v>7.3472226127995093</c:v>
                </c:pt>
                <c:pt idx="243">
                  <c:v>7.29829497668951</c:v>
                </c:pt>
                <c:pt idx="244">
                  <c:v>7.2496302026640835</c:v>
                </c:pt>
                <c:pt idx="245">
                  <c:v>7.2001557064605235</c:v>
                </c:pt>
                <c:pt idx="246">
                  <c:v>7.1509499277340671</c:v>
                </c:pt>
                <c:pt idx="247">
                  <c:v>7.1020099435523401</c:v>
                </c:pt>
                <c:pt idx="248">
                  <c:v>7.0533328777421476</c:v>
                </c:pt>
                <c:pt idx="249">
                  <c:v>7.0037382235872814</c:v>
                </c:pt>
                <c:pt idx="250">
                  <c:v>6.9544135056507166</c:v>
                </c:pt>
                <c:pt idx="251">
                  <c:v>6.9053557783202848</c:v>
                </c:pt>
                <c:pt idx="252">
                  <c:v>6.856562143214302</c:v>
                </c:pt>
                <c:pt idx="253">
                  <c:v>6.807005409976834</c:v>
                </c:pt>
                <c:pt idx="254">
                  <c:v>6.7577181033393909</c:v>
                </c:pt>
                <c:pt idx="255">
                  <c:v>6.7086972830129801</c:v>
                </c:pt>
                <c:pt idx="256">
                  <c:v>6.6599400558191597</c:v>
                </c:pt>
                <c:pt idx="257">
                  <c:v>6.6101906289651495</c:v>
                </c:pt>
                <c:pt idx="258">
                  <c:v>6.5607126087662913</c:v>
                </c:pt>
                <c:pt idx="259">
                  <c:v>6.5115030193637242</c:v>
                </c:pt>
                <c:pt idx="260">
                  <c:v>6.4625589327666724</c:v>
                </c:pt>
                <c:pt idx="261">
                  <c:v>6.4127741007600463</c:v>
                </c:pt>
                <c:pt idx="262">
                  <c:v>6.3632609311120438</c:v>
                </c:pt>
                <c:pt idx="263">
                  <c:v>6.3140164404203514</c:v>
                </c:pt>
                <c:pt idx="264">
                  <c:v>6.2650376933144685</c:v>
                </c:pt>
                <c:pt idx="265">
                  <c:v>6.2152421897258039</c:v>
                </c:pt>
                <c:pt idx="266">
                  <c:v>6.1657183182488007</c:v>
                </c:pt>
                <c:pt idx="267">
                  <c:v>6.1164630924887149</c:v>
                </c:pt>
                <c:pt idx="268">
                  <c:v>6.0674735741528032</c:v>
                </c:pt>
                <c:pt idx="269">
                  <c:v>6.0175731254845344</c:v>
                </c:pt>
                <c:pt idx="270">
                  <c:v>5.9679452872523919</c:v>
                </c:pt>
                <c:pt idx="271">
                  <c:v>5.9185870533138178</c:v>
                </c:pt>
                <c:pt idx="272">
                  <c:v>5.8694954660611041</c:v>
                </c:pt>
                <c:pt idx="273">
                  <c:v>5.8195191751790567</c:v>
                </c:pt>
                <c:pt idx="274">
                  <c:v>5.7698161376994141</c:v>
                </c:pt>
                <c:pt idx="275">
                  <c:v>5.7203833330769545</c:v>
                </c:pt>
                <c:pt idx="276">
                  <c:v>5.6712177896231122</c:v>
                </c:pt>
                <c:pt idx="277">
                  <c:v>5.6213052802199295</c:v>
                </c:pt>
                <c:pt idx="278">
                  <c:v>5.5716651259490968</c:v>
                </c:pt>
                <c:pt idx="279">
                  <c:v>5.5222943172110996</c:v>
                </c:pt>
                <c:pt idx="280">
                  <c:v>5.4731898930425418</c:v>
                </c:pt>
                <c:pt idx="281">
                  <c:v>5.4230295726495292</c:v>
                </c:pt>
                <c:pt idx="282">
                  <c:v>5.3731440854014352</c:v>
                </c:pt>
                <c:pt idx="283">
                  <c:v>5.3235303765739097</c:v>
                </c:pt>
                <c:pt idx="284">
                  <c:v>5.2741854410679583</c:v>
                </c:pt>
                <c:pt idx="285">
                  <c:v>5.2241381877176476</c:v>
                </c:pt>
                <c:pt idx="286">
                  <c:v>5.1743642865607011</c:v>
                </c:pt>
                <c:pt idx="287">
                  <c:v>5.1248607032968696</c:v>
                </c:pt>
                <c:pt idx="288">
                  <c:v>5.0756244528293202</c:v>
                </c:pt>
                <c:pt idx="289">
                  <c:v>5.0253895660733141</c:v>
                </c:pt>
                <c:pt idx="290">
                  <c:v>4.9754298086339999</c:v>
                </c:pt>
                <c:pt idx="291">
                  <c:v>4.925742112333185</c:v>
                </c:pt>
                <c:pt idx="292">
                  <c:v>4.8763234589484217</c:v>
                </c:pt>
                <c:pt idx="293">
                  <c:v>4.8260381222379571</c:v>
                </c:pt>
                <c:pt idx="294">
                  <c:v>4.7760281707287184</c:v>
                </c:pt>
                <c:pt idx="295">
                  <c:v>4.7262905275151308</c:v>
                </c:pt>
                <c:pt idx="296">
                  <c:v>4.6768221658582583</c:v>
                </c:pt>
                <c:pt idx="297">
                  <c:v>4.6265118205636782</c:v>
                </c:pt>
                <c:pt idx="298">
                  <c:v>4.5764768133050051</c:v>
                </c:pt>
                <c:pt idx="299">
                  <c:v>4.5267140633853717</c:v>
                </c:pt>
                <c:pt idx="300">
                  <c:v>4.4772205403795091</c:v>
                </c:pt>
                <c:pt idx="301">
                  <c:v>4.426908896561736</c:v>
                </c:pt>
                <c:pt idx="302">
                  <c:v>4.3768722591351699</c:v>
                </c:pt>
                <c:pt idx="303">
                  <c:v>4.327107548257608</c:v>
                </c:pt>
                <c:pt idx="304">
                  <c:v>4.2776117343633757</c:v>
                </c:pt>
                <c:pt idx="305">
                  <c:v>4.2271279484544451</c:v>
                </c:pt>
                <c:pt idx="306">
                  <c:v>4.1769206739612406</c:v>
                </c:pt>
                <c:pt idx="307">
                  <c:v>4.1269868009309727</c:v>
                </c:pt>
                <c:pt idx="308">
                  <c:v>4.077323270366275</c:v>
                </c:pt>
                <c:pt idx="309">
                  <c:v>4.0268890116352454</c:v>
                </c:pt>
                <c:pt idx="310">
                  <c:v>3.9767303210955083</c:v>
                </c:pt>
                <c:pt idx="311">
                  <c:v>3.9268440996701335</c:v>
                </c:pt>
                <c:pt idx="312">
                  <c:v>3.8772272990251593</c:v>
                </c:pt>
                <c:pt idx="313">
                  <c:v>3.8266765560314706</c:v>
                </c:pt>
                <c:pt idx="314">
                  <c:v>3.7764022193787934</c:v>
                </c:pt>
                <c:pt idx="315">
                  <c:v>3.7264011707409277</c:v>
                </c:pt>
                <c:pt idx="316">
                  <c:v>3.6766703429788326</c:v>
                </c:pt>
                <c:pt idx="317">
                  <c:v>3.6260322459351819</c:v>
                </c:pt>
                <c:pt idx="318">
                  <c:v>3.5756710438414654</c:v>
                </c:pt>
                <c:pt idx="319">
                  <c:v>3.5255836048147366</c:v>
                </c:pt>
                <c:pt idx="320">
                  <c:v>3.475766848480065</c:v>
                </c:pt>
                <c:pt idx="321">
                  <c:v>3.4250686007225264</c:v>
                </c:pt>
                <c:pt idx="322">
                  <c:v>3.3746474066855878</c:v>
                </c:pt>
                <c:pt idx="323">
                  <c:v>3.3245001263267335</c:v>
                </c:pt>
                <c:pt idx="324">
                  <c:v>3.2746236713145955</c:v>
                </c:pt>
                <c:pt idx="325">
                  <c:v>3.2238906228833306</c:v>
                </c:pt>
                <c:pt idx="326">
                  <c:v>3.1734344766670985</c:v>
                </c:pt>
                <c:pt idx="327">
                  <c:v>3.1232520895558618</c:v>
                </c:pt>
                <c:pt idx="328">
                  <c:v>3.073340370242108</c:v>
                </c:pt>
                <c:pt idx="329">
                  <c:v>3.0225114685429997</c:v>
                </c:pt>
                <c:pt idx="330">
                  <c:v>2.9719599466511069</c:v>
                </c:pt>
                <c:pt idx="331">
                  <c:v>2.9216826475156892</c:v>
                </c:pt>
                <c:pt idx="332">
                  <c:v>2.8716764662181453</c:v>
                </c:pt>
                <c:pt idx="333">
                  <c:v>2.820861839999218</c:v>
                </c:pt>
                <c:pt idx="334">
                  <c:v>2.7703238363135982</c:v>
                </c:pt>
                <c:pt idx="335">
                  <c:v>2.7200593049999409</c:v>
                </c:pt>
                <c:pt idx="336">
                  <c:v>2.670065147900984</c:v>
                </c:pt>
                <c:pt idx="337">
                  <c:v>2.6191228537358247</c:v>
                </c:pt>
                <c:pt idx="338">
                  <c:v>2.5684579288402527</c:v>
                </c:pt>
                <c:pt idx="339">
                  <c:v>2.5180672041069223</c:v>
                </c:pt>
                <c:pt idx="340">
                  <c:v>2.4679475628713932</c:v>
                </c:pt>
                <c:pt idx="341">
                  <c:v>2.4169065748464353</c:v>
                </c:pt>
                <c:pt idx="342">
                  <c:v>2.3661433462211732</c:v>
                </c:pt>
                <c:pt idx="343">
                  <c:v>2.315654694763464</c:v>
                </c:pt>
                <c:pt idx="344">
                  <c:v>2.2654374909949127</c:v>
                </c:pt>
                <c:pt idx="345">
                  <c:v>2.2144023972658102</c:v>
                </c:pt>
                <c:pt idx="346">
                  <c:v>2.1636442765294612</c:v>
                </c:pt>
                <c:pt idx="347">
                  <c:v>2.1131599533606815</c:v>
                </c:pt>
                <c:pt idx="348">
                  <c:v>2.0629463049588121</c:v>
                </c:pt>
                <c:pt idx="349">
                  <c:v>2.0117853812619053</c:v>
                </c:pt>
                <c:pt idx="350">
                  <c:v>1.96090202742944</c:v>
                </c:pt>
                <c:pt idx="351">
                  <c:v>1.9102930508685423</c:v>
                </c:pt>
                <c:pt idx="352">
                  <c:v>1.8599553120093764</c:v>
                </c:pt>
                <c:pt idx="353">
                  <c:v>1.8086968332708029</c:v>
                </c:pt>
                <c:pt idx="354">
                  <c:v>1.757716167316755</c:v>
                </c:pt>
                <c:pt idx="355">
                  <c:v>1.707010110164112</c:v>
                </c:pt>
                <c:pt idx="356">
                  <c:v>1.6565755111232339</c:v>
                </c:pt>
                <c:pt idx="357">
                  <c:v>1.6053184971824788</c:v>
                </c:pt>
                <c:pt idx="358">
                  <c:v>1.5543384215537912</c:v>
                </c:pt>
                <c:pt idx="359">
                  <c:v>1.5036320878653902</c:v>
                </c:pt>
                <c:pt idx="360">
                  <c:v>1.4531963528882066</c:v>
                </c:pt>
                <c:pt idx="361">
                  <c:v>1.4018182405890853</c:v>
                </c:pt>
                <c:pt idx="362">
                  <c:v>1.3507174644514499</c:v>
                </c:pt>
                <c:pt idx="363">
                  <c:v>1.2998908134527514</c:v>
                </c:pt>
                <c:pt idx="364">
                  <c:v>1.2493351300534248</c:v>
                </c:pt>
                <c:pt idx="365">
                  <c:v>1.197932820795798</c:v>
                </c:pt>
                <c:pt idx="366">
                  <c:v>1.1468071497323205</c:v>
                </c:pt>
                <c:pt idx="367">
                  <c:v>1.095954909838244</c:v>
                </c:pt>
                <c:pt idx="368">
                  <c:v>1.0453729474980173</c:v>
                </c:pt>
                <c:pt idx="369">
                  <c:v>0.99383095777918218</c:v>
                </c:pt>
                <c:pt idx="370">
                  <c:v>0.94256609370330735</c:v>
                </c:pt>
                <c:pt idx="371">
                  <c:v>0.8915751313353264</c:v>
                </c:pt>
                <c:pt idx="372">
                  <c:v>0.84085490053735246</c:v>
                </c:pt>
                <c:pt idx="373">
                  <c:v>0.78926781890362607</c:v>
                </c:pt>
                <c:pt idx="374">
                  <c:v>0.73795727746775019</c:v>
                </c:pt>
                <c:pt idx="375">
                  <c:v>0.68692005366461373</c:v>
                </c:pt>
                <c:pt idx="376">
                  <c:v>0.63615297870751664</c:v>
                </c:pt>
                <c:pt idx="377">
                  <c:v>0.58441179282995048</c:v>
                </c:pt>
                <c:pt idx="378">
                  <c:v>0.53294766683643424</c:v>
                </c:pt>
                <c:pt idx="379">
                  <c:v>0.48175735985518553</c:v>
                </c:pt>
                <c:pt idx="380">
                  <c:v>0.43083768520928023</c:v>
                </c:pt>
                <c:pt idx="381">
                  <c:v>0.37909844285071098</c:v>
                </c:pt>
                <c:pt idx="382">
                  <c:v>0.32763505127333226</c:v>
                </c:pt>
                <c:pt idx="383">
                  <c:v>0.27644428111271296</c:v>
                </c:pt>
                <c:pt idx="384">
                  <c:v>0.22552295695157654</c:v>
                </c:pt>
                <c:pt idx="385">
                  <c:v>0.17361592129768921</c:v>
                </c:pt>
                <c:pt idx="386">
                  <c:v>0.12198526900913706</c:v>
                </c:pt>
                <c:pt idx="387">
                  <c:v>7.0627751276437209E-2</c:v>
                </c:pt>
                <c:pt idx="388">
                  <c:v>1.9540173675680172E-2</c:v>
                </c:pt>
                <c:pt idx="389">
                  <c:v>-3.2445081822999176E-2</c:v>
                </c:pt>
                <c:pt idx="390">
                  <c:v>-8.4154444662621869E-2</c:v>
                </c:pt>
                <c:pt idx="391">
                  <c:v>-0.13559116563101589</c:v>
                </c:pt>
                <c:pt idx="392">
                  <c:v>-0.18675844108242257</c:v>
                </c:pt>
                <c:pt idx="393">
                  <c:v>-0.23879954667668796</c:v>
                </c:pt>
                <c:pt idx="394">
                  <c:v>-0.29056555722649152</c:v>
                </c:pt>
                <c:pt idx="395">
                  <c:v>-0.34205972056444883</c:v>
                </c:pt>
                <c:pt idx="396">
                  <c:v>-0.39328523015359373</c:v>
                </c:pt>
                <c:pt idx="397">
                  <c:v>-0.44547913016398327</c:v>
                </c:pt>
                <c:pt idx="398">
                  <c:v>-0.49739778610943947</c:v>
                </c:pt>
                <c:pt idx="399">
                  <c:v>-0.54904446013327979</c:v>
                </c:pt>
                <c:pt idx="400">
                  <c:v>-0.60042235969106073</c:v>
                </c:pt>
                <c:pt idx="401">
                  <c:v>-0.65268537340272981</c:v>
                </c:pt>
                <c:pt idx="402">
                  <c:v>-0.70467395508245567</c:v>
                </c:pt>
                <c:pt idx="403">
                  <c:v>-0.7563913647453322</c:v>
                </c:pt>
                <c:pt idx="404">
                  <c:v>-0.80784080776920564</c:v>
                </c:pt>
                <c:pt idx="405">
                  <c:v>-0.86020871948802713</c:v>
                </c:pt>
                <c:pt idx="406">
                  <c:v>-0.9123027175187276</c:v>
                </c:pt>
                <c:pt idx="407">
                  <c:v>-0.9641260655547137</c:v>
                </c:pt>
                <c:pt idx="408">
                  <c:v>-1.0156819725758817</c:v>
                </c:pt>
                <c:pt idx="409">
                  <c:v>-1.0681876859836752</c:v>
                </c:pt>
                <c:pt idx="410">
                  <c:v>-1.1204197492360166</c:v>
                </c:pt>
                <c:pt idx="411">
                  <c:v>-1.1723814349159447</c:v>
                </c:pt>
                <c:pt idx="412">
                  <c:v>-1.2240759607032772</c:v>
                </c:pt>
                <c:pt idx="413">
                  <c:v>-1.2766956624592043</c:v>
                </c:pt>
                <c:pt idx="414">
                  <c:v>-1.3290423184946467</c:v>
                </c:pt>
                <c:pt idx="415">
                  <c:v>-1.3811192049035426</c:v>
                </c:pt>
                <c:pt idx="416">
                  <c:v>-1.4329295428098217</c:v>
                </c:pt>
                <c:pt idx="417">
                  <c:v>-1.4856943206175468</c:v>
                </c:pt>
                <c:pt idx="418">
                  <c:v>-1.5381864327344195</c:v>
                </c:pt>
                <c:pt idx="419">
                  <c:v>-1.5904091635555222</c:v>
                </c:pt>
                <c:pt idx="420">
                  <c:v>-1.6423657423353375</c:v>
                </c:pt>
                <c:pt idx="421">
                  <c:v>-1.6952005176981355</c:v>
                </c:pt>
                <c:pt idx="422">
                  <c:v>-1.7477638805037556</c:v>
                </c:pt>
                <c:pt idx="423">
                  <c:v>-1.8000591085008997</c:v>
                </c:pt>
                <c:pt idx="424">
                  <c:v>-1.8520894244639603</c:v>
                </c:pt>
                <c:pt idx="425">
                  <c:v>-1.9051285575347041</c:v>
                </c:pt>
                <c:pt idx="426">
                  <c:v>-1.9578962593950613</c:v>
                </c:pt>
                <c:pt idx="427">
                  <c:v>-2.0103958249911784</c:v>
                </c:pt>
                <c:pt idx="428">
                  <c:v>-2.0626304939326747</c:v>
                </c:pt>
                <c:pt idx="429">
                  <c:v>-2.1157986141600804</c:v>
                </c:pt>
                <c:pt idx="430">
                  <c:v>-2.1686961702280461</c:v>
                </c:pt>
                <c:pt idx="431">
                  <c:v>-2.2213264591807964</c:v>
                </c:pt>
                <c:pt idx="432">
                  <c:v>-2.2736927227046042</c:v>
                </c:pt>
                <c:pt idx="433">
                  <c:v>-2.3269693743405591</c:v>
                </c:pt>
                <c:pt idx="434">
                  <c:v>-2.3799766501316579</c:v>
                </c:pt>
                <c:pt idx="435">
                  <c:v>-2.4327178443017274</c:v>
                </c:pt>
                <c:pt idx="436">
                  <c:v>-2.4851961958088631</c:v>
                </c:pt>
                <c:pt idx="437">
                  <c:v>-2.5386584691370691</c:v>
                </c:pt>
                <c:pt idx="438">
                  <c:v>-2.5918518989608215</c:v>
                </c:pt>
                <c:pt idx="439">
                  <c:v>-2.6447797897199554</c:v>
                </c:pt>
                <c:pt idx="440">
                  <c:v>-2.6974453903941487</c:v>
                </c:pt>
                <c:pt idx="441">
                  <c:v>-2.7510708649485718</c:v>
                </c:pt>
                <c:pt idx="442">
                  <c:v>-2.8044283857639405</c:v>
                </c:pt>
                <c:pt idx="443">
                  <c:v>-2.8575212620829022</c:v>
                </c:pt>
                <c:pt idx="444">
                  <c:v>-2.9103527476187372</c:v>
                </c:pt>
                <c:pt idx="445">
                  <c:v>-2.9641210470584638</c:v>
                </c:pt>
                <c:pt idx="446">
                  <c:v>-3.0176226197886469</c:v>
                </c:pt>
                <c:pt idx="447">
                  <c:v>-3.0708607747985504</c:v>
                </c:pt>
                <c:pt idx="448">
                  <c:v>-3.1238387655963438</c:v>
                </c:pt>
                <c:pt idx="449">
                  <c:v>-3.1778216041811218</c:v>
                </c:pt>
                <c:pt idx="450">
                  <c:v>-3.2315383763984453</c:v>
                </c:pt>
                <c:pt idx="451">
                  <c:v>-3.2849924027896931</c:v>
                </c:pt>
                <c:pt idx="452">
                  <c:v>-3.3381869482051059</c:v>
                </c:pt>
                <c:pt idx="453">
                  <c:v>-3.392318382138102</c:v>
                </c:pt>
                <c:pt idx="454">
                  <c:v>-3.4461852094716354</c:v>
                </c:pt>
                <c:pt idx="455">
                  <c:v>-3.4997907487575892</c:v>
                </c:pt>
                <c:pt idx="456">
                  <c:v>-3.5531382629537482</c:v>
                </c:pt>
                <c:pt idx="457">
                  <c:v>-3.6074878652843427</c:v>
                </c:pt>
                <c:pt idx="458">
                  <c:v>-3.6615737978520069</c:v>
                </c:pt>
                <c:pt idx="459">
                  <c:v>-3.7153993884714431</c:v>
                </c:pt>
                <c:pt idx="460">
                  <c:v>-3.768967909214846</c:v>
                </c:pt>
                <c:pt idx="461">
                  <c:v>-3.8235155041139572</c:v>
                </c:pt>
                <c:pt idx="462">
                  <c:v>-3.8778007296213532</c:v>
                </c:pt>
                <c:pt idx="463">
                  <c:v>-3.9318269175445701</c:v>
                </c:pt>
                <c:pt idx="464">
                  <c:v>-3.9855973439232746</c:v>
                </c:pt>
                <c:pt idx="465">
                  <c:v>-4.0403665526619452</c:v>
                </c:pt>
                <c:pt idx="466">
                  <c:v>-4.0948746402283911</c:v>
                </c:pt>
                <c:pt idx="467">
                  <c:v>-4.1491249450878698</c:v>
                </c:pt>
                <c:pt idx="468">
                  <c:v>-4.2031207498588756</c:v>
                </c:pt>
                <c:pt idx="469">
                  <c:v>-4.2580931555193304</c:v>
                </c:pt>
                <c:pt idx="470">
                  <c:v>-4.3128060456410013</c:v>
                </c:pt>
                <c:pt idx="471">
                  <c:v>-4.3672627602842304</c:v>
                </c:pt>
                <c:pt idx="472">
                  <c:v>-4.4214665837021192</c:v>
                </c:pt>
                <c:pt idx="473">
                  <c:v>-4.4767061772749637</c:v>
                </c:pt>
                <c:pt idx="474">
                  <c:v>-4.5316874513291339</c:v>
                </c:pt>
                <c:pt idx="475">
                  <c:v>-4.5864137573286907</c:v>
                </c:pt>
                <c:pt idx="476">
                  <c:v>-4.6408883907580609</c:v>
                </c:pt>
                <c:pt idx="477">
                  <c:v>-4.6963764044615628</c:v>
                </c:pt>
                <c:pt idx="478">
                  <c:v>-4.7516076772156675</c:v>
                </c:pt>
                <c:pt idx="479">
                  <c:v>-4.8065855665703214</c:v>
                </c:pt>
                <c:pt idx="480">
                  <c:v>-4.8613133740477457</c:v>
                </c:pt>
                <c:pt idx="481">
                  <c:v>-4.9170332261165859</c:v>
                </c:pt>
                <c:pt idx="482">
                  <c:v>-4.9724982788133829</c:v>
                </c:pt>
                <c:pt idx="483">
                  <c:v>-5.0277118908143335</c:v>
                </c:pt>
                <c:pt idx="484">
                  <c:v>-5.0826773648355985</c:v>
                </c:pt>
                <c:pt idx="485">
                  <c:v>-5.1386526022632566</c:v>
                </c:pt>
                <c:pt idx="486">
                  <c:v>-5.1943749840279665</c:v>
                </c:pt>
                <c:pt idx="487">
                  <c:v>-5.2498478721321433</c:v>
                </c:pt>
                <c:pt idx="488">
                  <c:v>-5.3050745726425843</c:v>
                </c:pt>
                <c:pt idx="489">
                  <c:v>-5.3613654287691883</c:v>
                </c:pt>
                <c:pt idx="490">
                  <c:v>-5.4174050656319377</c:v>
                </c:pt>
                <c:pt idx="491">
                  <c:v>-5.473196857172451</c:v>
                </c:pt>
                <c:pt idx="492">
                  <c:v>-5.5287441212361186</c:v>
                </c:pt>
                <c:pt idx="493">
                  <c:v>-5.5853343153292343</c:v>
                </c:pt>
                <c:pt idx="494">
                  <c:v>-5.6416753230833807</c:v>
                </c:pt>
                <c:pt idx="495">
                  <c:v>-5.6977705251307755</c:v>
                </c:pt>
                <c:pt idx="496">
                  <c:v>-5.7536232459678507</c:v>
                </c:pt>
                <c:pt idx="497">
                  <c:v>-5.8105348188445083</c:v>
                </c:pt>
                <c:pt idx="498">
                  <c:v>-5.8671993041607777</c:v>
                </c:pt>
                <c:pt idx="499">
                  <c:v>-5.9236200907360095</c:v>
                </c:pt>
                <c:pt idx="500">
                  <c:v>-5.9798005111854753</c:v>
                </c:pt>
                <c:pt idx="501">
                  <c:v>-6.0370552434686235</c:v>
                </c:pt>
                <c:pt idx="502">
                  <c:v>-6.0940650727351233</c:v>
                </c:pt>
                <c:pt idx="503">
                  <c:v>-6.150833397279813</c:v>
                </c:pt>
                <c:pt idx="504">
                  <c:v>-6.207363559100151</c:v>
                </c:pt>
                <c:pt idx="505">
                  <c:v>-6.2649482509135801</c:v>
                </c:pt>
                <c:pt idx="506">
                  <c:v>-6.3222906211684746</c:v>
                </c:pt>
                <c:pt idx="507">
                  <c:v>-6.3793940725841312</c:v>
                </c:pt>
                <c:pt idx="508">
                  <c:v>-6.4362619516024147</c:v>
                </c:pt>
                <c:pt idx="509">
                  <c:v>-6.4941999634127088</c:v>
                </c:pt>
                <c:pt idx="510">
                  <c:v>-6.5518983312097205</c:v>
                </c:pt>
                <c:pt idx="511">
                  <c:v>-6.6093604634258964</c:v>
                </c:pt>
                <c:pt idx="512">
                  <c:v>-6.6665897122080464</c:v>
                </c:pt>
                <c:pt idx="513">
                  <c:v>-6.7249381185269588</c:v>
                </c:pt>
                <c:pt idx="514">
                  <c:v>-6.7830494007893263</c:v>
                </c:pt>
                <c:pt idx="515">
                  <c:v>-6.8409269801182955</c:v>
                </c:pt>
                <c:pt idx="516">
                  <c:v>-6.8985742211883263</c:v>
                </c:pt>
                <c:pt idx="517">
                  <c:v>-6.9573217107640692</c:v>
                </c:pt>
                <c:pt idx="518">
                  <c:v>-7.0158350192444026</c:v>
                </c:pt>
                <c:pt idx="519">
                  <c:v>-7.0741175751948715</c:v>
                </c:pt>
                <c:pt idx="520">
                  <c:v>-7.1321727506803132</c:v>
                </c:pt>
                <c:pt idx="521">
                  <c:v>-7.191343094014937</c:v>
                </c:pt>
                <c:pt idx="522">
                  <c:v>-7.2502823494689226</c:v>
                </c:pt>
                <c:pt idx="523">
                  <c:v>-7.3089939537575175</c:v>
                </c:pt>
                <c:pt idx="524">
                  <c:v>-7.3674812870203068</c:v>
                </c:pt>
                <c:pt idx="525">
                  <c:v>-7.4270986078125265</c:v>
                </c:pt>
                <c:pt idx="526">
                  <c:v>-7.4864881010934861</c:v>
                </c:pt>
                <c:pt idx="527">
                  <c:v>-7.5456532122406648</c:v>
                </c:pt>
                <c:pt idx="528">
                  <c:v>-7.604597329958426</c:v>
                </c:pt>
                <c:pt idx="529">
                  <c:v>-7.6646862189164802</c:v>
                </c:pt>
                <c:pt idx="530">
                  <c:v>-7.7245507241019729</c:v>
                </c:pt>
                <c:pt idx="531">
                  <c:v>-7.7841942998679716</c:v>
                </c:pt>
                <c:pt idx="532">
                  <c:v>-7.8436203437741892</c:v>
                </c:pt>
                <c:pt idx="533">
                  <c:v>-7.9042371903869313</c:v>
                </c:pt>
                <c:pt idx="534">
                  <c:v>-7.9646330696431331</c:v>
                </c:pt>
                <c:pt idx="535">
                  <c:v>-8.0248114502997083</c:v>
                </c:pt>
                <c:pt idx="536">
                  <c:v>-8.0847757440598311</c:v>
                </c:pt>
                <c:pt idx="537">
                  <c:v>-8.1458835202959179</c:v>
                </c:pt>
                <c:pt idx="538">
                  <c:v>-8.2067744185735432</c:v>
                </c:pt>
                <c:pt idx="539">
                  <c:v>-8.2674519111780587</c:v>
                </c:pt>
                <c:pt idx="540">
                  <c:v>-8.3279194132902568</c:v>
                </c:pt>
                <c:pt idx="541">
                  <c:v>-8.3896067947256405</c:v>
                </c:pt>
                <c:pt idx="542">
                  <c:v>-8.451081173414682</c:v>
                </c:pt>
                <c:pt idx="543">
                  <c:v>-8.5123460353702747</c:v>
                </c:pt>
                <c:pt idx="544">
                  <c:v>-8.5734048091907713</c:v>
                </c:pt>
                <c:pt idx="545">
                  <c:v>-8.6356681687200556</c:v>
                </c:pt>
                <c:pt idx="546">
                  <c:v>-8.6977228648056339</c:v>
                </c:pt>
                <c:pt idx="547">
                  <c:v>-8.7595723912520427</c:v>
                </c:pt>
                <c:pt idx="548">
                  <c:v>-8.8212201842238525</c:v>
                </c:pt>
                <c:pt idx="549">
                  <c:v>-8.8840881002670251</c:v>
                </c:pt>
                <c:pt idx="550">
                  <c:v>-8.9467519437865111</c:v>
                </c:pt>
                <c:pt idx="551">
                  <c:v>-9.0092152154872114</c:v>
                </c:pt>
                <c:pt idx="552">
                  <c:v>-9.0714813581721749</c:v>
                </c:pt>
                <c:pt idx="553">
                  <c:v>-9.1350126657514448</c:v>
                </c:pt>
                <c:pt idx="554">
                  <c:v>-9.1983445720250767</c:v>
                </c:pt>
                <c:pt idx="555">
                  <c:v>-9.261480588189908</c:v>
                </c:pt>
                <c:pt idx="556">
                  <c:v>-9.3244241671313208</c:v>
                </c:pt>
                <c:pt idx="557">
                  <c:v>-9.452678647514464</c:v>
                </c:pt>
                <c:pt idx="558">
                  <c:v>-9.580169407095779</c:v>
                </c:pt>
                <c:pt idx="559">
                  <c:v>-9.7098208707387439</c:v>
                </c:pt>
                <c:pt idx="560">
                  <c:v>-9.8387303481367887</c:v>
                </c:pt>
                <c:pt idx="561">
                  <c:v>-9.9699583834228456</c:v>
                </c:pt>
                <c:pt idx="562">
                  <c:v>-10.100466076796931</c:v>
                </c:pt>
                <c:pt idx="563">
                  <c:v>-10.233059288463306</c:v>
                </c:pt>
                <c:pt idx="564">
                  <c:v>-10.36495797811078</c:v>
                </c:pt>
                <c:pt idx="565">
                  <c:v>-10.499489503408586</c:v>
                </c:pt>
                <c:pt idx="566">
                  <c:v>-10.633348333425907</c:v>
                </c:pt>
                <c:pt idx="567">
                  <c:v>-10.769829838107565</c:v>
                </c:pt>
                <c:pt idx="568">
                  <c:v>-10.905662625855006</c:v>
                </c:pt>
                <c:pt idx="569">
                  <c:v>-11.043572357646118</c:v>
                </c:pt>
                <c:pt idx="570">
                  <c:v>-11.180864091138492</c:v>
                </c:pt>
                <c:pt idx="571">
                  <c:v>-11.321309558017278</c:v>
                </c:pt>
                <c:pt idx="572">
                  <c:v>-11.461159855666608</c:v>
                </c:pt>
                <c:pt idx="573">
                  <c:v>-11.603095144207142</c:v>
                </c:pt>
                <c:pt idx="574">
                  <c:v>-11.744468801695389</c:v>
                </c:pt>
                <c:pt idx="575">
                  <c:v>-11.888993215985149</c:v>
                </c:pt>
                <c:pt idx="576">
                  <c:v>-12.032982538100882</c:v>
                </c:pt>
                <c:pt idx="577">
                  <c:v>-12.637245462259891</c:v>
                </c:pt>
                <c:pt idx="578">
                  <c:v>-13.234222741141103</c:v>
                </c:pt>
                <c:pt idx="579">
                  <c:v>-14.524180324878644</c:v>
                </c:pt>
                <c:pt idx="580">
                  <c:v>-15.922378345550918</c:v>
                </c:pt>
                <c:pt idx="581">
                  <c:v>-17.444809745403255</c:v>
                </c:pt>
                <c:pt idx="582">
                  <c:v>-19.109115192049135</c:v>
                </c:pt>
                <c:pt idx="583">
                  <c:v>-20.927200968793024</c:v>
                </c:pt>
                <c:pt idx="584">
                  <c:v>-22.907865491086984</c:v>
                </c:pt>
                <c:pt idx="585">
                  <c:v>-25.050293414008383</c:v>
                </c:pt>
                <c:pt idx="586">
                  <c:v>-27.34777160775365</c:v>
                </c:pt>
                <c:pt idx="587">
                  <c:v>-29.788683898510847</c:v>
                </c:pt>
                <c:pt idx="588">
                  <c:v>-32.353936117922132</c:v>
                </c:pt>
                <c:pt idx="589">
                  <c:v>-35.027241086599574</c:v>
                </c:pt>
                <c:pt idx="590">
                  <c:v>-37.789597009372166</c:v>
                </c:pt>
                <c:pt idx="591">
                  <c:v>-40.624661104019765</c:v>
                </c:pt>
                <c:pt idx="592">
                  <c:v>-43.517459236714444</c:v>
                </c:pt>
                <c:pt idx="593">
                  <c:v>-46.45635896400178</c:v>
                </c:pt>
                <c:pt idx="594">
                  <c:v>-49.430015742853072</c:v>
                </c:pt>
                <c:pt idx="595">
                  <c:v>-52.430091659171197</c:v>
                </c:pt>
                <c:pt idx="596">
                  <c:v>-55.448363440552058</c:v>
                </c:pt>
                <c:pt idx="597">
                  <c:v>-58.478891705463454</c:v>
                </c:pt>
                <c:pt idx="598">
                  <c:v>-61.515122290409742</c:v>
                </c:pt>
                <c:pt idx="599">
                  <c:v>-64.552601545530635</c:v>
                </c:pt>
                <c:pt idx="600">
                  <c:v>-67.586058206341932</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-65.411096410468602</c:v>
                </c:pt>
                <c:pt idx="1">
                  <c:v>-67.347381936046474</c:v>
                </c:pt>
                <c:pt idx="2">
                  <c:v>-69.162067100694458</c:v>
                </c:pt>
                <c:pt idx="3">
                  <c:v>-70.856035992402028</c:v>
                </c:pt>
                <c:pt idx="4">
                  <c:v>-72.430844585934409</c:v>
                </c:pt>
                <c:pt idx="5">
                  <c:v>-73.892885911081535</c:v>
                </c:pt>
                <c:pt idx="6">
                  <c:v>-75.244761968271064</c:v>
                </c:pt>
                <c:pt idx="7">
                  <c:v>-76.492822130662304</c:v>
                </c:pt>
                <c:pt idx="8">
                  <c:v>-77.642019387402044</c:v>
                </c:pt>
                <c:pt idx="9">
                  <c:v>-78.699278910012836</c:v>
                </c:pt>
                <c:pt idx="10">
                  <c:v>-79.670056899010149</c:v>
                </c:pt>
                <c:pt idx="11">
                  <c:v>-80.56052731486362</c:v>
                </c:pt>
                <c:pt idx="12">
                  <c:v>-81.376944795441773</c:v>
                </c:pt>
                <c:pt idx="13">
                  <c:v>-82.124121901649204</c:v>
                </c:pt>
                <c:pt idx="14">
                  <c:v>-82.807993904519932</c:v>
                </c:pt>
                <c:pt idx="15">
                  <c:v>-83.433294601278092</c:v>
                </c:pt>
                <c:pt idx="16">
                  <c:v>-84.004787152498267</c:v>
                </c:pt>
                <c:pt idx="17">
                  <c:v>-84.526791105322033</c:v>
                </c:pt>
                <c:pt idx="18">
                  <c:v>-85.003536988782713</c:v>
                </c:pt>
                <c:pt idx="19">
                  <c:v>-85.438672273527146</c:v>
                </c:pt>
                <c:pt idx="20">
                  <c:v>-85.83577523298068</c:v>
                </c:pt>
                <c:pt idx="21">
                  <c:v>-86.197981392311021</c:v>
                </c:pt>
                <c:pt idx="22">
                  <c:v>-86.528325532927497</c:v>
                </c:pt>
                <c:pt idx="23">
                  <c:v>-86.829441654716831</c:v>
                </c:pt>
                <c:pt idx="24">
                  <c:v>-87.103895628417987</c:v>
                </c:pt>
                <c:pt idx="25">
                  <c:v>-87.353919656645772</c:v>
                </c:pt>
                <c:pt idx="26">
                  <c:v>-87.581649851543574</c:v>
                </c:pt>
                <c:pt idx="27">
                  <c:v>-87.788914452014652</c:v>
                </c:pt>
                <c:pt idx="28">
                  <c:v>-87.977464295626945</c:v>
                </c:pt>
                <c:pt idx="29">
                  <c:v>-88.148785292698307</c:v>
                </c:pt>
                <c:pt idx="30">
                  <c:v>-88.304601615588382</c:v>
                </c:pt>
                <c:pt idx="31">
                  <c:v>-88.445993656319501</c:v>
                </c:pt>
                <c:pt idx="32">
                  <c:v>-88.574253180225455</c:v>
                </c:pt>
                <c:pt idx="33">
                  <c:v>-88.690374311086487</c:v>
                </c:pt>
                <c:pt idx="34">
                  <c:v>-88.795429959657227</c:v>
                </c:pt>
                <c:pt idx="35">
                  <c:v>-88.890247304724952</c:v>
                </c:pt>
                <c:pt idx="36">
                  <c:v>-88.975647568112038</c:v>
                </c:pt>
                <c:pt idx="37">
                  <c:v>-89.052394625553063</c:v>
                </c:pt>
                <c:pt idx="38">
                  <c:v>-89.121065502760359</c:v>
                </c:pt>
                <c:pt idx="39">
                  <c:v>-89.18229978362946</c:v>
                </c:pt>
                <c:pt idx="40">
                  <c:v>-89.236590685139873</c:v>
                </c:pt>
                <c:pt idx="41">
                  <c:v>-89.284403951785535</c:v>
                </c:pt>
                <c:pt idx="42">
                  <c:v>-89.326139735565448</c:v>
                </c:pt>
                <c:pt idx="43">
                  <c:v>-89.362164353111098</c:v>
                </c:pt>
                <c:pt idx="44">
                  <c:v>-89.392773737762425</c:v>
                </c:pt>
                <c:pt idx="45">
                  <c:v>-89.418234473931321</c:v>
                </c:pt>
                <c:pt idx="46">
                  <c:v>-89.438758327982143</c:v>
                </c:pt>
                <c:pt idx="47">
                  <c:v>-89.454524972474218</c:v>
                </c:pt>
                <c:pt idx="48">
                  <c:v>-89.465665949552999</c:v>
                </c:pt>
                <c:pt idx="49">
                  <c:v>-89.472280702498807</c:v>
                </c:pt>
                <c:pt idx="50">
                  <c:v>-89.474426303776582</c:v>
                </c:pt>
                <c:pt idx="51">
                  <c:v>-89.472123706869681</c:v>
                </c:pt>
                <c:pt idx="52">
                  <c:v>-89.46535797314165</c:v>
                </c:pt>
                <c:pt idx="53">
                  <c:v>-89.454078568518739</c:v>
                </c:pt>
                <c:pt idx="54">
                  <c:v>-89.438209865161298</c:v>
                </c:pt>
                <c:pt idx="55">
                  <c:v>-89.417598440145468</c:v>
                </c:pt>
                <c:pt idx="56">
                  <c:v>-89.39210757089846</c:v>
                </c:pt>
                <c:pt idx="57">
                  <c:v>-89.361522323412999</c:v>
                </c:pt>
                <c:pt idx="58">
                  <c:v>-89.325629830311911</c:v>
                </c:pt>
                <c:pt idx="59">
                  <c:v>-89.284129589416395</c:v>
                </c:pt>
                <c:pt idx="60">
                  <c:v>-89.23673287741228</c:v>
                </c:pt>
                <c:pt idx="61">
                  <c:v>-89.18308682083503</c:v>
                </c:pt>
                <c:pt idx="62">
                  <c:v>-89.122774173521734</c:v>
                </c:pt>
                <c:pt idx="63">
                  <c:v>-89.055433937817114</c:v>
                </c:pt>
                <c:pt idx="64">
                  <c:v>-88.980563897458325</c:v>
                </c:pt>
                <c:pt idx="65">
                  <c:v>-88.897713717248365</c:v>
                </c:pt>
                <c:pt idx="66">
                  <c:v>-88.806382201625553</c:v>
                </c:pt>
                <c:pt idx="67">
                  <c:v>-88.706080384514252</c:v>
                </c:pt>
                <c:pt idx="68">
                  <c:v>-88.596281266409804</c:v>
                </c:pt>
                <c:pt idx="69">
                  <c:v>-88.476541942707613</c:v>
                </c:pt>
                <c:pt idx="70">
                  <c:v>-88.346419028049837</c:v>
                </c:pt>
                <c:pt idx="71">
                  <c:v>-88.20560600203639</c:v>
                </c:pt>
                <c:pt idx="72">
                  <c:v>-88.053870063861211</c:v>
                </c:pt>
                <c:pt idx="73">
                  <c:v>-87.891232978688322</c:v>
                </c:pt>
                <c:pt idx="74">
                  <c:v>-87.717892955876849</c:v>
                </c:pt>
                <c:pt idx="75">
                  <c:v>-87.534453890781123</c:v>
                </c:pt>
                <c:pt idx="76">
                  <c:v>-87.341886726185891</c:v>
                </c:pt>
                <c:pt idx="77">
                  <c:v>-87.141816905803481</c:v>
                </c:pt>
                <c:pt idx="78">
                  <c:v>-86.936473871759077</c:v>
                </c:pt>
                <c:pt idx="79">
                  <c:v>-86.729015120489052</c:v>
                </c:pt>
                <c:pt idx="80">
                  <c:v>-86.523022533074055</c:v>
                </c:pt>
                <c:pt idx="81">
                  <c:v>-86.32371160336902</c:v>
                </c:pt>
                <c:pt idx="82">
                  <c:v>-86.136907432721515</c:v>
                </c:pt>
                <c:pt idx="83">
                  <c:v>-85.969697143992107</c:v>
                </c:pt>
                <c:pt idx="84">
                  <c:v>-85.829779921938908</c:v>
                </c:pt>
                <c:pt idx="85">
                  <c:v>-85.725698035752458</c:v>
                </c:pt>
                <c:pt idx="86">
                  <c:v>-85.66614866450567</c:v>
                </c:pt>
                <c:pt idx="87">
                  <c:v>-85.65967431858337</c:v>
                </c:pt>
                <c:pt idx="88">
                  <c:v>-85.714116338001602</c:v>
                </c:pt>
                <c:pt idx="89">
                  <c:v>-85.836116302034611</c:v>
                </c:pt>
                <c:pt idx="90">
                  <c:v>-86.030597790157884</c:v>
                </c:pt>
                <c:pt idx="91">
                  <c:v>-86.300554048345788</c:v>
                </c:pt>
                <c:pt idx="92">
                  <c:v>-86.646862075985595</c:v>
                </c:pt>
                <c:pt idx="93">
                  <c:v>-87.068628800856089</c:v>
                </c:pt>
                <c:pt idx="94">
                  <c:v>-87.185528946077881</c:v>
                </c:pt>
                <c:pt idx="95">
                  <c:v>-87.246045582920203</c:v>
                </c:pt>
                <c:pt idx="96">
                  <c:v>-87.306981798602749</c:v>
                </c:pt>
                <c:pt idx="97">
                  <c:v>-87.369734591237119</c:v>
                </c:pt>
                <c:pt idx="98">
                  <c:v>-87.432866516388742</c:v>
                </c:pt>
                <c:pt idx="99">
                  <c:v>-87.497841087146398</c:v>
                </c:pt>
                <c:pt idx="100">
                  <c:v>-87.563154118046995</c:v>
                </c:pt>
                <c:pt idx="101">
                  <c:v>-87.630284297271899</c:v>
                </c:pt>
                <c:pt idx="102">
                  <c:v>-87.697711680308359</c:v>
                </c:pt>
                <c:pt idx="103">
                  <c:v>-87.767029338904123</c:v>
                </c:pt>
                <c:pt idx="104">
                  <c:v>-87.836603391397048</c:v>
                </c:pt>
                <c:pt idx="105">
                  <c:v>-87.908038688548203</c:v>
                </c:pt>
                <c:pt idx="106">
                  <c:v>-87.979689274187763</c:v>
                </c:pt>
                <c:pt idx="107">
                  <c:v>-88.053169792691435</c:v>
                </c:pt>
                <c:pt idx="108">
                  <c:v>-88.126824514229625</c:v>
                </c:pt>
                <c:pt idx="109">
                  <c:v>-88.20232742283622</c:v>
                </c:pt>
                <c:pt idx="110">
                  <c:v>-88.277963928890841</c:v>
                </c:pt>
                <c:pt idx="111">
                  <c:v>-88.355517410900049</c:v>
                </c:pt>
                <c:pt idx="112">
                  <c:v>-88.433164546186163</c:v>
                </c:pt>
                <c:pt idx="113">
                  <c:v>-88.512693264512592</c:v>
                </c:pt>
                <c:pt idx="114">
                  <c:v>-88.592276128625755</c:v>
                </c:pt>
                <c:pt idx="115">
                  <c:v>-88.673755601327187</c:v>
                </c:pt>
                <c:pt idx="116">
                  <c:v>-88.755250424622247</c:v>
                </c:pt>
                <c:pt idx="117">
                  <c:v>-88.838655893014092</c:v>
                </c:pt>
                <c:pt idx="118">
                  <c:v>-88.922038708005147</c:v>
                </c:pt>
                <c:pt idx="119">
                  <c:v>-89.007293581797782</c:v>
                </c:pt>
                <c:pt idx="120">
                  <c:v>-89.092488750882978</c:v>
                </c:pt>
                <c:pt idx="121">
                  <c:v>-89.179568409003991</c:v>
                </c:pt>
                <c:pt idx="122">
                  <c:v>-89.266552357611928</c:v>
                </c:pt>
                <c:pt idx="123">
                  <c:v>-89.355484015476435</c:v>
                </c:pt>
                <c:pt idx="124">
                  <c:v>-89.444284906194071</c:v>
                </c:pt>
                <c:pt idx="125">
                  <c:v>-89.534993015648467</c:v>
                </c:pt>
                <c:pt idx="126">
                  <c:v>-89.625536575819268</c:v>
                </c:pt>
                <c:pt idx="127">
                  <c:v>-89.717997924799718</c:v>
                </c:pt>
                <c:pt idx="128">
                  <c:v>-89.810262167722428</c:v>
                </c:pt>
                <c:pt idx="129">
                  <c:v>-89.904454313215723</c:v>
                </c:pt>
                <c:pt idx="130">
                  <c:v>-89.998418071171912</c:v>
                </c:pt>
                <c:pt idx="131">
                  <c:v>-90.094319467045722</c:v>
                </c:pt>
                <c:pt idx="132">
                  <c:v>-90.142173820830806</c:v>
                </c:pt>
                <c:pt idx="133">
                  <c:v>-90.189962514404243</c:v>
                </c:pt>
                <c:pt idx="134">
                  <c:v>-90.238818168014191</c:v>
                </c:pt>
                <c:pt idx="135">
                  <c:v>-90.287602945372157</c:v>
                </c:pt>
                <c:pt idx="136">
                  <c:v>-90.33631589602129</c:v>
                </c:pt>
                <c:pt idx="137">
                  <c:v>-90.3849561272079</c:v>
                </c:pt>
                <c:pt idx="138">
                  <c:v>-90.434624590466655</c:v>
                </c:pt>
                <c:pt idx="139">
                  <c:v>-90.484215281541765</c:v>
                </c:pt>
                <c:pt idx="140">
                  <c:v>-90.53372741886831</c:v>
                </c:pt>
                <c:pt idx="141">
                  <c:v>-90.583160274898688</c:v>
                </c:pt>
                <c:pt idx="142">
                  <c:v>-90.633682524334958</c:v>
                </c:pt>
                <c:pt idx="143">
                  <c:v>-90.684120309265097</c:v>
                </c:pt>
                <c:pt idx="144">
                  <c:v>-90.734473011559999</c:v>
                </c:pt>
                <c:pt idx="145">
                  <c:v>-90.784740063562154</c:v>
                </c:pt>
                <c:pt idx="146">
                  <c:v>-90.836082317035505</c:v>
                </c:pt>
                <c:pt idx="147">
                  <c:v>-90.887333857030058</c:v>
                </c:pt>
                <c:pt idx="148">
                  <c:v>-90.938494226514649</c:v>
                </c:pt>
                <c:pt idx="149">
                  <c:v>-90.989563015214259</c:v>
                </c:pt>
                <c:pt idx="150">
                  <c:v>-91.041717422765373</c:v>
                </c:pt>
                <c:pt idx="151">
                  <c:v>-91.093775238238408</c:v>
                </c:pt>
                <c:pt idx="152">
                  <c:v>-91.145736161619951</c:v>
                </c:pt>
                <c:pt idx="153">
                  <c:v>-91.197599935899035</c:v>
                </c:pt>
                <c:pt idx="154">
                  <c:v>-91.250583777303817</c:v>
                </c:pt>
                <c:pt idx="155">
                  <c:v>-91.303465426994578</c:v>
                </c:pt>
                <c:pt idx="156">
                  <c:v>-91.356244737266294</c:v>
                </c:pt>
                <c:pt idx="157">
                  <c:v>-91.40892159971466</c:v>
                </c:pt>
                <c:pt idx="158">
                  <c:v>-91.462728057142002</c:v>
                </c:pt>
                <c:pt idx="159">
                  <c:v>-91.516427092332094</c:v>
                </c:pt>
                <c:pt idx="160">
                  <c:v>-91.570018705408501</c:v>
                </c:pt>
                <c:pt idx="161">
                  <c:v>-91.623502932075297</c:v>
                </c:pt>
                <c:pt idx="162">
                  <c:v>-91.678102055270571</c:v>
                </c:pt>
                <c:pt idx="163">
                  <c:v>-91.732588994993762</c:v>
                </c:pt>
                <c:pt idx="164">
                  <c:v>-91.786963894064669</c:v>
                </c:pt>
                <c:pt idx="165">
                  <c:v>-91.841226927110881</c:v>
                </c:pt>
                <c:pt idx="166">
                  <c:v>-91.89666173124742</c:v>
                </c:pt>
                <c:pt idx="167">
                  <c:v>-91.951979763722193</c:v>
                </c:pt>
                <c:pt idx="168">
                  <c:v>-92.007181305103273</c:v>
                </c:pt>
                <c:pt idx="169">
                  <c:v>-92.062266664126568</c:v>
                </c:pt>
                <c:pt idx="170">
                  <c:v>-92.118414512377299</c:v>
                </c:pt>
                <c:pt idx="171">
                  <c:v>-92.174441872938928</c:v>
                </c:pt>
                <c:pt idx="172">
                  <c:v>-92.230349156176246</c:v>
                </c:pt>
                <c:pt idx="173">
                  <c:v>-92.28613679680555</c:v>
                </c:pt>
                <c:pt idx="174">
                  <c:v>-92.343207122847275</c:v>
                </c:pt>
                <c:pt idx="175">
                  <c:v>-92.400152695598891</c:v>
                </c:pt>
                <c:pt idx="176">
                  <c:v>-92.456974054067771</c:v>
                </c:pt>
                <c:pt idx="177">
                  <c:v>-92.513671758214258</c:v>
                </c:pt>
                <c:pt idx="178">
                  <c:v>-92.571636021646924</c:v>
                </c:pt>
                <c:pt idx="179">
                  <c:v>-92.629471726474961</c:v>
                </c:pt>
                <c:pt idx="180">
                  <c:v>-92.687179534873081</c:v>
                </c:pt>
                <c:pt idx="181">
                  <c:v>-92.744760126541649</c:v>
                </c:pt>
                <c:pt idx="182">
                  <c:v>-92.803361993225693</c:v>
                </c:pt>
                <c:pt idx="183">
                  <c:v>-92.861832982515025</c:v>
                </c:pt>
                <c:pt idx="184">
                  <c:v>-92.920173864239004</c:v>
                </c:pt>
                <c:pt idx="185">
                  <c:v>-92.978385422128738</c:v>
                </c:pt>
                <c:pt idx="186">
                  <c:v>-93.038061083971698</c:v>
                </c:pt>
                <c:pt idx="187">
                  <c:v>-93.097601942052833</c:v>
                </c:pt>
                <c:pt idx="188">
                  <c:v>-93.157008885011436</c:v>
                </c:pt>
                <c:pt idx="189">
                  <c:v>-93.216282812253468</c:v>
                </c:pt>
                <c:pt idx="190">
                  <c:v>-93.276552014978876</c:v>
                </c:pt>
                <c:pt idx="191">
                  <c:v>-93.336684992267905</c:v>
                </c:pt>
                <c:pt idx="192">
                  <c:v>-93.396682723966691</c:v>
                </c:pt>
                <c:pt idx="193">
                  <c:v>-93.456546197306082</c:v>
                </c:pt>
                <c:pt idx="194">
                  <c:v>-93.517840582851562</c:v>
                </c:pt>
                <c:pt idx="195">
                  <c:v>-93.578995704487284</c:v>
                </c:pt>
                <c:pt idx="196">
                  <c:v>-93.640012647445218</c:v>
                </c:pt>
                <c:pt idx="197">
                  <c:v>-93.700892501296337</c:v>
                </c:pt>
                <c:pt idx="198">
                  <c:v>-93.762965003220842</c:v>
                </c:pt>
                <c:pt idx="199">
                  <c:v>-93.824896657226745</c:v>
                </c:pt>
                <c:pt idx="200">
                  <c:v>-93.886688634772852</c:v>
                </c:pt>
                <c:pt idx="201">
                  <c:v>-93.948342108632033</c:v>
                </c:pt>
                <c:pt idx="202">
                  <c:v>-94.011174960949702</c:v>
                </c:pt>
                <c:pt idx="203">
                  <c:v>-94.073865784534831</c:v>
                </c:pt>
                <c:pt idx="204">
                  <c:v>-94.136415828776535</c:v>
                </c:pt>
                <c:pt idx="205">
                  <c:v>-94.198826341511591</c:v>
                </c:pt>
                <c:pt idx="206">
                  <c:v>-94.262620990587337</c:v>
                </c:pt>
                <c:pt idx="207">
                  <c:v>-94.326271838020958</c:v>
                </c:pt>
                <c:pt idx="208">
                  <c:v>-94.389780216411069</c:v>
                </c:pt>
                <c:pt idx="209">
                  <c:v>-94.453147454049486</c:v>
                </c:pt>
                <c:pt idx="210">
                  <c:v>-94.518099271934744</c:v>
                </c:pt>
                <c:pt idx="211">
                  <c:v>-94.582904962073485</c:v>
                </c:pt>
                <c:pt idx="212">
                  <c:v>-94.647565946838881</c:v>
                </c:pt>
                <c:pt idx="213">
                  <c:v>-94.712083641560071</c:v>
                </c:pt>
                <c:pt idx="214">
                  <c:v>-94.777741260136239</c:v>
                </c:pt>
                <c:pt idx="215">
                  <c:v>-94.84325276880918</c:v>
                </c:pt>
                <c:pt idx="216">
                  <c:v>-94.908619643695729</c:v>
                </c:pt>
                <c:pt idx="217">
                  <c:v>-94.973843351454477</c:v>
                </c:pt>
                <c:pt idx="218">
                  <c:v>-95.040407662216268</c:v>
                </c:pt>
                <c:pt idx="219">
                  <c:v>-95.106825274348338</c:v>
                </c:pt>
                <c:pt idx="220">
                  <c:v>-95.173097724109283</c:v>
                </c:pt>
                <c:pt idx="221">
                  <c:v>-95.239226535947807</c:v>
                </c:pt>
                <c:pt idx="222">
                  <c:v>-95.306682655016573</c:v>
                </c:pt>
                <c:pt idx="223">
                  <c:v>-95.373991843430659</c:v>
                </c:pt>
                <c:pt idx="224">
                  <c:v>-95.44115568983716</c:v>
                </c:pt>
                <c:pt idx="225">
                  <c:v>-95.508175768887469</c:v>
                </c:pt>
                <c:pt idx="226">
                  <c:v>-95.576718576423744</c:v>
                </c:pt>
                <c:pt idx="227">
                  <c:v>-95.645113664837027</c:v>
                </c:pt>
                <c:pt idx="228">
                  <c:v>-95.71336268244562</c:v>
                </c:pt>
                <c:pt idx="229">
                  <c:v>-95.781467261364455</c:v>
                </c:pt>
                <c:pt idx="230">
                  <c:v>-95.920544239418447</c:v>
                </c:pt>
                <c:pt idx="231">
                  <c:v>-95.989862227063441</c:v>
                </c:pt>
                <c:pt idx="232">
                  <c:v>-96.059035462803521</c:v>
                </c:pt>
                <c:pt idx="233">
                  <c:v>-96.129702583214566</c:v>
                </c:pt>
                <c:pt idx="234">
                  <c:v>-96.200221506663794</c:v>
                </c:pt>
                <c:pt idx="235">
                  <c:v>-96.270593978251384</c:v>
                </c:pt>
                <c:pt idx="236">
                  <c:v>-96.340821722901921</c:v>
                </c:pt>
                <c:pt idx="237">
                  <c:v>-96.412326985634522</c:v>
                </c:pt>
                <c:pt idx="238">
                  <c:v>-96.483685152522995</c:v>
                </c:pt>
                <c:pt idx="239">
                  <c:v>-96.554897990896066</c:v>
                </c:pt>
                <c:pt idx="240">
                  <c:v>-96.625967246411946</c:v>
                </c:pt>
                <c:pt idx="241">
                  <c:v>-96.698706282937096</c:v>
                </c:pt>
                <c:pt idx="242">
                  <c:v>-96.771297949971967</c:v>
                </c:pt>
                <c:pt idx="243">
                  <c:v>-96.843744060152574</c:v>
                </c:pt>
                <c:pt idx="244">
                  <c:v>-96.916046402627103</c:v>
                </c:pt>
                <c:pt idx="245">
                  <c:v>-96.989804269383441</c:v>
                </c:pt>
                <c:pt idx="246">
                  <c:v>-97.063415631531129</c:v>
                </c:pt>
                <c:pt idx="247">
                  <c:v>-97.136882324800624</c:v>
                </c:pt>
                <c:pt idx="248">
                  <c:v>-97.210206160040201</c:v>
                </c:pt>
                <c:pt idx="249">
                  <c:v>-97.285172121434243</c:v>
                </c:pt>
                <c:pt idx="250">
                  <c:v>-97.359991938906361</c:v>
                </c:pt>
                <c:pt idx="251">
                  <c:v>-97.434667479312807</c:v>
                </c:pt>
                <c:pt idx="252">
                  <c:v>-97.509200583132099</c:v>
                </c:pt>
                <c:pt idx="253">
                  <c:v>-97.585166002305826</c:v>
                </c:pt>
                <c:pt idx="254">
                  <c:v>-97.660986688180159</c:v>
                </c:pt>
                <c:pt idx="255">
                  <c:v>-97.736664517258831</c:v>
                </c:pt>
                <c:pt idx="256">
                  <c:v>-97.812201338620426</c:v>
                </c:pt>
                <c:pt idx="257">
                  <c:v>-97.889550447407728</c:v>
                </c:pt>
                <c:pt idx="258">
                  <c:v>-97.966755003250626</c:v>
                </c:pt>
                <c:pt idx="259">
                  <c:v>-98.043816914911517</c:v>
                </c:pt>
                <c:pt idx="260">
                  <c:v>-98.120738062276502</c:v>
                </c:pt>
                <c:pt idx="261">
                  <c:v>-98.199263747434316</c:v>
                </c:pt>
                <c:pt idx="262">
                  <c:v>-98.277646083726481</c:v>
                </c:pt>
                <c:pt idx="263">
                  <c:v>-98.355886990965558</c:v>
                </c:pt>
                <c:pt idx="264">
                  <c:v>-98.433988359090719</c:v>
                </c:pt>
                <c:pt idx="265">
                  <c:v>-98.513683025355462</c:v>
                </c:pt>
                <c:pt idx="266">
                  <c:v>-98.593235781845905</c:v>
                </c:pt>
                <c:pt idx="267">
                  <c:v>-98.672648553366571</c:v>
                </c:pt>
                <c:pt idx="268">
                  <c:v>-98.751923234016644</c:v>
                </c:pt>
                <c:pt idx="269">
                  <c:v>-98.832971574892355</c:v>
                </c:pt>
                <c:pt idx="270">
                  <c:v>-98.913878998030839</c:v>
                </c:pt>
                <c:pt idx="271">
                  <c:v>-98.994647441115887</c:v>
                </c:pt>
                <c:pt idx="272">
                  <c:v>-99.075278810158508</c:v>
                </c:pt>
                <c:pt idx="273">
                  <c:v>-99.157671857736005</c:v>
                </c:pt>
                <c:pt idx="274">
                  <c:v>-99.23992523091944</c:v>
                </c:pt>
                <c:pt idx="275">
                  <c:v>-99.322040874098334</c:v>
                </c:pt>
                <c:pt idx="276">
                  <c:v>-99.404020699182908</c:v>
                </c:pt>
                <c:pt idx="277">
                  <c:v>-99.487562446779648</c:v>
                </c:pt>
                <c:pt idx="278">
                  <c:v>-99.570966609230979</c:v>
                </c:pt>
                <c:pt idx="279">
                  <c:v>-99.654235118806369</c:v>
                </c:pt>
                <c:pt idx="280">
                  <c:v>-99.73736987494155</c:v>
                </c:pt>
                <c:pt idx="281">
                  <c:v>-99.822619312236881</c:v>
                </c:pt>
                <c:pt idx="282">
                  <c:v>-99.907731609603076</c:v>
                </c:pt>
                <c:pt idx="283">
                  <c:v>-99.992708720789381</c:v>
                </c:pt>
                <c:pt idx="284">
                  <c:v>-100.07755256562039</c:v>
                </c:pt>
                <c:pt idx="285">
                  <c:v>-100.16393934938864</c:v>
                </c:pt>
                <c:pt idx="286">
                  <c:v>-100.25019147011965</c:v>
                </c:pt>
                <c:pt idx="287">
                  <c:v>-100.33631085891119</c:v>
                </c:pt>
                <c:pt idx="288">
                  <c:v>-100.42229941288689</c:v>
                </c:pt>
                <c:pt idx="289">
                  <c:v>-100.51037780792251</c:v>
                </c:pt>
                <c:pt idx="290">
                  <c:v>-100.59832245108397</c:v>
                </c:pt>
                <c:pt idx="291">
                  <c:v>-100.68613528336691</c:v>
                </c:pt>
                <c:pt idx="292">
                  <c:v>-100.77381821100691</c:v>
                </c:pt>
                <c:pt idx="293">
                  <c:v>-100.86339493475081</c:v>
                </c:pt>
                <c:pt idx="294">
                  <c:v>-100.95283960886545</c:v>
                </c:pt>
                <c:pt idx="295">
                  <c:v>-101.0421541663387</c:v>
                </c:pt>
                <c:pt idx="296">
                  <c:v>-101.13134050505556</c:v>
                </c:pt>
                <c:pt idx="297">
                  <c:v>-101.22241066538705</c:v>
                </c:pt>
                <c:pt idx="298">
                  <c:v>-101.31335065405625</c:v>
                </c:pt>
                <c:pt idx="299">
                  <c:v>-101.40416239123657</c:v>
                </c:pt>
                <c:pt idx="300">
                  <c:v>-101.49484776179553</c:v>
                </c:pt>
                <c:pt idx="301">
                  <c:v>-101.5874075645138</c:v>
                </c:pt>
                <c:pt idx="302">
                  <c:v>-101.67983922841641</c:v>
                </c:pt>
                <c:pt idx="303">
                  <c:v>-101.77214465646459</c:v>
                </c:pt>
                <c:pt idx="304">
                  <c:v>-101.86432571624236</c:v>
                </c:pt>
                <c:pt idx="305">
                  <c:v>-101.95873385196843</c:v>
                </c:pt>
                <c:pt idx="306">
                  <c:v>-102.05301505314554</c:v>
                </c:pt>
                <c:pt idx="307">
                  <c:v>-102.14717122312432</c:v>
                </c:pt>
                <c:pt idx="308">
                  <c:v>-102.24120422938896</c:v>
                </c:pt>
                <c:pt idx="309">
                  <c:v>-102.3370935937518</c:v>
                </c:pt>
                <c:pt idx="310">
                  <c:v>-102.43285837299534</c:v>
                </c:pt>
                <c:pt idx="311">
                  <c:v>-102.52850044441945</c:v>
                </c:pt>
                <c:pt idx="312">
                  <c:v>-102.62402164964836</c:v>
                </c:pt>
                <c:pt idx="313">
                  <c:v>-102.72174920467738</c:v>
                </c:pt>
                <c:pt idx="314">
                  <c:v>-102.81935372656993</c:v>
                </c:pt>
                <c:pt idx="315">
                  <c:v>-102.91683708367634</c:v>
                </c:pt>
                <c:pt idx="316">
                  <c:v>-103.01420110844934</c:v>
                </c:pt>
                <c:pt idx="317">
                  <c:v>-103.113761572888</c:v>
                </c:pt>
                <c:pt idx="318">
                  <c:v>-103.21320073025964</c:v>
                </c:pt>
                <c:pt idx="319">
                  <c:v>-103.31252043531893</c:v>
                </c:pt>
                <c:pt idx="320">
                  <c:v>-103.41172250683354</c:v>
                </c:pt>
                <c:pt idx="321">
                  <c:v>-103.51311169482128</c:v>
                </c:pt>
                <c:pt idx="322">
                  <c:v>-103.61438145541383</c:v>
                </c:pt>
                <c:pt idx="323">
                  <c:v>-103.71553362552258</c:v>
                </c:pt>
                <c:pt idx="324">
                  <c:v>-103.8165700061072</c:v>
                </c:pt>
                <c:pt idx="325">
                  <c:v>-103.91978474139617</c:v>
                </c:pt>
                <c:pt idx="326">
                  <c:v>-104.02288206295016</c:v>
                </c:pt>
                <c:pt idx="327">
                  <c:v>-104.12586378599012</c:v>
                </c:pt>
                <c:pt idx="328">
                  <c:v>-104.22873168993678</c:v>
                </c:pt>
                <c:pt idx="329">
                  <c:v>-104.33394527415754</c:v>
                </c:pt>
                <c:pt idx="330">
                  <c:v>-104.43904319078437</c:v>
                </c:pt>
                <c:pt idx="331">
                  <c:v>-104.54402723880226</c:v>
                </c:pt>
                <c:pt idx="332">
                  <c:v>-104.64889918141843</c:v>
                </c:pt>
                <c:pt idx="333">
                  <c:v>-104.75593315917497</c:v>
                </c:pt>
                <c:pt idx="334">
                  <c:v>-104.86285372318689</c:v>
                </c:pt>
                <c:pt idx="335">
                  <c:v>-104.96966264367265</c:v>
                </c:pt>
                <c:pt idx="336">
                  <c:v>-105.07636165544095</c:v>
                </c:pt>
                <c:pt idx="337">
                  <c:v>-105.18556363402556</c:v>
                </c:pt>
                <c:pt idx="338">
                  <c:v>-105.29465382627703</c:v>
                </c:pt>
                <c:pt idx="339">
                  <c:v>-105.40363398754918</c:v>
                </c:pt>
                <c:pt idx="340">
                  <c:v>-105.51250583779759</c:v>
                </c:pt>
                <c:pt idx="341">
                  <c:v>-105.62387180907554</c:v>
                </c:pt>
                <c:pt idx="342">
                  <c:v>-105.73512776454079</c:v>
                </c:pt>
                <c:pt idx="343">
                  <c:v>-105.84627544071306</c:v>
                </c:pt>
                <c:pt idx="344">
                  <c:v>-105.95731653884158</c:v>
                </c:pt>
                <c:pt idx="345">
                  <c:v>-106.07067073843531</c:v>
                </c:pt>
                <c:pt idx="346">
                  <c:v>-106.18391714330811</c:v>
                </c:pt>
                <c:pt idx="347">
                  <c:v>-106.29705745982861</c:v>
                </c:pt>
                <c:pt idx="348">
                  <c:v>-106.41009335953986</c:v>
                </c:pt>
                <c:pt idx="349">
                  <c:v>-106.52577967598084</c:v>
                </c:pt>
                <c:pt idx="350">
                  <c:v>-106.6413598625614</c:v>
                </c:pt>
                <c:pt idx="351">
                  <c:v>-106.75683560797626</c:v>
                </c:pt>
                <c:pt idx="352">
                  <c:v>-106.87220856621178</c:v>
                </c:pt>
                <c:pt idx="353">
                  <c:v>-106.99022370392979</c:v>
                </c:pt>
                <c:pt idx="354">
                  <c:v>-107.10813450242637</c:v>
                </c:pt>
                <c:pt idx="355">
                  <c:v>-107.22594262912449</c:v>
                </c:pt>
                <c:pt idx="356">
                  <c:v>-107.34364971696256</c:v>
                </c:pt>
                <c:pt idx="357">
                  <c:v>-107.46382038966919</c:v>
                </c:pt>
                <c:pt idx="358">
                  <c:v>-107.58388891026426</c:v>
                </c:pt>
                <c:pt idx="359">
                  <c:v>-107.70385691475742</c:v>
                </c:pt>
                <c:pt idx="360">
                  <c:v>-107.82372600518592</c:v>
                </c:pt>
                <c:pt idx="361">
                  <c:v>-107.94639288744548</c:v>
                </c:pt>
                <c:pt idx="362">
                  <c:v>-108.0689593098747</c:v>
                </c:pt>
                <c:pt idx="363">
                  <c:v>-108.19142688823698</c:v>
                </c:pt>
                <c:pt idx="364">
                  <c:v>-108.31379720453555</c:v>
                </c:pt>
                <c:pt idx="365">
                  <c:v>-108.4387879458337</c:v>
                </c:pt>
                <c:pt idx="366">
                  <c:v>-108.56368029289389</c:v>
                </c:pt>
                <c:pt idx="367">
                  <c:v>-108.68847583160968</c:v>
                </c:pt>
                <c:pt idx="368">
                  <c:v>-108.81317611460113</c:v>
                </c:pt>
                <c:pt idx="369">
                  <c:v>-108.94082894318588</c:v>
                </c:pt>
                <c:pt idx="370">
                  <c:v>-109.06838499521815</c:v>
                </c:pt>
                <c:pt idx="371">
                  <c:v>-109.19584583684446</c:v>
                </c:pt>
                <c:pt idx="372">
                  <c:v>-109.32321300114873</c:v>
                </c:pt>
                <c:pt idx="373">
                  <c:v>-109.45335653313589</c:v>
                </c:pt>
                <c:pt idx="374">
                  <c:v>-109.58340525592317</c:v>
                </c:pt>
                <c:pt idx="375">
                  <c:v>-109.71336070680073</c:v>
                </c:pt>
                <c:pt idx="376">
                  <c:v>-109.84322439046724</c:v>
                </c:pt>
                <c:pt idx="377">
                  <c:v>-109.9761946994296</c:v>
                </c:pt>
                <c:pt idx="378">
                  <c:v>-110.10907175969432</c:v>
                </c:pt>
                <c:pt idx="379">
                  <c:v>-110.24185708887387</c:v>
                </c:pt>
                <c:pt idx="380">
                  <c:v>-110.37455217220638</c:v>
                </c:pt>
                <c:pt idx="381">
                  <c:v>-110.51001105116505</c:v>
                </c:pt>
                <c:pt idx="382">
                  <c:v>-110.64537879177351</c:v>
                </c:pt>
                <c:pt idx="383">
                  <c:v>-110.78065687790158</c:v>
                </c:pt>
                <c:pt idx="384">
                  <c:v>-110.9158467616639</c:v>
                </c:pt>
                <c:pt idx="385">
                  <c:v>-111.05429705432834</c:v>
                </c:pt>
                <c:pt idx="386">
                  <c:v>-111.19265770759456</c:v>
                </c:pt>
                <c:pt idx="387">
                  <c:v>-111.33093018573099</c:v>
                </c:pt>
                <c:pt idx="388">
                  <c:v>-111.46911592146994</c:v>
                </c:pt>
                <c:pt idx="389">
                  <c:v>-111.61038812721078</c:v>
                </c:pt>
                <c:pt idx="390">
                  <c:v>-111.75157249455805</c:v>
                </c:pt>
                <c:pt idx="391">
                  <c:v>-111.89267046007669</c:v>
                </c:pt>
                <c:pt idx="392">
                  <c:v>-112.03368342924652</c:v>
                </c:pt>
                <c:pt idx="393">
                  <c:v>-112.17777690756259</c:v>
                </c:pt>
                <c:pt idx="394">
                  <c:v>-112.32178440448234</c:v>
                </c:pt>
                <c:pt idx="395">
                  <c:v>-112.46570732669328</c:v>
                </c:pt>
                <c:pt idx="396">
                  <c:v>-112.60954705031175</c:v>
                </c:pt>
                <c:pt idx="397">
                  <c:v>-112.75679399057398</c:v>
                </c:pt>
                <c:pt idx="398">
                  <c:v>-112.9039564711448</c:v>
                </c:pt>
                <c:pt idx="399">
                  <c:v>-113.05103587619598</c:v>
                </c:pt>
                <c:pt idx="400">
                  <c:v>-113.1980335596279</c:v>
                </c:pt>
                <c:pt idx="401">
                  <c:v>-113.34826634539047</c:v>
                </c:pt>
                <c:pt idx="402">
                  <c:v>-113.49841644830565</c:v>
                </c:pt>
                <c:pt idx="403">
                  <c:v>-113.64848522290765</c:v>
                </c:pt>
                <c:pt idx="404">
                  <c:v>-113.79847399396232</c:v>
                </c:pt>
                <c:pt idx="405">
                  <c:v>-113.9518578706822</c:v>
                </c:pt>
                <c:pt idx="406">
                  <c:v>-114.10516070591765</c:v>
                </c:pt>
                <c:pt idx="407">
                  <c:v>-114.25838382693213</c:v>
                </c:pt>
                <c:pt idx="408">
                  <c:v>-114.41152853165056</c:v>
                </c:pt>
                <c:pt idx="409">
                  <c:v>-114.56822783375935</c:v>
                </c:pt>
                <c:pt idx="410">
                  <c:v>-114.72484761526937</c:v>
                </c:pt>
                <c:pt idx="411">
                  <c:v>-114.88138917811102</c:v>
                </c:pt>
                <c:pt idx="412">
                  <c:v>-115.03785379524123</c:v>
                </c:pt>
                <c:pt idx="413">
                  <c:v>-115.19786727771401</c:v>
                </c:pt>
                <c:pt idx="414">
                  <c:v>-115.35780281214107</c:v>
                </c:pt>
                <c:pt idx="415">
                  <c:v>-115.51766167276561</c:v>
                </c:pt>
                <c:pt idx="416">
                  <c:v>-115.67744510528259</c:v>
                </c:pt>
                <c:pt idx="417">
                  <c:v>-115.84093645733792</c:v>
                </c:pt>
                <c:pt idx="418">
                  <c:v>-116.00435131893008</c:v>
                </c:pt>
                <c:pt idx="419">
                  <c:v>-116.16769093823612</c:v>
                </c:pt>
                <c:pt idx="420">
                  <c:v>-116.33095653524921</c:v>
                </c:pt>
                <c:pt idx="421">
                  <c:v>-116.49776040000798</c:v>
                </c:pt>
                <c:pt idx="422">
                  <c:v>-116.6644894200343</c:v>
                </c:pt>
                <c:pt idx="423">
                  <c:v>-116.83114481156862</c:v>
                </c:pt>
                <c:pt idx="424">
                  <c:v>-116.99772776319469</c:v>
                </c:pt>
                <c:pt idx="425">
                  <c:v>-117.16833578380752</c:v>
                </c:pt>
                <c:pt idx="426">
                  <c:v>-117.33887019607698</c:v>
                </c:pt>
                <c:pt idx="427">
                  <c:v>-117.50933219283051</c:v>
                </c:pt>
                <c:pt idx="428">
                  <c:v>-117.67972293949005</c:v>
                </c:pt>
                <c:pt idx="429">
                  <c:v>-117.85396945738029</c:v>
                </c:pt>
                <c:pt idx="430">
                  <c:v>-118.02814378491341</c:v>
                </c:pt>
                <c:pt idx="431">
                  <c:v>-118.20224708554149</c:v>
                </c:pt>
                <c:pt idx="432">
                  <c:v>-118.37628049572126</c:v>
                </c:pt>
                <c:pt idx="433">
                  <c:v>-118.55416467132501</c:v>
                </c:pt>
                <c:pt idx="434">
                  <c:v>-118.73197809090307</c:v>
                </c:pt>
                <c:pt idx="435">
                  <c:v>-118.90972188644061</c:v>
                </c:pt>
                <c:pt idx="436">
                  <c:v>-119.08739716337796</c:v>
                </c:pt>
                <c:pt idx="437">
                  <c:v>-119.26924459328411</c:v>
                </c:pt>
                <c:pt idx="438">
                  <c:v>-119.45102245682459</c:v>
                </c:pt>
                <c:pt idx="439">
                  <c:v>-119.63273185847275</c:v>
                </c:pt>
                <c:pt idx="440">
                  <c:v>-119.8143738764547</c:v>
                </c:pt>
                <c:pt idx="441">
                  <c:v>-120.00018283224169</c:v>
                </c:pt>
                <c:pt idx="442">
                  <c:v>-120.18592342842203</c:v>
                </c:pt>
                <c:pt idx="443">
                  <c:v>-120.37159673943125</c:v>
                </c:pt>
                <c:pt idx="444">
                  <c:v>-120.55720381379794</c:v>
                </c:pt>
                <c:pt idx="445">
                  <c:v>-120.74697287051924</c:v>
                </c:pt>
                <c:pt idx="446">
                  <c:v>-120.93667477613856</c:v>
                </c:pt>
                <c:pt idx="447">
                  <c:v>-121.12631057269461</c:v>
                </c:pt>
                <c:pt idx="448">
                  <c:v>-121.31588127669445</c:v>
                </c:pt>
                <c:pt idx="449">
                  <c:v>-121.50993395976442</c:v>
                </c:pt>
                <c:pt idx="450">
                  <c:v>-121.70392046734104</c:v>
                </c:pt>
                <c:pt idx="451">
                  <c:v>-121.89784181186225</c:v>
                </c:pt>
                <c:pt idx="452">
                  <c:v>-122.09169898047001</c:v>
                </c:pt>
                <c:pt idx="453">
                  <c:v>-122.28987082094143</c:v>
                </c:pt>
                <c:pt idx="454">
                  <c:v>-122.48797756236208</c:v>
                </c:pt>
                <c:pt idx="455">
                  <c:v>-122.68602018237773</c:v>
                </c:pt>
                <c:pt idx="456">
                  <c:v>-122.8839996336898</c:v>
                </c:pt>
                <c:pt idx="457">
                  <c:v>-123.08661298571224</c:v>
                </c:pt>
                <c:pt idx="458">
                  <c:v>-123.28916207848516</c:v>
                </c:pt>
                <c:pt idx="459">
                  <c:v>-123.49164785697887</c:v>
                </c:pt>
                <c:pt idx="460">
                  <c:v>-123.69407124143433</c:v>
                </c:pt>
                <c:pt idx="461">
                  <c:v>-123.9011234486119</c:v>
                </c:pt>
                <c:pt idx="462">
                  <c:v>-124.1081122079583</c:v>
                </c:pt>
                <c:pt idx="463">
                  <c:v>-124.31503842879812</c:v>
                </c:pt>
                <c:pt idx="464">
                  <c:v>-124.52190299596751</c:v>
                </c:pt>
                <c:pt idx="465">
                  <c:v>-124.73355301159471</c:v>
                </c:pt>
                <c:pt idx="466">
                  <c:v>-124.9451402490221</c:v>
                </c:pt>
                <c:pt idx="467">
                  <c:v>-125.15666558099575</c:v>
                </c:pt>
                <c:pt idx="468">
                  <c:v>-125.36812985595895</c:v>
                </c:pt>
                <c:pt idx="469">
                  <c:v>-125.58437451349994</c:v>
                </c:pt>
                <c:pt idx="470">
                  <c:v>-125.80055700602284</c:v>
                </c:pt>
                <c:pt idx="471">
                  <c:v>-126.01667816649363</c:v>
                </c:pt>
                <c:pt idx="472">
                  <c:v>-126.23273880377698</c:v>
                </c:pt>
                <c:pt idx="473">
                  <c:v>-126.45389720966365</c:v>
                </c:pt>
                <c:pt idx="474">
                  <c:v>-126.67499380842449</c:v>
                </c:pt>
                <c:pt idx="475">
                  <c:v>-126.89602939347159</c:v>
                </c:pt>
                <c:pt idx="476">
                  <c:v>-127.11700473418669</c:v>
                </c:pt>
                <c:pt idx="477">
                  <c:v>-127.34307242840167</c:v>
                </c:pt>
                <c:pt idx="478">
                  <c:v>-127.56907859082156</c:v>
                </c:pt>
                <c:pt idx="479">
                  <c:v>-127.79502397143332</c:v>
                </c:pt>
                <c:pt idx="480">
                  <c:v>-128.02090929627602</c:v>
                </c:pt>
                <c:pt idx="481">
                  <c:v>-128.25188161227297</c:v>
                </c:pt>
                <c:pt idx="482">
                  <c:v>-128.48279256574233</c:v>
                </c:pt>
                <c:pt idx="483">
                  <c:v>-128.71364285933123</c:v>
                </c:pt>
                <c:pt idx="484">
                  <c:v>-128.94443317182342</c:v>
                </c:pt>
                <c:pt idx="485">
                  <c:v>-129.18046578017351</c:v>
                </c:pt>
                <c:pt idx="486">
                  <c:v>-129.41643698182213</c:v>
                </c:pt>
                <c:pt idx="487">
                  <c:v>-129.65234742939234</c:v>
                </c:pt>
                <c:pt idx="488">
                  <c:v>-129.88819775165825</c:v>
                </c:pt>
                <c:pt idx="489">
                  <c:v>-130.12960572138465</c:v>
                </c:pt>
                <c:pt idx="490">
                  <c:v>-130.37095192617639</c:v>
                </c:pt>
                <c:pt idx="491">
                  <c:v>-130.61223696653425</c:v>
                </c:pt>
                <c:pt idx="492">
                  <c:v>-130.85346141898953</c:v>
                </c:pt>
                <c:pt idx="493">
                  <c:v>-131.10023732999082</c:v>
                </c:pt>
                <c:pt idx="494">
                  <c:v>-131.34695094711356</c:v>
                </c:pt>
                <c:pt idx="495">
                  <c:v>-131.59360281345994</c:v>
                </c:pt>
                <c:pt idx="496">
                  <c:v>-131.84019344803201</c:v>
                </c:pt>
                <c:pt idx="497">
                  <c:v>-132.09248940435504</c:v>
                </c:pt>
                <c:pt idx="498">
                  <c:v>-132.34472225545306</c:v>
                </c:pt>
                <c:pt idx="499">
                  <c:v>-132.59689248244607</c:v>
                </c:pt>
                <c:pt idx="500">
                  <c:v>-132.84900054214356</c:v>
                </c:pt>
                <c:pt idx="501">
                  <c:v>-133.10696721701549</c:v>
                </c:pt>
                <c:pt idx="502">
                  <c:v>-133.36486966179834</c:v>
                </c:pt>
                <c:pt idx="503">
                  <c:v>-133.62270829030533</c:v>
                </c:pt>
                <c:pt idx="504">
                  <c:v>-133.88048349174599</c:v>
                </c:pt>
                <c:pt idx="505">
                  <c:v>-134.144110122623</c:v>
                </c:pt>
                <c:pt idx="506">
                  <c:v>-134.40767112848707</c:v>
                </c:pt>
                <c:pt idx="507">
                  <c:v>-134.67116684912085</c:v>
                </c:pt>
                <c:pt idx="508">
                  <c:v>-134.93459759938048</c:v>
                </c:pt>
                <c:pt idx="509">
                  <c:v>-135.20403198803592</c:v>
                </c:pt>
                <c:pt idx="510">
                  <c:v>-135.47339896619991</c:v>
                </c:pt>
                <c:pt idx="511">
                  <c:v>-135.74269879299516</c:v>
                </c:pt>
                <c:pt idx="512">
                  <c:v>-136.01193170219918</c:v>
                </c:pt>
                <c:pt idx="513">
                  <c:v>-136.28747922151186</c:v>
                </c:pt>
                <c:pt idx="514">
                  <c:v>-136.56295702864585</c:v>
                </c:pt>
                <c:pt idx="515">
                  <c:v>-136.83836529477554</c:v>
                </c:pt>
                <c:pt idx="516">
                  <c:v>-137.11370416515027</c:v>
                </c:pt>
                <c:pt idx="517">
                  <c:v>-137.39534861046644</c:v>
                </c:pt>
                <c:pt idx="518">
                  <c:v>-137.67692063458952</c:v>
                </c:pt>
                <c:pt idx="519">
                  <c:v>-137.95842031166296</c:v>
                </c:pt>
                <c:pt idx="520">
                  <c:v>-138.23984768927943</c:v>
                </c:pt>
                <c:pt idx="521">
                  <c:v>-138.52773026091793</c:v>
                </c:pt>
                <c:pt idx="522">
                  <c:v>-138.81553715655062</c:v>
                </c:pt>
                <c:pt idx="523">
                  <c:v>-139.10326834360788</c:v>
                </c:pt>
                <c:pt idx="524">
                  <c:v>-139.39092376223203</c:v>
                </c:pt>
                <c:pt idx="525">
                  <c:v>-139.68518292202216</c:v>
                </c:pt>
                <c:pt idx="526">
                  <c:v>-139.97936253978233</c:v>
                </c:pt>
                <c:pt idx="527">
                  <c:v>-140.27346246536069</c:v>
                </c:pt>
                <c:pt idx="528">
                  <c:v>-140.56748252046279</c:v>
                </c:pt>
                <c:pt idx="529">
                  <c:v>-140.86825366341671</c:v>
                </c:pt>
                <c:pt idx="530">
                  <c:v>-141.16894071367184</c:v>
                </c:pt>
                <c:pt idx="531">
                  <c:v>-141.46954339134555</c:v>
                </c:pt>
                <c:pt idx="532">
                  <c:v>-141.77006138743775</c:v>
                </c:pt>
                <c:pt idx="533">
                  <c:v>-142.07763515660974</c:v>
                </c:pt>
                <c:pt idx="534">
                  <c:v>-142.38511942307721</c:v>
                </c:pt>
                <c:pt idx="535">
                  <c:v>-142.69251376302677</c:v>
                </c:pt>
                <c:pt idx="536">
                  <c:v>-142.9998177223668</c:v>
                </c:pt>
                <c:pt idx="537">
                  <c:v>-143.31400466856206</c:v>
                </c:pt>
                <c:pt idx="538">
                  <c:v>-143.6280960276851</c:v>
                </c:pt>
                <c:pt idx="539">
                  <c:v>-143.94209121830016</c:v>
                </c:pt>
                <c:pt idx="540">
                  <c:v>-144.25598962753304</c:v>
                </c:pt>
                <c:pt idx="541">
                  <c:v>-144.57723071824188</c:v>
                </c:pt>
                <c:pt idx="542">
                  <c:v>-144.89836898406068</c:v>
                </c:pt>
                <c:pt idx="543">
                  <c:v>-145.21940366763104</c:v>
                </c:pt>
                <c:pt idx="544">
                  <c:v>-145.54033397874497</c:v>
                </c:pt>
                <c:pt idx="545">
                  <c:v>-145.86858947294078</c:v>
                </c:pt>
                <c:pt idx="546">
                  <c:v>-146.19673392602763</c:v>
                </c:pt>
                <c:pt idx="547">
                  <c:v>-146.52476638737087</c:v>
                </c:pt>
                <c:pt idx="548">
                  <c:v>-146.85268587201969</c:v>
                </c:pt>
                <c:pt idx="549">
                  <c:v>-147.18806932210495</c:v>
                </c:pt>
                <c:pt idx="550">
                  <c:v>-147.5233323165742</c:v>
                </c:pt>
                <c:pt idx="551">
                  <c:v>-147.85847369161323</c:v>
                </c:pt>
                <c:pt idx="552">
                  <c:v>-148.19349224751483</c:v>
                </c:pt>
                <c:pt idx="553">
                  <c:v>-148.53626882485707</c:v>
                </c:pt>
                <c:pt idx="554">
                  <c:v>-148.87891407582822</c:v>
                </c:pt>
                <c:pt idx="555">
                  <c:v>-149.22142659981009</c:v>
                </c:pt>
                <c:pt idx="556">
                  <c:v>-149.56380495854972</c:v>
                </c:pt>
                <c:pt idx="557">
                  <c:v>-150.2642007984843</c:v>
                </c:pt>
                <c:pt idx="558">
                  <c:v>-150.96401514800053</c:v>
                </c:pt>
                <c:pt idx="559">
                  <c:v>-151.67925419732217</c:v>
                </c:pt>
                <c:pt idx="560">
                  <c:v>-152.39385499008444</c:v>
                </c:pt>
                <c:pt idx="561">
                  <c:v>-153.12473236096878</c:v>
                </c:pt>
                <c:pt idx="562">
                  <c:v>-153.85490606631035</c:v>
                </c:pt>
                <c:pt idx="563">
                  <c:v>-154.60000289125179</c:v>
                </c:pt>
                <c:pt idx="564">
                  <c:v>-155.34432552212752</c:v>
                </c:pt>
                <c:pt idx="565">
                  <c:v>-156.10658658186304</c:v>
                </c:pt>
                <c:pt idx="566">
                  <c:v>-156.86798784086605</c:v>
                </c:pt>
                <c:pt idx="567">
                  <c:v>-157.64719473415838</c:v>
                </c:pt>
                <c:pt idx="568">
                  <c:v>-158.42544625678715</c:v>
                </c:pt>
                <c:pt idx="569">
                  <c:v>-159.21824967641746</c:v>
                </c:pt>
                <c:pt idx="570">
                  <c:v>-160.00999973632679</c:v>
                </c:pt>
                <c:pt idx="571">
                  <c:v>-160.82235420087824</c:v>
                </c:pt>
                <c:pt idx="572">
                  <c:v>-161.63352909712074</c:v>
                </c:pt>
                <c:pt idx="573">
                  <c:v>-162.45893413896135</c:v>
                </c:pt>
                <c:pt idx="574">
                  <c:v>-163.28303891004828</c:v>
                </c:pt>
                <c:pt idx="575">
                  <c:v>-164.12735644101318</c:v>
                </c:pt>
                <c:pt idx="576">
                  <c:v>-164.97022009410705</c:v>
                </c:pt>
                <c:pt idx="577">
                  <c:v>-168.52141303178959</c:v>
                </c:pt>
                <c:pt idx="578">
                  <c:v>-172.04225457559752</c:v>
                </c:pt>
                <c:pt idx="579">
                  <c:v>-179.63349786836682</c:v>
                </c:pt>
                <c:pt idx="580">
                  <c:v>-187.7294112336472</c:v>
                </c:pt>
                <c:pt idx="581">
                  <c:v>-196.25963452950936</c:v>
                </c:pt>
                <c:pt idx="582">
                  <c:v>-205.13377768207724</c:v>
                </c:pt>
                <c:pt idx="583">
                  <c:v>-214.21384470456323</c:v>
                </c:pt>
                <c:pt idx="584">
                  <c:v>-223.3483311854441</c:v>
                </c:pt>
                <c:pt idx="585">
                  <c:v>-232.36267879692161</c:v>
                </c:pt>
                <c:pt idx="586">
                  <c:v>-241.09690876530775</c:v>
                </c:pt>
                <c:pt idx="587">
                  <c:v>-249.418530770015</c:v>
                </c:pt>
                <c:pt idx="588">
                  <c:v>-257.2168957614382</c:v>
                </c:pt>
                <c:pt idx="589">
                  <c:v>-264.43178813934225</c:v>
                </c:pt>
                <c:pt idx="590">
                  <c:v>-271.02568594828017</c:v>
                </c:pt>
                <c:pt idx="591">
                  <c:v>-276.98959822566167</c:v>
                </c:pt>
                <c:pt idx="592">
                  <c:v>-282.33064982493744</c:v>
                </c:pt>
                <c:pt idx="593">
                  <c:v>-287.06920316796828</c:v>
                </c:pt>
                <c:pt idx="594">
                  <c:v>-291.22888279164624</c:v>
                </c:pt>
                <c:pt idx="595">
                  <c:v>-294.83826323745433</c:v>
                </c:pt>
                <c:pt idx="596">
                  <c:v>-297.92505918197418</c:v>
                </c:pt>
                <c:pt idx="597">
                  <c:v>-300.5179297714742</c:v>
                </c:pt>
                <c:pt idx="598">
                  <c:v>-302.64329251542296</c:v>
                </c:pt>
                <c:pt idx="599">
                  <c:v>-304.32770061589866</c:v>
                </c:pt>
                <c:pt idx="600">
                  <c:v>-305.59599041567435</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LM(2)5137-Q1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90.800136999643229</c:v>
                </c:pt>
                <c:pt idx="1">
                  <c:v>90.173772836024085</c:v>
                </c:pt>
                <c:pt idx="2">
                  <c:v>89.523729624157284</c:v>
                </c:pt>
                <c:pt idx="3">
                  <c:v>88.852563444852166</c:v>
                </c:pt>
                <c:pt idx="4">
                  <c:v>88.163191011460512</c:v>
                </c:pt>
                <c:pt idx="5">
                  <c:v>87.456768191929655</c:v>
                </c:pt>
                <c:pt idx="6">
                  <c:v>86.736414744034519</c:v>
                </c:pt>
                <c:pt idx="7">
                  <c:v>86.003592147690398</c:v>
                </c:pt>
                <c:pt idx="8">
                  <c:v>85.260565302920753</c:v>
                </c:pt>
                <c:pt idx="9">
                  <c:v>84.508300704826723</c:v>
                </c:pt>
                <c:pt idx="10">
                  <c:v>83.748565694341011</c:v>
                </c:pt>
                <c:pt idx="11">
                  <c:v>82.982414946064722</c:v>
                </c:pt>
                <c:pt idx="12">
                  <c:v>82.210439247094655</c:v>
                </c:pt>
                <c:pt idx="13">
                  <c:v>81.434236711888204</c:v>
                </c:pt>
                <c:pt idx="14">
                  <c:v>80.653919276649333</c:v>
                </c:pt>
                <c:pt idx="15">
                  <c:v>79.870405737996848</c:v>
                </c:pt>
                <c:pt idx="16">
                  <c:v>79.084157890520217</c:v>
                </c:pt>
                <c:pt idx="17">
                  <c:v>78.295730473855201</c:v>
                </c:pt>
                <c:pt idx="18">
                  <c:v>77.50526668838279</c:v>
                </c:pt>
                <c:pt idx="19">
                  <c:v>76.713291107238234</c:v>
                </c:pt>
                <c:pt idx="20">
                  <c:v>75.919907365057568</c:v>
                </c:pt>
                <c:pt idx="21">
                  <c:v>75.125495825286947</c:v>
                </c:pt>
                <c:pt idx="22">
                  <c:v>74.330069192734328</c:v>
                </c:pt>
                <c:pt idx="23">
                  <c:v>73.533976387128192</c:v>
                </c:pt>
                <c:pt idx="24">
                  <c:v>72.737141550652368</c:v>
                </c:pt>
                <c:pt idx="25">
                  <c:v>71.939793483071895</c:v>
                </c:pt>
                <c:pt idx="26">
                  <c:v>71.14183418213058</c:v>
                </c:pt>
                <c:pt idx="27">
                  <c:v>70.343590804681341</c:v>
                </c:pt>
                <c:pt idx="28">
                  <c:v>69.545093359824861</c:v>
                </c:pt>
                <c:pt idx="29">
                  <c:v>68.746888985428356</c:v>
                </c:pt>
                <c:pt idx="30">
                  <c:v>67.947670336221464</c:v>
                </c:pt>
                <c:pt idx="31">
                  <c:v>67.148589654991284</c:v>
                </c:pt>
                <c:pt idx="32">
                  <c:v>66.349134950381895</c:v>
                </c:pt>
                <c:pt idx="33">
                  <c:v>65.549901282183171</c:v>
                </c:pt>
                <c:pt idx="34">
                  <c:v>64.750293905545078</c:v>
                </c:pt>
                <c:pt idx="35">
                  <c:v>63.950781291328752</c:v>
                </c:pt>
                <c:pt idx="36">
                  <c:v>63.151256951395105</c:v>
                </c:pt>
                <c:pt idx="37">
                  <c:v>62.351303990943322</c:v>
                </c:pt>
                <c:pt idx="38">
                  <c:v>61.551696016526627</c:v>
                </c:pt>
                <c:pt idx="39">
                  <c:v>60.751798945049742</c:v>
                </c:pt>
                <c:pt idx="40">
                  <c:v>59.95192376063342</c:v>
                </c:pt>
                <c:pt idx="41">
                  <c:v>59.152008483918365</c:v>
                </c:pt>
                <c:pt idx="42">
                  <c:v>58.352168513910655</c:v>
                </c:pt>
                <c:pt idx="43">
                  <c:v>57.552172318384279</c:v>
                </c:pt>
                <c:pt idx="44">
                  <c:v>56.752234614392911</c:v>
                </c:pt>
                <c:pt idx="45">
                  <c:v>55.952194633992171</c:v>
                </c:pt>
                <c:pt idx="46">
                  <c:v>55.152213290232964</c:v>
                </c:pt>
                <c:pt idx="47">
                  <c:v>54.352116500594576</c:v>
                </c:pt>
                <c:pt idx="48">
                  <c:v>53.552098163149573</c:v>
                </c:pt>
                <c:pt idx="49">
                  <c:v>52.751949725874248</c:v>
                </c:pt>
                <c:pt idx="50">
                  <c:v>51.951789169275372</c:v>
                </c:pt>
                <c:pt idx="51">
                  <c:v>51.151423169056415</c:v>
                </c:pt>
                <c:pt idx="52">
                  <c:v>50.3510984760862</c:v>
                </c:pt>
                <c:pt idx="53">
                  <c:v>49.550774604438899</c:v>
                </c:pt>
                <c:pt idx="54">
                  <c:v>48.750937860822518</c:v>
                </c:pt>
                <c:pt idx="55">
                  <c:v>47.950222997928186</c:v>
                </c:pt>
                <c:pt idx="56">
                  <c:v>47.14973393779286</c:v>
                </c:pt>
                <c:pt idx="57">
                  <c:v>46.348910175633542</c:v>
                </c:pt>
                <c:pt idx="58">
                  <c:v>45.548301683939208</c:v>
                </c:pt>
                <c:pt idx="59">
                  <c:v>44.747266546549341</c:v>
                </c:pt>
                <c:pt idx="60">
                  <c:v>43.946226411763817</c:v>
                </c:pt>
                <c:pt idx="61">
                  <c:v>43.14502398580845</c:v>
                </c:pt>
                <c:pt idx="62">
                  <c:v>42.343186173481925</c:v>
                </c:pt>
                <c:pt idx="63">
                  <c:v>41.541427029812887</c:v>
                </c:pt>
                <c:pt idx="64">
                  <c:v>40.739041529862774</c:v>
                </c:pt>
                <c:pt idx="65">
                  <c:v>39.936262445504255</c:v>
                </c:pt>
                <c:pt idx="66">
                  <c:v>39.132936827547724</c:v>
                </c:pt>
                <c:pt idx="67">
                  <c:v>38.329076117225767</c:v>
                </c:pt>
                <c:pt idx="68">
                  <c:v>37.524327127578282</c:v>
                </c:pt>
                <c:pt idx="69">
                  <c:v>36.718767354936709</c:v>
                </c:pt>
                <c:pt idx="70">
                  <c:v>35.912076557492917</c:v>
                </c:pt>
                <c:pt idx="71">
                  <c:v>35.104237235063323</c:v>
                </c:pt>
                <c:pt idx="72">
                  <c:v>34.294871500153128</c:v>
                </c:pt>
                <c:pt idx="73">
                  <c:v>33.483951428527789</c:v>
                </c:pt>
                <c:pt idx="74">
                  <c:v>32.671021236258703</c:v>
                </c:pt>
                <c:pt idx="75">
                  <c:v>31.855939859601008</c:v>
                </c:pt>
                <c:pt idx="76">
                  <c:v>31.038239709105106</c:v>
                </c:pt>
                <c:pt idx="77">
                  <c:v>30.217903657307584</c:v>
                </c:pt>
                <c:pt idx="78">
                  <c:v>29.394637994487457</c:v>
                </c:pt>
                <c:pt idx="79">
                  <c:v>28.568728658098898</c:v>
                </c:pt>
                <c:pt idx="80">
                  <c:v>27.738604656844306</c:v>
                </c:pt>
                <c:pt idx="81">
                  <c:v>26.905331875817183</c:v>
                </c:pt>
                <c:pt idx="82">
                  <c:v>26.068362723834412</c:v>
                </c:pt>
                <c:pt idx="83">
                  <c:v>25.228442875457894</c:v>
                </c:pt>
                <c:pt idx="84">
                  <c:v>24.385221686888563</c:v>
                </c:pt>
                <c:pt idx="85">
                  <c:v>23.53962312302771</c:v>
                </c:pt>
                <c:pt idx="86">
                  <c:v>22.692112743697454</c:v>
                </c:pt>
                <c:pt idx="87">
                  <c:v>21.842946040177154</c:v>
                </c:pt>
                <c:pt idx="88">
                  <c:v>20.993722807806549</c:v>
                </c:pt>
                <c:pt idx="89">
                  <c:v>20.144577881737842</c:v>
                </c:pt>
                <c:pt idx="90">
                  <c:v>19.296623985601624</c:v>
                </c:pt>
                <c:pt idx="91">
                  <c:v>18.450500641614354</c:v>
                </c:pt>
                <c:pt idx="92">
                  <c:v>17.60691625650108</c:v>
                </c:pt>
                <c:pt idx="93">
                  <c:v>16.766068279404497</c:v>
                </c:pt>
                <c:pt idx="94">
                  <c:v>16.55642809704095</c:v>
                </c:pt>
                <c:pt idx="95">
                  <c:v>16.451034891049922</c:v>
                </c:pt>
                <c:pt idx="96">
                  <c:v>16.346898512043765</c:v>
                </c:pt>
                <c:pt idx="97">
                  <c:v>16.241618986789106</c:v>
                </c:pt>
                <c:pt idx="98">
                  <c:v>16.13759535844434</c:v>
                </c:pt>
                <c:pt idx="99">
                  <c:v>16.032404023091317</c:v>
                </c:pt>
                <c:pt idx="100">
                  <c:v>15.928468129293506</c:v>
                </c:pt>
                <c:pt idx="101">
                  <c:v>15.823420834003553</c:v>
                </c:pt>
                <c:pt idx="102">
                  <c:v>15.719627070678897</c:v>
                </c:pt>
                <c:pt idx="103">
                  <c:v>15.614623288885532</c:v>
                </c:pt>
                <c:pt idx="104">
                  <c:v>15.510873387676797</c:v>
                </c:pt>
                <c:pt idx="105">
                  <c:v>15.405971537278514</c:v>
                </c:pt>
                <c:pt idx="106">
                  <c:v>15.302322404664732</c:v>
                </c:pt>
                <c:pt idx="107">
                  <c:v>15.197576547661168</c:v>
                </c:pt>
                <c:pt idx="108">
                  <c:v>15.094080839163556</c:v>
                </c:pt>
                <c:pt idx="109">
                  <c:v>14.989470105465621</c:v>
                </c:pt>
                <c:pt idx="110">
                  <c:v>14.886107326360619</c:v>
                </c:pt>
                <c:pt idx="111">
                  <c:v>14.78154451028492</c:v>
                </c:pt>
                <c:pt idx="112">
                  <c:v>14.678229406735095</c:v>
                </c:pt>
                <c:pt idx="113">
                  <c:v>14.573771351408828</c:v>
                </c:pt>
                <c:pt idx="114">
                  <c:v>14.470559304821842</c:v>
                </c:pt>
                <c:pt idx="115">
                  <c:v>14.366192718832673</c:v>
                </c:pt>
                <c:pt idx="116">
                  <c:v>14.263070643168627</c:v>
                </c:pt>
                <c:pt idx="117">
                  <c:v>14.15878442000022</c:v>
                </c:pt>
                <c:pt idx="118">
                  <c:v>14.055741365901461</c:v>
                </c:pt>
                <c:pt idx="119">
                  <c:v>13.951589191508276</c:v>
                </c:pt>
                <c:pt idx="120">
                  <c:v>13.848677470974849</c:v>
                </c:pt>
                <c:pt idx="121">
                  <c:v>13.744647638031092</c:v>
                </c:pt>
                <c:pt idx="122">
                  <c:v>13.641855724068044</c:v>
                </c:pt>
                <c:pt idx="123">
                  <c:v>13.537878588910221</c:v>
                </c:pt>
                <c:pt idx="124">
                  <c:v>13.435138391827937</c:v>
                </c:pt>
                <c:pt idx="125">
                  <c:v>13.331268587321201</c:v>
                </c:pt>
                <c:pt idx="126">
                  <c:v>13.228633358043179</c:v>
                </c:pt>
                <c:pt idx="127">
                  <c:v>13.124864351112516</c:v>
                </c:pt>
                <c:pt idx="128">
                  <c:v>13.022327625874087</c:v>
                </c:pt>
                <c:pt idx="129">
                  <c:v>12.918654363505418</c:v>
                </c:pt>
                <c:pt idx="130">
                  <c:v>12.816211127450636</c:v>
                </c:pt>
                <c:pt idx="131">
                  <c:v>12.712629909355277</c:v>
                </c:pt>
                <c:pt idx="132">
                  <c:v>12.661301543709783</c:v>
                </c:pt>
                <c:pt idx="133">
                  <c:v>12.610276472206646</c:v>
                </c:pt>
                <c:pt idx="134">
                  <c:v>12.55834890882393</c:v>
                </c:pt>
                <c:pt idx="135">
                  <c:v>12.506731721510871</c:v>
                </c:pt>
                <c:pt idx="136">
                  <c:v>12.455421210748586</c:v>
                </c:pt>
                <c:pt idx="137">
                  <c:v>12.404413741714333</c:v>
                </c:pt>
                <c:pt idx="138">
                  <c:v>12.352557926766652</c:v>
                </c:pt>
                <c:pt idx="139">
                  <c:v>12.301011581207195</c:v>
                </c:pt>
                <c:pt idx="140">
                  <c:v>12.249771017499459</c:v>
                </c:pt>
                <c:pt idx="141">
                  <c:v>12.198832612648935</c:v>
                </c:pt>
                <c:pt idx="142">
                  <c:v>12.146995559299835</c:v>
                </c:pt>
                <c:pt idx="143">
                  <c:v>12.095467682334935</c:v>
                </c:pt>
                <c:pt idx="144">
                  <c:v>12.044245295573583</c:v>
                </c:pt>
                <c:pt idx="145">
                  <c:v>11.993324777462659</c:v>
                </c:pt>
                <c:pt idx="146">
                  <c:v>11.941533457708548</c:v>
                </c:pt>
                <c:pt idx="147">
                  <c:v>11.890050684114858</c:v>
                </c:pt>
                <c:pt idx="148">
                  <c:v>11.838872778161605</c:v>
                </c:pt>
                <c:pt idx="149">
                  <c:v>11.787996125887592</c:v>
                </c:pt>
                <c:pt idx="150">
                  <c:v>11.736251214211331</c:v>
                </c:pt>
                <c:pt idx="151">
                  <c:v>11.684814195189732</c:v>
                </c:pt>
                <c:pt idx="152">
                  <c:v>11.63368139865652</c:v>
                </c:pt>
                <c:pt idx="153">
                  <c:v>11.582849218911784</c:v>
                </c:pt>
                <c:pt idx="154">
                  <c:v>11.531128042651853</c:v>
                </c:pt>
                <c:pt idx="155">
                  <c:v>11.47971435981365</c:v>
                </c:pt>
                <c:pt idx="156">
                  <c:v>11.428604504311542</c:v>
                </c:pt>
                <c:pt idx="157">
                  <c:v>11.377794874526408</c:v>
                </c:pt>
                <c:pt idx="158">
                  <c:v>11.32610047895276</c:v>
                </c:pt>
                <c:pt idx="159">
                  <c:v>11.274713127171321</c:v>
                </c:pt>
                <c:pt idx="160">
                  <c:v>11.22362915831798</c:v>
                </c:pt>
                <c:pt idx="161">
                  <c:v>11.172844975961675</c:v>
                </c:pt>
                <c:pt idx="162">
                  <c:v>11.121203240727311</c:v>
                </c:pt>
                <c:pt idx="163">
                  <c:v>11.069867779947769</c:v>
                </c:pt>
                <c:pt idx="164">
                  <c:v>11.018834943905642</c:v>
                </c:pt>
                <c:pt idx="165">
                  <c:v>10.968101147137602</c:v>
                </c:pt>
                <c:pt idx="166">
                  <c:v>10.916469737037618</c:v>
                </c:pt>
                <c:pt idx="167">
                  <c:v>10.865144320030531</c:v>
                </c:pt>
                <c:pt idx="168">
                  <c:v>10.814121249056024</c:v>
                </c:pt>
                <c:pt idx="169">
                  <c:v>10.763396941321039</c:v>
                </c:pt>
                <c:pt idx="170">
                  <c:v>10.711888918223691</c:v>
                </c:pt>
                <c:pt idx="171">
                  <c:v>10.660685260473864</c:v>
                </c:pt>
                <c:pt idx="172">
                  <c:v>10.609782347836894</c:v>
                </c:pt>
                <c:pt idx="173">
                  <c:v>10.559176623786247</c:v>
                </c:pt>
                <c:pt idx="174">
                  <c:v>10.507599988812089</c:v>
                </c:pt>
                <c:pt idx="175">
                  <c:v>10.456328344230707</c:v>
                </c:pt>
                <c:pt idx="176">
                  <c:v>10.405358056697692</c:v>
                </c:pt>
                <c:pt idx="177">
                  <c:v>10.354685556946613</c:v>
                </c:pt>
                <c:pt idx="178">
                  <c:v>10.303072207415976</c:v>
                </c:pt>
                <c:pt idx="179">
                  <c:v>10.251764084839824</c:v>
                </c:pt>
                <c:pt idx="180">
                  <c:v>10.200757549823107</c:v>
                </c:pt>
                <c:pt idx="181">
                  <c:v>10.150049027248214</c:v>
                </c:pt>
                <c:pt idx="182">
                  <c:v>10.098629704432049</c:v>
                </c:pt>
                <c:pt idx="183">
                  <c:v>10.04751311815747</c:v>
                </c:pt>
                <c:pt idx="184">
                  <c:v>9.996695671675667</c:v>
                </c:pt>
                <c:pt idx="185">
                  <c:v>9.9461738315672026</c:v>
                </c:pt>
                <c:pt idx="186">
                  <c:v>9.8945693587362822</c:v>
                </c:pt>
                <c:pt idx="187">
                  <c:v>9.8432695809956208</c:v>
                </c:pt>
                <c:pt idx="188">
                  <c:v>9.7922708651772457</c:v>
                </c:pt>
                <c:pt idx="189">
                  <c:v>9.7415696423433662</c:v>
                </c:pt>
                <c:pt idx="190">
                  <c:v>9.6902032722478335</c:v>
                </c:pt>
                <c:pt idx="191">
                  <c:v>9.6391385717484255</c:v>
                </c:pt>
                <c:pt idx="192">
                  <c:v>9.5883719600638084</c:v>
                </c:pt>
                <c:pt idx="193">
                  <c:v>9.5378999194557483</c:v>
                </c:pt>
                <c:pt idx="194">
                  <c:v>9.4864072741485312</c:v>
                </c:pt>
                <c:pt idx="195">
                  <c:v>9.4352175392612772</c:v>
                </c:pt>
                <c:pt idx="196">
                  <c:v>9.3843271106182549</c:v>
                </c:pt>
                <c:pt idx="197">
                  <c:v>9.3337324476719257</c:v>
                </c:pt>
                <c:pt idx="198">
                  <c:v>9.2823318045681891</c:v>
                </c:pt>
                <c:pt idx="199">
                  <c:v>9.2312327435844317</c:v>
                </c:pt>
                <c:pt idx="200">
                  <c:v>9.1804316828985826</c:v>
                </c:pt>
                <c:pt idx="201">
                  <c:v>9.1299251038250588</c:v>
                </c:pt>
                <c:pt idx="202">
                  <c:v>9.0786366615331051</c:v>
                </c:pt>
                <c:pt idx="203">
                  <c:v>9.0276482310003043</c:v>
                </c:pt>
                <c:pt idx="204">
                  <c:v>8.9769562570825485</c:v>
                </c:pt>
                <c:pt idx="205">
                  <c:v>8.9265572471757988</c:v>
                </c:pt>
                <c:pt idx="206">
                  <c:v>8.8752249153266192</c:v>
                </c:pt>
                <c:pt idx="207">
                  <c:v>8.8241928378317507</c:v>
                </c:pt>
                <c:pt idx="208">
                  <c:v>8.773457454120221</c:v>
                </c:pt>
                <c:pt idx="209">
                  <c:v>8.7230152663123697</c:v>
                </c:pt>
                <c:pt idx="210">
                  <c:v>8.6714975198024362</c:v>
                </c:pt>
                <c:pt idx="211">
                  <c:v>8.6202819117012215</c:v>
                </c:pt>
                <c:pt idx="212">
                  <c:v>8.5693648468736505</c:v>
                </c:pt>
                <c:pt idx="213">
                  <c:v>8.5187427937073892</c:v>
                </c:pt>
                <c:pt idx="214">
                  <c:v>8.4674119568519117</c:v>
                </c:pt>
                <c:pt idx="215">
                  <c:v>8.4163807847829197</c:v>
                </c:pt>
                <c:pt idx="216">
                  <c:v>8.3656457252371581</c:v>
                </c:pt>
                <c:pt idx="217">
                  <c:v>8.3152032884864919</c:v>
                </c:pt>
                <c:pt idx="218">
                  <c:v>8.2639098321812305</c:v>
                </c:pt>
                <c:pt idx="219">
                  <c:v>8.2129153046030829</c:v>
                </c:pt>
                <c:pt idx="220">
                  <c:v>8.1622161654946428</c:v>
                </c:pt>
                <c:pt idx="221">
                  <c:v>8.1118089368670958</c:v>
                </c:pt>
                <c:pt idx="222">
                  <c:v>8.0605761663794198</c:v>
                </c:pt>
                <c:pt idx="223">
                  <c:v>8.0096413088988339</c:v>
                </c:pt>
                <c:pt idx="224">
                  <c:v>7.9590008411186304</c:v>
                </c:pt>
                <c:pt idx="225">
                  <c:v>7.9086513016160289</c:v>
                </c:pt>
                <c:pt idx="226">
                  <c:v>7.8573452812758422</c:v>
                </c:pt>
                <c:pt idx="227">
                  <c:v>7.806337701364332</c:v>
                </c:pt>
                <c:pt idx="228">
                  <c:v>7.755625028208132</c:v>
                </c:pt>
                <c:pt idx="229">
                  <c:v>7.7052037902687971</c:v>
                </c:pt>
                <c:pt idx="230">
                  <c:v>7.602804991967246</c:v>
                </c:pt>
                <c:pt idx="231">
                  <c:v>7.5520499565872399</c:v>
                </c:pt>
                <c:pt idx="232">
                  <c:v>7.501586509195489</c:v>
                </c:pt>
                <c:pt idx="233">
                  <c:v>7.4502236048466557</c:v>
                </c:pt>
                <c:pt idx="234">
                  <c:v>7.3991591192992443</c:v>
                </c:pt>
                <c:pt idx="235">
                  <c:v>7.3483895171296885</c:v>
                </c:pt>
                <c:pt idx="236">
                  <c:v>7.2979113251009053</c:v>
                </c:pt>
                <c:pt idx="237">
                  <c:v>7.2467057364660361</c:v>
                </c:pt>
                <c:pt idx="238">
                  <c:v>7.1957963902852242</c:v>
                </c:pt>
                <c:pt idx="239">
                  <c:v>7.145179788520398</c:v>
                </c:pt>
                <c:pt idx="240">
                  <c:v>7.0948524944493823</c:v>
                </c:pt>
                <c:pt idx="241">
                  <c:v>7.0435353838962627</c:v>
                </c:pt>
                <c:pt idx="242">
                  <c:v>6.992515434229869</c:v>
                </c:pt>
                <c:pt idx="243">
                  <c:v>6.9417891300229755</c:v>
                </c:pt>
                <c:pt idx="244">
                  <c:v>6.8913530175701094</c:v>
                </c:pt>
                <c:pt idx="245">
                  <c:v>6.8400955839882354</c:v>
                </c:pt>
                <c:pt idx="246">
                  <c:v>6.7891342406133015</c:v>
                </c:pt>
                <c:pt idx="247">
                  <c:v>6.7384654897348959</c:v>
                </c:pt>
                <c:pt idx="248">
                  <c:v>6.6880858949498121</c:v>
                </c:pt>
                <c:pt idx="249">
                  <c:v>6.6367738213962255</c:v>
                </c:pt>
                <c:pt idx="250">
                  <c:v>6.5857580721144515</c:v>
                </c:pt>
                <c:pt idx="251">
                  <c:v>6.5350351439809202</c:v>
                </c:pt>
                <c:pt idx="252">
                  <c:v>6.4846015953025322</c:v>
                </c:pt>
                <c:pt idx="253">
                  <c:v>6.4333957867460168</c:v>
                </c:pt>
                <c:pt idx="254">
                  <c:v>6.3824846720808379</c:v>
                </c:pt>
                <c:pt idx="255">
                  <c:v>6.3318647756283362</c:v>
                </c:pt>
                <c:pt idx="256">
                  <c:v>6.2815326824971107</c:v>
                </c:pt>
                <c:pt idx="257">
                  <c:v>6.2301922163450119</c:v>
                </c:pt>
                <c:pt idx="258">
                  <c:v>6.1791475677093164</c:v>
                </c:pt>
                <c:pt idx="259">
                  <c:v>6.1283952396391257</c:v>
                </c:pt>
                <c:pt idx="260">
                  <c:v>6.0779317964603861</c:v>
                </c:pt>
                <c:pt idx="261">
                  <c:v>6.0266167468106424</c:v>
                </c:pt>
                <c:pt idx="262">
                  <c:v>5.9755967836008246</c:v>
                </c:pt>
                <c:pt idx="263">
                  <c:v>5.9248684212730431</c:v>
                </c:pt>
                <c:pt idx="264">
                  <c:v>5.8744282352743635</c:v>
                </c:pt>
                <c:pt idx="265">
                  <c:v>5.8231615062290585</c:v>
                </c:pt>
                <c:pt idx="266">
                  <c:v>5.7721888562419057</c:v>
                </c:pt>
                <c:pt idx="267">
                  <c:v>5.7215068159185289</c:v>
                </c:pt>
                <c:pt idx="268">
                  <c:v>5.6711119764862286</c:v>
                </c:pt>
                <c:pt idx="269">
                  <c:v>5.619794061421743</c:v>
                </c:pt>
                <c:pt idx="270">
                  <c:v>5.5687703408627867</c:v>
                </c:pt>
                <c:pt idx="271">
                  <c:v>5.518037341648836</c:v>
                </c:pt>
                <c:pt idx="272">
                  <c:v>5.4675916513201024</c:v>
                </c:pt>
                <c:pt idx="273">
                  <c:v>5.4162502574965385</c:v>
                </c:pt>
                <c:pt idx="274">
                  <c:v>5.3652028384954988</c:v>
                </c:pt>
                <c:pt idx="275">
                  <c:v>5.3144459231863728</c:v>
                </c:pt>
                <c:pt idx="276">
                  <c:v>5.2639761010828998</c:v>
                </c:pt>
                <c:pt idx="277">
                  <c:v>5.2127522752287136</c:v>
                </c:pt>
                <c:pt idx="278">
                  <c:v>5.1618205797409917</c:v>
                </c:pt>
                <c:pt idx="279">
                  <c:v>5.1111775740528289</c:v>
                </c:pt>
                <c:pt idx="280">
                  <c:v>5.0608198775230173</c:v>
                </c:pt>
                <c:pt idx="281">
                  <c:v>5.0093916072990208</c:v>
                </c:pt>
                <c:pt idx="282">
                  <c:v>4.9582572716100781</c:v>
                </c:pt>
                <c:pt idx="283">
                  <c:v>4.9074133959489181</c:v>
                </c:pt>
                <c:pt idx="284">
                  <c:v>4.8568565665106629</c:v>
                </c:pt>
                <c:pt idx="285">
                  <c:v>4.8055918538315447</c:v>
                </c:pt>
                <c:pt idx="286">
                  <c:v>4.7546186715221079</c:v>
                </c:pt>
                <c:pt idx="287">
                  <c:v>4.7039335852566877</c:v>
                </c:pt>
                <c:pt idx="288">
                  <c:v>4.6535332204696216</c:v>
                </c:pt>
                <c:pt idx="289">
                  <c:v>4.6021217846389399</c:v>
                </c:pt>
                <c:pt idx="290">
                  <c:v>4.551002980191921</c:v>
                </c:pt>
                <c:pt idx="291">
                  <c:v>4.5001733509864241</c:v>
                </c:pt>
                <c:pt idx="292">
                  <c:v>4.4496295011340523</c:v>
                </c:pt>
                <c:pt idx="293">
                  <c:v>4.3982099031659674</c:v>
                </c:pt>
                <c:pt idx="294">
                  <c:v>4.3470824411586637</c:v>
                </c:pt>
                <c:pt idx="295">
                  <c:v>4.2962436651545097</c:v>
                </c:pt>
                <c:pt idx="296">
                  <c:v>4.2456901852945306</c:v>
                </c:pt>
                <c:pt idx="297">
                  <c:v>4.1942864049375643</c:v>
                </c:pt>
                <c:pt idx="298">
                  <c:v>4.1431739712904108</c:v>
                </c:pt>
                <c:pt idx="299">
                  <c:v>4.0923494456001466</c:v>
                </c:pt>
                <c:pt idx="300">
                  <c:v>4.0418094489410166</c:v>
                </c:pt>
                <c:pt idx="301">
                  <c:v>3.990443676340512</c:v>
                </c:pt>
                <c:pt idx="302">
                  <c:v>3.9393681887974652</c:v>
                </c:pt>
                <c:pt idx="303">
                  <c:v>3.8885795633910747</c:v>
                </c:pt>
                <c:pt idx="304">
                  <c:v>3.8380744366494279</c:v>
                </c:pt>
                <c:pt idx="305">
                  <c:v>3.7865703852086745</c:v>
                </c:pt>
                <c:pt idx="306">
                  <c:v>3.7353575192807078</c:v>
                </c:pt>
                <c:pt idx="307">
                  <c:v>3.6844323969532851</c:v>
                </c:pt>
                <c:pt idx="308">
                  <c:v>3.6337916361892497</c:v>
                </c:pt>
                <c:pt idx="309">
                  <c:v>3.5823736929849193</c:v>
                </c:pt>
                <c:pt idx="310">
                  <c:v>3.5312452806707464</c:v>
                </c:pt>
                <c:pt idx="311">
                  <c:v>3.4804029832653849</c:v>
                </c:pt>
                <c:pt idx="312">
                  <c:v>3.429843444050749</c:v>
                </c:pt>
                <c:pt idx="313">
                  <c:v>3.3783404845124005</c:v>
                </c:pt>
                <c:pt idx="314">
                  <c:v>3.3271272984007609</c:v>
                </c:pt>
                <c:pt idx="315">
                  <c:v>3.2762004619593337</c:v>
                </c:pt>
                <c:pt idx="316">
                  <c:v>3.2255566108611839</c:v>
                </c:pt>
                <c:pt idx="317">
                  <c:v>3.1739966738415748</c:v>
                </c:pt>
                <c:pt idx="318">
                  <c:v>3.1227264062222408</c:v>
                </c:pt>
                <c:pt idx="319">
                  <c:v>3.0717423823620713</c:v>
                </c:pt>
                <c:pt idx="320">
                  <c:v>3.0210412360797174</c:v>
                </c:pt>
                <c:pt idx="321">
                  <c:v>2.969450364681232</c:v>
                </c:pt>
                <c:pt idx="322">
                  <c:v>2.9181487346331165</c:v>
                </c:pt>
                <c:pt idx="323">
                  <c:v>2.8671329239077625</c:v>
                </c:pt>
                <c:pt idx="324">
                  <c:v>2.8163995698404776</c:v>
                </c:pt>
                <c:pt idx="325">
                  <c:v>2.764801900068623</c:v>
                </c:pt>
                <c:pt idx="326">
                  <c:v>2.7134927415703358</c:v>
                </c:pt>
                <c:pt idx="327">
                  <c:v>2.6624686810383458</c:v>
                </c:pt>
                <c:pt idx="328">
                  <c:v>2.6117263643136637</c:v>
                </c:pt>
                <c:pt idx="329">
                  <c:v>2.5600581973748464</c:v>
                </c:pt>
                <c:pt idx="330">
                  <c:v>2.5086784875600903</c:v>
                </c:pt>
                <c:pt idx="331">
                  <c:v>2.4575838180676284</c:v>
                </c:pt>
                <c:pt idx="332">
                  <c:v>2.4067708313107516</c:v>
                </c:pt>
                <c:pt idx="333">
                  <c:v>2.3551425453101911</c:v>
                </c:pt>
                <c:pt idx="334">
                  <c:v>2.3038013987034622</c:v>
                </c:pt>
                <c:pt idx="335">
                  <c:v>2.252743993307738</c:v>
                </c:pt>
                <c:pt idx="336">
                  <c:v>2.2019669897127918</c:v>
                </c:pt>
                <c:pt idx="337">
                  <c:v>2.1502328155473411</c:v>
                </c:pt>
                <c:pt idx="338">
                  <c:v>2.0987860440013653</c:v>
                </c:pt>
                <c:pt idx="339">
                  <c:v>2.0476232672373644</c:v>
                </c:pt>
                <c:pt idx="340">
                  <c:v>1.9967411363984597</c:v>
                </c:pt>
                <c:pt idx="341">
                  <c:v>1.9449290898412843</c:v>
                </c:pt>
                <c:pt idx="342">
                  <c:v>1.8934043555214688</c:v>
                </c:pt>
                <c:pt idx="343">
                  <c:v>1.8421635218982817</c:v>
                </c:pt>
                <c:pt idx="344">
                  <c:v>1.7912032364825361</c:v>
                </c:pt>
                <c:pt idx="345">
                  <c:v>1.7394180315369963</c:v>
                </c:pt>
                <c:pt idx="346">
                  <c:v>1.6879188498174402</c:v>
                </c:pt>
                <c:pt idx="347">
                  <c:v>1.6367022970549459</c:v>
                </c:pt>
                <c:pt idx="348">
                  <c:v>1.5857650376205443</c:v>
                </c:pt>
                <c:pt idx="349">
                  <c:v>1.533871573927549</c:v>
                </c:pt>
                <c:pt idx="350">
                  <c:v>1.4822642905991432</c:v>
                </c:pt>
                <c:pt idx="351">
                  <c:v>1.430939784640276</c:v>
                </c:pt>
                <c:pt idx="352">
                  <c:v>1.3798947118816902</c:v>
                </c:pt>
                <c:pt idx="353">
                  <c:v>1.3279203407277085</c:v>
                </c:pt>
                <c:pt idx="354">
                  <c:v>1.2762319565708955</c:v>
                </c:pt>
                <c:pt idx="355">
                  <c:v>1.2248261535572844</c:v>
                </c:pt>
                <c:pt idx="356">
                  <c:v>1.1736995847093847</c:v>
                </c:pt>
                <c:pt idx="357">
                  <c:v>1.1217433480387409</c:v>
                </c:pt>
                <c:pt idx="358">
                  <c:v>1.0700717712090382</c:v>
                </c:pt>
                <c:pt idx="359">
                  <c:v>1.0186814653453022</c:v>
                </c:pt>
                <c:pt idx="360">
                  <c:v>0.9675691000439185</c:v>
                </c:pt>
                <c:pt idx="361">
                  <c:v>0.9155054152393628</c:v>
                </c:pt>
                <c:pt idx="362">
                  <c:v>0.86372638679010305</c:v>
                </c:pt>
                <c:pt idx="363">
                  <c:v>0.81222861885529607</c:v>
                </c:pt>
                <c:pt idx="364">
                  <c:v>0.76100877420971291</c:v>
                </c:pt>
                <c:pt idx="365">
                  <c:v>0.70893455193295463</c:v>
                </c:pt>
                <c:pt idx="366">
                  <c:v>0.65714387211966541</c:v>
                </c:pt>
                <c:pt idx="367">
                  <c:v>0.60563335137328178</c:v>
                </c:pt>
                <c:pt idx="368">
                  <c:v>0.55439966461150181</c:v>
                </c:pt>
                <c:pt idx="369">
                  <c:v>0.50219663620349475</c:v>
                </c:pt>
                <c:pt idx="370">
                  <c:v>0.45027726526705997</c:v>
                </c:pt>
                <c:pt idx="371">
                  <c:v>0.39863815849405015</c:v>
                </c:pt>
                <c:pt idx="372">
                  <c:v>0.3472759811013677</c:v>
                </c:pt>
                <c:pt idx="373">
                  <c:v>0.29503872152479355</c:v>
                </c:pt>
                <c:pt idx="374">
                  <c:v>0.24308414886571522</c:v>
                </c:pt>
                <c:pt idx="375">
                  <c:v>0.19140887887143962</c:v>
                </c:pt>
                <c:pt idx="376">
                  <c:v>0.14000958558986912</c:v>
                </c:pt>
                <c:pt idx="377">
                  <c:v>8.7626486732201456E-2</c:v>
                </c:pt>
                <c:pt idx="378">
                  <c:v>3.5526246242364112E-2</c:v>
                </c:pt>
                <c:pt idx="379">
                  <c:v>-1.6294532004010865E-2</c:v>
                </c:pt>
                <c:pt idx="380">
                  <c:v>-6.7839185576173119E-2</c:v>
                </c:pt>
                <c:pt idx="381">
                  <c:v>-0.12021133738691291</c:v>
                </c:pt>
                <c:pt idx="382">
                  <c:v>-0.1723022121518317</c:v>
                </c:pt>
                <c:pt idx="383">
                  <c:v>-0.22411518689727863</c:v>
                </c:pt>
                <c:pt idx="384">
                  <c:v>-0.27565358054993655</c:v>
                </c:pt>
                <c:pt idx="385">
                  <c:v>-0.32818779694554817</c:v>
                </c:pt>
                <c:pt idx="386">
                  <c:v>-0.38044052956967345</c:v>
                </c:pt>
                <c:pt idx="387">
                  <c:v>-0.43241516898237986</c:v>
                </c:pt>
                <c:pt idx="388">
                  <c:v>-0.48411504735319105</c:v>
                </c:pt>
                <c:pt idx="389">
                  <c:v>-0.53672182223104814</c:v>
                </c:pt>
                <c:pt idx="390">
                  <c:v>-0.58904793881569195</c:v>
                </c:pt>
                <c:pt idx="391">
                  <c:v>-0.64109678318703045</c:v>
                </c:pt>
                <c:pt idx="392">
                  <c:v>-0.69287168315669412</c:v>
                </c:pt>
                <c:pt idx="393">
                  <c:v>-0.74552954115784709</c:v>
                </c:pt>
                <c:pt idx="394">
                  <c:v>-0.79790786709585892</c:v>
                </c:pt>
                <c:pt idx="395">
                  <c:v>-0.85001003768905936</c:v>
                </c:pt>
                <c:pt idx="396">
                  <c:v>-0.90183937162209582</c:v>
                </c:pt>
                <c:pt idx="397">
                  <c:v>-0.95464754597005386</c:v>
                </c:pt>
                <c:pt idx="398">
                  <c:v>-1.0071763424496298</c:v>
                </c:pt>
                <c:pt idx="399">
                  <c:v>-1.0594291465883572</c:v>
                </c:pt>
                <c:pt idx="400">
                  <c:v>-1.1114092857003375</c:v>
                </c:pt>
                <c:pt idx="401">
                  <c:v>-1.1642842315604556</c:v>
                </c:pt>
                <c:pt idx="402">
                  <c:v>-1.2168809199021526</c:v>
                </c:pt>
                <c:pt idx="403">
                  <c:v>-1.2692027282053537</c:v>
                </c:pt>
                <c:pt idx="404">
                  <c:v>-1.3212529759430989</c:v>
                </c:pt>
                <c:pt idx="405">
                  <c:v>-1.374232014053832</c:v>
                </c:pt>
                <c:pt idx="406">
                  <c:v>-1.4269336073450178</c:v>
                </c:pt>
                <c:pt idx="407">
                  <c:v>-1.4793611314814357</c:v>
                </c:pt>
                <c:pt idx="408">
                  <c:v>-1.5315179041863225</c:v>
                </c:pt>
                <c:pt idx="409">
                  <c:v>-1.5846354243676077</c:v>
                </c:pt>
                <c:pt idx="410">
                  <c:v>-1.6374760457108253</c:v>
                </c:pt>
                <c:pt idx="411">
                  <c:v>-1.6900431476390796</c:v>
                </c:pt>
                <c:pt idx="412">
                  <c:v>-1.7423400515734113</c:v>
                </c:pt>
                <c:pt idx="413">
                  <c:v>-1.7955730564857642</c:v>
                </c:pt>
                <c:pt idx="414">
                  <c:v>-1.8485300453169788</c:v>
                </c:pt>
                <c:pt idx="415">
                  <c:v>-1.9012143958665444</c:v>
                </c:pt>
                <c:pt idx="416">
                  <c:v>-1.9536294279957112</c:v>
                </c:pt>
                <c:pt idx="417">
                  <c:v>-2.0070104543263807</c:v>
                </c:pt>
                <c:pt idx="418">
                  <c:v>-2.0601161125538545</c:v>
                </c:pt>
                <c:pt idx="419">
                  <c:v>-2.1129497839569793</c:v>
                </c:pt>
                <c:pt idx="420">
                  <c:v>-2.1655147918254332</c:v>
                </c:pt>
                <c:pt idx="421">
                  <c:v>-2.2189689620402926</c:v>
                </c:pt>
                <c:pt idx="422">
                  <c:v>-2.2721492857590331</c:v>
                </c:pt>
                <c:pt idx="423">
                  <c:v>-2.3250591325215022</c:v>
                </c:pt>
                <c:pt idx="424">
                  <c:v>-2.3777018141759902</c:v>
                </c:pt>
                <c:pt idx="425">
                  <c:v>-2.4313661344581119</c:v>
                </c:pt>
                <c:pt idx="426">
                  <c:v>-2.4847568391741168</c:v>
                </c:pt>
                <c:pt idx="427">
                  <c:v>-2.5378773107830881</c:v>
                </c:pt>
                <c:pt idx="428">
                  <c:v>-2.5907308737904531</c:v>
                </c:pt>
                <c:pt idx="429">
                  <c:v>-2.6445301603513824</c:v>
                </c:pt>
                <c:pt idx="430">
                  <c:v>-2.6980569487078783</c:v>
                </c:pt>
                <c:pt idx="431">
                  <c:v>-2.7513146188571795</c:v>
                </c:pt>
                <c:pt idx="432">
                  <c:v>-2.8043064929332173</c:v>
                </c:pt>
                <c:pt idx="433">
                  <c:v>-2.8582211037153393</c:v>
                </c:pt>
                <c:pt idx="434">
                  <c:v>-2.9118646497651075</c:v>
                </c:pt>
                <c:pt idx="435">
                  <c:v>-2.9652405037181433</c:v>
                </c:pt>
                <c:pt idx="436">
                  <c:v>-3.0183519805506438</c:v>
                </c:pt>
                <c:pt idx="437">
                  <c:v>-3.0724609822537525</c:v>
                </c:pt>
                <c:pt idx="438">
                  <c:v>-3.1262996857837466</c:v>
                </c:pt>
                <c:pt idx="439">
                  <c:v>-3.1798714698813191</c:v>
                </c:pt>
                <c:pt idx="440">
                  <c:v>-3.23317965552787</c:v>
                </c:pt>
                <c:pt idx="441">
                  <c:v>-3.2874614174000505</c:v>
                </c:pt>
                <c:pt idx="442">
                  <c:v>-3.3414740009439612</c:v>
                </c:pt>
                <c:pt idx="443">
                  <c:v>-3.3952207855674121</c:v>
                </c:pt>
                <c:pt idx="444">
                  <c:v>-3.4487050929452732</c:v>
                </c:pt>
                <c:pt idx="445">
                  <c:v>-3.5031400348196935</c:v>
                </c:pt>
                <c:pt idx="446">
                  <c:v>-3.5573072505051839</c:v>
                </c:pt>
                <c:pt idx="447">
                  <c:v>-3.6112101150157643</c:v>
                </c:pt>
                <c:pt idx="448">
                  <c:v>-3.6648519457764723</c:v>
                </c:pt>
                <c:pt idx="449">
                  <c:v>-3.7195137154737261</c:v>
                </c:pt>
                <c:pt idx="450">
                  <c:v>-3.7739086362129601</c:v>
                </c:pt>
                <c:pt idx="451">
                  <c:v>-3.8280400907386403</c:v>
                </c:pt>
                <c:pt idx="452">
                  <c:v>-3.8819114040780445</c:v>
                </c:pt>
                <c:pt idx="453">
                  <c:v>-3.9367342748193455</c:v>
                </c:pt>
                <c:pt idx="454">
                  <c:v>-3.9912919696556211</c:v>
                </c:pt>
                <c:pt idx="455">
                  <c:v>-4.0455878653404822</c:v>
                </c:pt>
                <c:pt idx="456">
                  <c:v>-4.0996252810963476</c:v>
                </c:pt>
                <c:pt idx="457">
                  <c:v>-4.1546807430647972</c:v>
                </c:pt>
                <c:pt idx="458">
                  <c:v>-4.2094721719726271</c:v>
                </c:pt>
                <c:pt idx="459">
                  <c:v>-4.2640029501002301</c:v>
                </c:pt>
                <c:pt idx="460">
                  <c:v>-4.3182764021249982</c:v>
                </c:pt>
                <c:pt idx="461">
                  <c:v>-4.3735450574147592</c:v>
                </c:pt>
                <c:pt idx="462">
                  <c:v>-4.4285511807866689</c:v>
                </c:pt>
                <c:pt idx="463">
                  <c:v>-4.4832981547401758</c:v>
                </c:pt>
                <c:pt idx="464">
                  <c:v>-4.5377893042234643</c:v>
                </c:pt>
                <c:pt idx="465">
                  <c:v>-4.5932961120860281</c:v>
                </c:pt>
                <c:pt idx="466">
                  <c:v>-4.6485418310513342</c:v>
                </c:pt>
                <c:pt idx="467">
                  <c:v>-4.7035298465852371</c:v>
                </c:pt>
                <c:pt idx="468">
                  <c:v>-4.7582634865952489</c:v>
                </c:pt>
                <c:pt idx="469">
                  <c:v>-4.813990798839888</c:v>
                </c:pt>
                <c:pt idx="470">
                  <c:v>-4.8694588164965849</c:v>
                </c:pt>
                <c:pt idx="471">
                  <c:v>-4.9246709228975947</c:v>
                </c:pt>
                <c:pt idx="472">
                  <c:v>-4.9796304439283601</c:v>
                </c:pt>
                <c:pt idx="473">
                  <c:v>-5.0356441403355126</c:v>
                </c:pt>
                <c:pt idx="474">
                  <c:v>-5.0913999211553609</c:v>
                </c:pt>
                <c:pt idx="475">
                  <c:v>-5.1469011775398412</c:v>
                </c:pt>
                <c:pt idx="476">
                  <c:v>-5.2021512430843044</c:v>
                </c:pt>
                <c:pt idx="477">
                  <c:v>-5.2584333116586324</c:v>
                </c:pt>
                <c:pt idx="478">
                  <c:v>-5.3144592196590867</c:v>
                </c:pt>
                <c:pt idx="479">
                  <c:v>-5.3702323606765434</c:v>
                </c:pt>
                <c:pt idx="480">
                  <c:v>-5.4257560707603645</c:v>
                </c:pt>
                <c:pt idx="481">
                  <c:v>-5.4822906734861228</c:v>
                </c:pt>
                <c:pt idx="482">
                  <c:v>-5.53857122621808</c:v>
                </c:pt>
                <c:pt idx="483">
                  <c:v>-5.5946011199753451</c:v>
                </c:pt>
                <c:pt idx="484">
                  <c:v>-5.6503836883664436</c:v>
                </c:pt>
                <c:pt idx="485">
                  <c:v>-5.7071956689806012</c:v>
                </c:pt>
                <c:pt idx="486">
                  <c:v>-5.7637557052765764</c:v>
                </c:pt>
                <c:pt idx="487">
                  <c:v>-5.8200671879175534</c:v>
                </c:pt>
                <c:pt idx="488">
                  <c:v>-5.8761334502396689</c:v>
                </c:pt>
                <c:pt idx="489">
                  <c:v>-5.9332849005329962</c:v>
                </c:pt>
                <c:pt idx="490">
                  <c:v>-5.9901861990522036</c:v>
                </c:pt>
                <c:pt idx="491">
                  <c:v>-6.0468407447604449</c:v>
                </c:pt>
                <c:pt idx="492">
                  <c:v>-6.1032518791851542</c:v>
                </c:pt>
                <c:pt idx="493">
                  <c:v>-6.1607272258094046</c:v>
                </c:pt>
                <c:pt idx="494">
                  <c:v>-6.2179546009041653</c:v>
                </c:pt>
                <c:pt idx="495">
                  <c:v>-6.274937406397763</c:v>
                </c:pt>
                <c:pt idx="496">
                  <c:v>-6.3316789867957324</c:v>
                </c:pt>
                <c:pt idx="497">
                  <c:v>-6.3895015313736909</c:v>
                </c:pt>
                <c:pt idx="498">
                  <c:v>-6.4470783424107214</c:v>
                </c:pt>
                <c:pt idx="499">
                  <c:v>-6.5044128262521816</c:v>
                </c:pt>
                <c:pt idx="500">
                  <c:v>-6.5615083318019174</c:v>
                </c:pt>
                <c:pt idx="501">
                  <c:v>-6.619701099286476</c:v>
                </c:pt>
                <c:pt idx="502">
                  <c:v>-6.6776504482871504</c:v>
                </c:pt>
                <c:pt idx="503">
                  <c:v>-6.7353597907913629</c:v>
                </c:pt>
                <c:pt idx="504">
                  <c:v>-6.7928324812986896</c:v>
                </c:pt>
                <c:pt idx="505">
                  <c:v>-6.8513829104876178</c:v>
                </c:pt>
                <c:pt idx="506">
                  <c:v>-6.9096926218074657</c:v>
                </c:pt>
                <c:pt idx="507">
                  <c:v>-6.9677650277387446</c:v>
                </c:pt>
                <c:pt idx="508">
                  <c:v>-7.0256034833414205</c:v>
                </c:pt>
                <c:pt idx="509">
                  <c:v>-7.0845361243594986</c:v>
                </c:pt>
                <c:pt idx="510">
                  <c:v>-7.1432308337946315</c:v>
                </c:pt>
                <c:pt idx="511">
                  <c:v>-7.2016910258281879</c:v>
                </c:pt>
                <c:pt idx="512">
                  <c:v>-7.2599200572577338</c:v>
                </c:pt>
                <c:pt idx="513">
                  <c:v>-7.319293740127792</c:v>
                </c:pt>
                <c:pt idx="514">
                  <c:v>-7.3784321109278617</c:v>
                </c:pt>
                <c:pt idx="515">
                  <c:v>-7.4373385924210647</c:v>
                </c:pt>
                <c:pt idx="516">
                  <c:v>-7.4960165498642484</c:v>
                </c:pt>
                <c:pt idx="517">
                  <c:v>-7.5558205060631138</c:v>
                </c:pt>
                <c:pt idx="518">
                  <c:v>-7.6153921783772081</c:v>
                </c:pt>
                <c:pt idx="519">
                  <c:v>-7.6747349927763668</c:v>
                </c:pt>
                <c:pt idx="520">
                  <c:v>-7.7338523177135841</c:v>
                </c:pt>
                <c:pt idx="521">
                  <c:v>-7.7941114082625731</c:v>
                </c:pt>
                <c:pt idx="522">
                  <c:v>-7.8541413799385085</c:v>
                </c:pt>
                <c:pt idx="523">
                  <c:v>-7.913945662494335</c:v>
                </c:pt>
                <c:pt idx="524">
                  <c:v>-7.9735276281313023</c:v>
                </c:pt>
                <c:pt idx="525">
                  <c:v>-8.0342670231585753</c:v>
                </c:pt>
                <c:pt idx="526">
                  <c:v>-8.0947806168141092</c:v>
                </c:pt>
                <c:pt idx="527">
                  <c:v>-8.1550718430004885</c:v>
                </c:pt>
                <c:pt idx="528">
                  <c:v>-8.215144078010244</c:v>
                </c:pt>
                <c:pt idx="529">
                  <c:v>-8.2763893640686614</c:v>
                </c:pt>
                <c:pt idx="530">
                  <c:v>-8.3374123336003461</c:v>
                </c:pt>
                <c:pt idx="531">
                  <c:v>-8.3982164248107871</c:v>
                </c:pt>
                <c:pt idx="532">
                  <c:v>-8.4588050182137273</c:v>
                </c:pt>
                <c:pt idx="533">
                  <c:v>-8.5206141386524017</c:v>
                </c:pt>
                <c:pt idx="534">
                  <c:v>-8.582204384727703</c:v>
                </c:pt>
                <c:pt idx="535">
                  <c:v>-8.6435792041701731</c:v>
                </c:pt>
                <c:pt idx="536">
                  <c:v>-8.7047419867948417</c:v>
                </c:pt>
                <c:pt idx="537">
                  <c:v>-8.7670775589096586</c:v>
                </c:pt>
                <c:pt idx="538">
                  <c:v>-8.82919834834866</c:v>
                </c:pt>
                <c:pt idx="539">
                  <c:v>-8.8911078013724811</c:v>
                </c:pt>
                <c:pt idx="540">
                  <c:v>-8.9528093063159346</c:v>
                </c:pt>
                <c:pt idx="541">
                  <c:v>-9.0157620397849954</c:v>
                </c:pt>
                <c:pt idx="542">
                  <c:v>-9.0785038514812229</c:v>
                </c:pt>
                <c:pt idx="543">
                  <c:v>-9.1410381961223877</c:v>
                </c:pt>
                <c:pt idx="544">
                  <c:v>-9.203368470228579</c:v>
                </c:pt>
                <c:pt idx="545">
                  <c:v>-9.2669348372240936</c:v>
                </c:pt>
                <c:pt idx="546">
                  <c:v>-9.3302945825967445</c:v>
                </c:pt>
                <c:pt idx="547">
                  <c:v>-9.3934511634230198</c:v>
                </c:pt>
                <c:pt idx="548">
                  <c:v>-9.4564079783976034</c:v>
                </c:pt>
                <c:pt idx="549">
                  <c:v>-9.5206171794104169</c:v>
                </c:pt>
                <c:pt idx="550">
                  <c:v>-9.5846242859484914</c:v>
                </c:pt>
                <c:pt idx="551">
                  <c:v>-9.6484327563502603</c:v>
                </c:pt>
                <c:pt idx="552">
                  <c:v>-9.7120459903539551</c:v>
                </c:pt>
                <c:pt idx="553">
                  <c:v>-9.7769580147607051</c:v>
                </c:pt>
                <c:pt idx="554">
                  <c:v>-9.8416725272136265</c:v>
                </c:pt>
                <c:pt idx="555">
                  <c:v>-9.9061929906306894</c:v>
                </c:pt>
                <c:pt idx="556">
                  <c:v>-9.9705228089654891</c:v>
                </c:pt>
                <c:pt idx="557">
                  <c:v>-10.10162018735838</c:v>
                </c:pt>
                <c:pt idx="558">
                  <c:v>-10.2319607127823</c:v>
                </c:pt>
                <c:pt idx="559">
                  <c:v>-10.364533907274364</c:v>
                </c:pt>
                <c:pt idx="560">
                  <c:v>-10.496371355878154</c:v>
                </c:pt>
                <c:pt idx="561">
                  <c:v>-10.630602781630405</c:v>
                </c:pt>
                <c:pt idx="562">
                  <c:v>-10.764119353820723</c:v>
                </c:pt>
                <c:pt idx="563">
                  <c:v>-10.899791113099898</c:v>
                </c:pt>
                <c:pt idx="564">
                  <c:v>-11.034772921919163</c:v>
                </c:pt>
                <c:pt idx="565">
                  <c:v>-11.172469416218238</c:v>
                </c:pt>
                <c:pt idx="566">
                  <c:v>-11.309496749744575</c:v>
                </c:pt>
                <c:pt idx="567">
                  <c:v>-11.449227656441632</c:v>
                </c:pt>
                <c:pt idx="568">
                  <c:v>-11.588312166714388</c:v>
                </c:pt>
                <c:pt idx="569">
                  <c:v>-11.729540309885438</c:v>
                </c:pt>
                <c:pt idx="570">
                  <c:v>-11.870151373885793</c:v>
                </c:pt>
                <c:pt idx="571">
                  <c:v>-12.01400744978147</c:v>
                </c:pt>
                <c:pt idx="572">
                  <c:v>-12.15726770095859</c:v>
                </c:pt>
                <c:pt idx="573">
                  <c:v>-12.302676489873152</c:v>
                </c:pt>
                <c:pt idx="574">
                  <c:v>-12.447521237563912</c:v>
                </c:pt>
                <c:pt idx="575">
                  <c:v>-12.595604325356531</c:v>
                </c:pt>
                <c:pt idx="576">
                  <c:v>-12.743147927605703</c:v>
                </c:pt>
                <c:pt idx="577">
                  <c:v>-13.362388111787329</c:v>
                </c:pt>
                <c:pt idx="578">
                  <c:v>-13.974177867289994</c:v>
                </c:pt>
                <c:pt idx="579">
                  <c:v>-15.295701487704218</c:v>
                </c:pt>
                <c:pt idx="580">
                  <c:v>-16.726549488364675</c:v>
                </c:pt>
                <c:pt idx="581">
                  <c:v>-18.281679634154777</c:v>
                </c:pt>
                <c:pt idx="582">
                  <c:v>-19.977621140679677</c:v>
                </c:pt>
                <c:pt idx="583">
                  <c:v>-21.825159451805703</c:v>
                </c:pt>
                <c:pt idx="584">
                  <c:v>-23.832258571566783</c:v>
                </c:pt>
                <c:pt idx="585">
                  <c:v>-25.997628985287484</c:v>
                </c:pt>
                <c:pt idx="586">
                  <c:v>-28.314539631537375</c:v>
                </c:pt>
                <c:pt idx="587">
                  <c:v>-30.771705092642417</c:v>
                </c:pt>
                <c:pt idx="588">
                  <c:v>-33.350521630945792</c:v>
                </c:pt>
                <c:pt idx="589">
                  <c:v>-36.035248107850137</c:v>
                </c:pt>
                <c:pt idx="590">
                  <c:v>-38.807340616432874</c:v>
                </c:pt>
                <c:pt idx="591">
                  <c:v>-41.65081131875057</c:v>
                </c:pt>
                <c:pt idx="592">
                  <c:v>-44.550935311329447</c:v>
                </c:pt>
                <c:pt idx="593">
                  <c:v>-47.496253236403803</c:v>
                </c:pt>
                <c:pt idx="594">
                  <c:v>-50.475537511788289</c:v>
                </c:pt>
                <c:pt idx="595">
                  <c:v>-53.480539445677721</c:v>
                </c:pt>
                <c:pt idx="596">
                  <c:v>-56.503106437249585</c:v>
                </c:pt>
                <c:pt idx="597">
                  <c:v>-59.537363387321271</c:v>
                </c:pt>
                <c:pt idx="598">
                  <c:v>-62.576814133928657</c:v>
                </c:pt>
                <c:pt idx="599">
                  <c:v>-65.617061658882065</c:v>
                </c:pt>
                <c:pt idx="600">
                  <c:v>-68.65288699108558</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-61.1313155481499</c:v>
                </c:pt>
                <c:pt idx="1">
                  <c:v>-63.307317631873943</c:v>
                </c:pt>
                <c:pt idx="2">
                  <c:v>-65.366976068041566</c:v>
                </c:pt>
                <c:pt idx="3">
                  <c:v>-67.306553049332479</c:v>
                </c:pt>
                <c:pt idx="4">
                  <c:v>-69.1236168919759</c:v>
                </c:pt>
                <c:pt idx="5">
                  <c:v>-70.821919688582327</c:v>
                </c:pt>
                <c:pt idx="6">
                  <c:v>-72.401418637956738</c:v>
                </c:pt>
                <c:pt idx="7">
                  <c:v>-73.866968205705618</c:v>
                </c:pt>
                <c:pt idx="8">
                  <c:v>-75.222282846282397</c:v>
                </c:pt>
                <c:pt idx="9">
                  <c:v>-76.473827854948496</c:v>
                </c:pt>
                <c:pt idx="10">
                  <c:v>-77.626700431038543</c:v>
                </c:pt>
                <c:pt idx="11">
                  <c:v>-78.687149188070961</c:v>
                </c:pt>
                <c:pt idx="12">
                  <c:v>-79.661771677444932</c:v>
                </c:pt>
                <c:pt idx="13">
                  <c:v>-80.55564553486299</c:v>
                </c:pt>
                <c:pt idx="14">
                  <c:v>-81.375350918970312</c:v>
                </c:pt>
                <c:pt idx="15">
                  <c:v>-82.126159573877601</c:v>
                </c:pt>
                <c:pt idx="16">
                  <c:v>-82.813479468177277</c:v>
                </c:pt>
                <c:pt idx="17">
                  <c:v>-83.442266052937867</c:v>
                </c:pt>
                <c:pt idx="18">
                  <c:v>-84.017431627371479</c:v>
                </c:pt>
                <c:pt idx="19">
                  <c:v>-84.543236141045583</c:v>
                </c:pt>
                <c:pt idx="20">
                  <c:v>-85.023896065646511</c:v>
                </c:pt>
                <c:pt idx="21">
                  <c:v>-85.463124826988519</c:v>
                </c:pt>
                <c:pt idx="22">
                  <c:v>-85.864540263314765</c:v>
                </c:pt>
                <c:pt idx="23">
                  <c:v>-86.231295720614582</c:v>
                </c:pt>
                <c:pt idx="24">
                  <c:v>-86.566480496754664</c:v>
                </c:pt>
                <c:pt idx="25">
                  <c:v>-86.872793705491475</c:v>
                </c:pt>
                <c:pt idx="26">
                  <c:v>-87.152832113139311</c:v>
                </c:pt>
                <c:pt idx="27">
                  <c:v>-87.408828562646576</c:v>
                </c:pt>
                <c:pt idx="28">
                  <c:v>-87.642933548609889</c:v>
                </c:pt>
                <c:pt idx="29">
                  <c:v>-87.856981704478926</c:v>
                </c:pt>
                <c:pt idx="30">
                  <c:v>-88.053121328186023</c:v>
                </c:pt>
                <c:pt idx="31">
                  <c:v>-88.232708955544339</c:v>
                </c:pt>
                <c:pt idx="32">
                  <c:v>-88.397381338996098</c:v>
                </c:pt>
                <c:pt idx="33">
                  <c:v>-88.54841166713318</c:v>
                </c:pt>
                <c:pt idx="34">
                  <c:v>-88.687193061359437</c:v>
                </c:pt>
                <c:pt idx="35">
                  <c:v>-88.814817122223957</c:v>
                </c:pt>
                <c:pt idx="36">
                  <c:v>-88.932386869137787</c:v>
                </c:pt>
                <c:pt idx="37">
                  <c:v>-89.040954704644889</c:v>
                </c:pt>
                <c:pt idx="38">
                  <c:v>-89.141335993483381</c:v>
                </c:pt>
                <c:pt idx="39">
                  <c:v>-89.23446398817488</c:v>
                </c:pt>
                <c:pt idx="40">
                  <c:v>-89.321089576640702</c:v>
                </c:pt>
                <c:pt idx="41">
                  <c:v>-89.401954744920829</c:v>
                </c:pt>
                <c:pt idx="42">
                  <c:v>-89.477734465153262</c:v>
                </c:pt>
                <c:pt idx="43">
                  <c:v>-89.549093043403587</c:v>
                </c:pt>
                <c:pt idx="44">
                  <c:v>-89.616615779233044</c:v>
                </c:pt>
                <c:pt idx="45">
                  <c:v>-89.680888563729766</c:v>
                </c:pt>
                <c:pt idx="46">
                  <c:v>-89.742442847060914</c:v>
                </c:pt>
                <c:pt idx="47">
                  <c:v>-89.801813097834042</c:v>
                </c:pt>
                <c:pt idx="48">
                  <c:v>-89.859487007915561</c:v>
                </c:pt>
                <c:pt idx="49">
                  <c:v>-89.915966850106955</c:v>
                </c:pt>
                <c:pt idx="50">
                  <c:v>-89.971720433192104</c:v>
                </c:pt>
                <c:pt idx="51">
                  <c:v>-90.027230437161435</c:v>
                </c:pt>
                <c:pt idx="52">
                  <c:v>-90.082945693763477</c:v>
                </c:pt>
                <c:pt idx="53">
                  <c:v>-90.139335046779294</c:v>
                </c:pt>
                <c:pt idx="54">
                  <c:v>-90.196832528232861</c:v>
                </c:pt>
                <c:pt idx="55">
                  <c:v>-90.256013404890268</c:v>
                </c:pt>
                <c:pt idx="56">
                  <c:v>-90.317284207529539</c:v>
                </c:pt>
                <c:pt idx="57">
                  <c:v>-90.381187505040728</c:v>
                </c:pt>
                <c:pt idx="58">
                  <c:v>-90.448194381621065</c:v>
                </c:pt>
                <c:pt idx="59">
                  <c:v>-90.518892174903996</c:v>
                </c:pt>
                <c:pt idx="60">
                  <c:v>-90.593798489494077</c:v>
                </c:pt>
                <c:pt idx="61">
                  <c:v>-90.673501917914621</c:v>
                </c:pt>
                <c:pt idx="62">
                  <c:v>-90.758650804160425</c:v>
                </c:pt>
                <c:pt idx="63">
                  <c:v>-90.849789073901832</c:v>
                </c:pt>
                <c:pt idx="64">
                  <c:v>-90.94763536051299</c:v>
                </c:pt>
                <c:pt idx="65">
                  <c:v>-91.052819957376855</c:v>
                </c:pt>
                <c:pt idx="66">
                  <c:v>-91.166028635882583</c:v>
                </c:pt>
                <c:pt idx="67">
                  <c:v>-91.287925418524509</c:v>
                </c:pt>
                <c:pt idx="68">
                  <c:v>-91.419219219769857</c:v>
                </c:pt>
                <c:pt idx="69">
                  <c:v>-91.560523053228437</c:v>
                </c:pt>
                <c:pt idx="70">
                  <c:v>-91.712464501543749</c:v>
                </c:pt>
                <c:pt idx="71">
                  <c:v>-91.875534843684406</c:v>
                </c:pt>
                <c:pt idx="72">
                  <c:v>-92.050178144220624</c:v>
                </c:pt>
                <c:pt idx="73">
                  <c:v>-92.236602487547842</c:v>
                </c:pt>
                <c:pt idx="74">
                  <c:v>-92.434897901215493</c:v>
                </c:pt>
                <c:pt idx="75">
                  <c:v>-92.644811340250968</c:v>
                </c:pt>
                <c:pt idx="76">
                  <c:v>-92.865842527365203</c:v>
                </c:pt>
                <c:pt idx="77">
                  <c:v>-93.096982651804041</c:v>
                </c:pt>
                <c:pt idx="78">
                  <c:v>-93.336859983813284</c:v>
                </c:pt>
                <c:pt idx="79">
                  <c:v>-93.583471400872213</c:v>
                </c:pt>
                <c:pt idx="80">
                  <c:v>-93.834923936573759</c:v>
                </c:pt>
                <c:pt idx="81">
                  <c:v>-94.088139026679741</c:v>
                </c:pt>
                <c:pt idx="82">
                  <c:v>-94.340243794201356</c:v>
                </c:pt>
                <c:pt idx="83">
                  <c:v>-94.587878561594081</c:v>
                </c:pt>
                <c:pt idx="84">
                  <c:v>-94.828153205363321</c:v>
                </c:pt>
                <c:pt idx="85">
                  <c:v>-95.058238025661225</c:v>
                </c:pt>
                <c:pt idx="86">
                  <c:v>-95.27617774040155</c:v>
                </c:pt>
                <c:pt idx="87">
                  <c:v>-95.481077937351245</c:v>
                </c:pt>
                <c:pt idx="88">
                  <c:v>-95.672964783387627</c:v>
                </c:pt>
                <c:pt idx="89">
                  <c:v>-95.853579165100129</c:v>
                </c:pt>
                <c:pt idx="90">
                  <c:v>-96.025810961508427</c:v>
                </c:pt>
                <c:pt idx="91">
                  <c:v>-96.193915554850733</c:v>
                </c:pt>
                <c:pt idx="92">
                  <c:v>-96.3631856276495</c:v>
                </c:pt>
                <c:pt idx="93">
                  <c:v>-96.539801268265236</c:v>
                </c:pt>
                <c:pt idx="94">
                  <c:v>-96.585852808758887</c:v>
                </c:pt>
                <c:pt idx="95">
                  <c:v>-96.60938470285214</c:v>
                </c:pt>
                <c:pt idx="96">
                  <c:v>-96.632904355997411</c:v>
                </c:pt>
                <c:pt idx="97">
                  <c:v>-96.656967515682894</c:v>
                </c:pt>
                <c:pt idx="98">
                  <c:v>-96.681039366357552</c:v>
                </c:pt>
                <c:pt idx="99">
                  <c:v>-96.705694614178029</c:v>
                </c:pt>
                <c:pt idx="100">
                  <c:v>-96.730378985052752</c:v>
                </c:pt>
                <c:pt idx="101">
                  <c:v>-96.755668229025872</c:v>
                </c:pt>
                <c:pt idx="102">
                  <c:v>-96.781006429895129</c:v>
                </c:pt>
                <c:pt idx="103">
                  <c:v>-96.807009135199465</c:v>
                </c:pt>
                <c:pt idx="104">
                  <c:v>-96.833080133080401</c:v>
                </c:pt>
                <c:pt idx="105">
                  <c:v>-96.859837820303269</c:v>
                </c:pt>
                <c:pt idx="106">
                  <c:v>-96.886682447837586</c:v>
                </c:pt>
                <c:pt idx="107">
                  <c:v>-96.914235987732155</c:v>
                </c:pt>
                <c:pt idx="108">
                  <c:v>-96.941894329122647</c:v>
                </c:pt>
                <c:pt idx="109">
                  <c:v>-96.970303063770757</c:v>
                </c:pt>
                <c:pt idx="110">
                  <c:v>-96.998833762293643</c:v>
                </c:pt>
                <c:pt idx="111">
                  <c:v>-97.028176162331349</c:v>
                </c:pt>
                <c:pt idx="112">
                  <c:v>-97.057657170068168</c:v>
                </c:pt>
                <c:pt idx="113">
                  <c:v>-97.087972537294064</c:v>
                </c:pt>
                <c:pt idx="114">
                  <c:v>-97.118442275899696</c:v>
                </c:pt>
                <c:pt idx="115">
                  <c:v>-97.149788644803948</c:v>
                </c:pt>
                <c:pt idx="116">
                  <c:v>-97.181304423164732</c:v>
                </c:pt>
                <c:pt idx="117">
                  <c:v>-97.213739311177548</c:v>
                </c:pt>
                <c:pt idx="118">
                  <c:v>-97.24635791380075</c:v>
                </c:pt>
                <c:pt idx="119">
                  <c:v>-97.279917874665387</c:v>
                </c:pt>
                <c:pt idx="120">
                  <c:v>-97.313674875592142</c:v>
                </c:pt>
                <c:pt idx="121">
                  <c:v>-97.348415548870975</c:v>
                </c:pt>
                <c:pt idx="122">
                  <c:v>-97.383365822881757</c:v>
                </c:pt>
                <c:pt idx="123">
                  <c:v>-97.419363076313374</c:v>
                </c:pt>
                <c:pt idx="124">
                  <c:v>-97.455581985987223</c:v>
                </c:pt>
                <c:pt idx="125">
                  <c:v>-97.492869691534139</c:v>
                </c:pt>
                <c:pt idx="126">
                  <c:v>-97.530390099725594</c:v>
                </c:pt>
                <c:pt idx="127">
                  <c:v>-97.56902180408072</c:v>
                </c:pt>
                <c:pt idx="128">
                  <c:v>-97.607896501234393</c:v>
                </c:pt>
                <c:pt idx="129">
                  <c:v>-97.64792499558574</c:v>
                </c:pt>
                <c:pt idx="130">
                  <c:v>-97.688206023117004</c:v>
                </c:pt>
                <c:pt idx="131">
                  <c:v>-97.72968332154538</c:v>
                </c:pt>
                <c:pt idx="132">
                  <c:v>-97.750520083743908</c:v>
                </c:pt>
                <c:pt idx="133">
                  <c:v>-97.771421951729337</c:v>
                </c:pt>
                <c:pt idx="134">
                  <c:v>-97.792887886018818</c:v>
                </c:pt>
                <c:pt idx="135">
                  <c:v>-97.814421528772172</c:v>
                </c:pt>
                <c:pt idx="136">
                  <c:v>-97.836022593217052</c:v>
                </c:pt>
                <c:pt idx="137">
                  <c:v>-97.857690780889783</c:v>
                </c:pt>
                <c:pt idx="138">
                  <c:v>-97.879920023103423</c:v>
                </c:pt>
                <c:pt idx="139">
                  <c:v>-97.902218805343637</c:v>
                </c:pt>
                <c:pt idx="140">
                  <c:v>-97.924586775114548</c:v>
                </c:pt>
                <c:pt idx="141">
                  <c:v>-97.947023570186403</c:v>
                </c:pt>
                <c:pt idx="142">
                  <c:v>-97.97006332351485</c:v>
                </c:pt>
                <c:pt idx="143">
                  <c:v>-97.993174408448795</c:v>
                </c:pt>
                <c:pt idx="144">
                  <c:v>-98.016356409029385</c:v>
                </c:pt>
                <c:pt idx="145">
                  <c:v>-98.039608901434221</c:v>
                </c:pt>
                <c:pt idx="146">
                  <c:v>-98.063472527793351</c:v>
                </c:pt>
                <c:pt idx="147">
                  <c:v>-98.087409029389292</c:v>
                </c:pt>
                <c:pt idx="148">
                  <c:v>-98.111417930699844</c:v>
                </c:pt>
                <c:pt idx="149">
                  <c:v>-98.135498750177064</c:v>
                </c:pt>
                <c:pt idx="150">
                  <c:v>-98.160210275335487</c:v>
                </c:pt>
                <c:pt idx="151">
                  <c:v>-98.18499604612974</c:v>
                </c:pt>
                <c:pt idx="152">
                  <c:v>-98.209855530889939</c:v>
                </c:pt>
                <c:pt idx="153">
                  <c:v>-98.234788193699671</c:v>
                </c:pt>
                <c:pt idx="154">
                  <c:v>-98.260383002642669</c:v>
                </c:pt>
                <c:pt idx="155">
                  <c:v>-98.286053327957376</c:v>
                </c:pt>
                <c:pt idx="156">
                  <c:v>-98.311798584454664</c:v>
                </c:pt>
                <c:pt idx="157">
                  <c:v>-98.33761818441117</c:v>
                </c:pt>
                <c:pt idx="158">
                  <c:v>-98.364119852418668</c:v>
                </c:pt>
                <c:pt idx="159">
                  <c:v>-98.390698141019129</c:v>
                </c:pt>
                <c:pt idx="160">
                  <c:v>-98.417352414851436</c:v>
                </c:pt>
                <c:pt idx="161">
                  <c:v>-98.444082037673198</c:v>
                </c:pt>
                <c:pt idx="162">
                  <c:v>-98.471501635119907</c:v>
                </c:pt>
                <c:pt idx="163">
                  <c:v>-98.498998727523258</c:v>
                </c:pt>
                <c:pt idx="164">
                  <c:v>-98.526572633617803</c:v>
                </c:pt>
                <c:pt idx="165">
                  <c:v>-98.554222672843466</c:v>
                </c:pt>
                <c:pt idx="166">
                  <c:v>-98.582606886947275</c:v>
                </c:pt>
                <c:pt idx="167">
                  <c:v>-98.611069450078048</c:v>
                </c:pt>
                <c:pt idx="168">
                  <c:v>-98.6396096366406</c:v>
                </c:pt>
                <c:pt idx="169">
                  <c:v>-98.668226723265889</c:v>
                </c:pt>
                <c:pt idx="170">
                  <c:v>-98.697536554045158</c:v>
                </c:pt>
                <c:pt idx="171">
                  <c:v>-98.726925103442085</c:v>
                </c:pt>
                <c:pt idx="172">
                  <c:v>-98.756391609631393</c:v>
                </c:pt>
                <c:pt idx="173">
                  <c:v>-98.785935314436756</c:v>
                </c:pt>
                <c:pt idx="174">
                  <c:v>-98.816303171360246</c:v>
                </c:pt>
                <c:pt idx="175">
                  <c:v>-98.846750567327021</c:v>
                </c:pt>
                <c:pt idx="176">
                  <c:v>-98.877276698921889</c:v>
                </c:pt>
                <c:pt idx="177">
                  <c:v>-98.907880767784917</c:v>
                </c:pt>
                <c:pt idx="178">
                  <c:v>-98.939317401990593</c:v>
                </c:pt>
                <c:pt idx="179">
                  <c:v>-98.970834173913104</c:v>
                </c:pt>
                <c:pt idx="180">
                  <c:v>-99.002430242663337</c:v>
                </c:pt>
                <c:pt idx="181">
                  <c:v>-99.034104773749235</c:v>
                </c:pt>
                <c:pt idx="182">
                  <c:v>-99.066492768768995</c:v>
                </c:pt>
                <c:pt idx="183">
                  <c:v>-99.098960663233257</c:v>
                </c:pt>
                <c:pt idx="184">
                  <c:v>-99.131507593138508</c:v>
                </c:pt>
                <c:pt idx="185">
                  <c:v>-99.164132702023153</c:v>
                </c:pt>
                <c:pt idx="186">
                  <c:v>-99.197733937595004</c:v>
                </c:pt>
                <c:pt idx="187">
                  <c:v>-99.231415895126972</c:v>
                </c:pt>
                <c:pt idx="188">
                  <c:v>-99.265177671265832</c:v>
                </c:pt>
                <c:pt idx="189">
                  <c:v>-99.29901837149896</c:v>
                </c:pt>
                <c:pt idx="190">
                  <c:v>-99.333585167504737</c:v>
                </c:pt>
                <c:pt idx="191">
                  <c:v>-99.368232081347401</c:v>
                </c:pt>
                <c:pt idx="192">
                  <c:v>-99.402958195085503</c:v>
                </c:pt>
                <c:pt idx="193">
                  <c:v>-99.437762600559324</c:v>
                </c:pt>
                <c:pt idx="194">
                  <c:v>-99.473559936536631</c:v>
                </c:pt>
                <c:pt idx="195">
                  <c:v>-99.509437817123811</c:v>
                </c:pt>
                <c:pt idx="196">
                  <c:v>-99.54539529313908</c:v>
                </c:pt>
                <c:pt idx="197">
                  <c:v>-99.581431426323292</c:v>
                </c:pt>
                <c:pt idx="198">
                  <c:v>-99.618336966612318</c:v>
                </c:pt>
                <c:pt idx="199">
                  <c:v>-99.655322700413734</c:v>
                </c:pt>
                <c:pt idx="200">
                  <c:v>-99.69238766173018</c:v>
                </c:pt>
                <c:pt idx="201">
                  <c:v>-99.729530896381718</c:v>
                </c:pt>
                <c:pt idx="202">
                  <c:v>-99.767549884924065</c:v>
                </c:pt>
                <c:pt idx="203">
                  <c:v>-99.805648562449989</c:v>
                </c:pt>
                <c:pt idx="204">
                  <c:v>-99.843825949968164</c:v>
                </c:pt>
                <c:pt idx="205">
                  <c:v>-99.882081081100011</c:v>
                </c:pt>
                <c:pt idx="206">
                  <c:v>-99.921352150611739</c:v>
                </c:pt>
                <c:pt idx="207">
                  <c:v>-99.960702802814083</c:v>
                </c:pt>
                <c:pt idx="208">
                  <c:v>-100.00013203923935</c:v>
                </c:pt>
                <c:pt idx="209">
                  <c:v>-100.03963887491142</c:v>
                </c:pt>
                <c:pt idx="210">
                  <c:v>-100.08030418094633</c:v>
                </c:pt>
                <c:pt idx="211">
                  <c:v>-100.12104931744932</c:v>
                </c:pt>
                <c:pt idx="212">
                  <c:v>-100.1618732602271</c:v>
                </c:pt>
                <c:pt idx="213">
                  <c:v>-100.20277499955861</c:v>
                </c:pt>
                <c:pt idx="214">
                  <c:v>-100.24457116200587</c:v>
                </c:pt>
                <c:pt idx="215">
                  <c:v>-100.28644617707204</c:v>
                </c:pt>
                <c:pt idx="216">
                  <c:v>-100.32839901897191</c:v>
                </c:pt>
                <c:pt idx="217">
                  <c:v>-100.37042867689935</c:v>
                </c:pt>
                <c:pt idx="218">
                  <c:v>-100.41349509096878</c:v>
                </c:pt>
                <c:pt idx="219">
                  <c:v>-100.45663977224207</c:v>
                </c:pt>
                <c:pt idx="220">
                  <c:v>-100.4998616866267</c:v>
                </c:pt>
                <c:pt idx="221">
                  <c:v>-100.54315981561653</c:v>
                </c:pt>
                <c:pt idx="222">
                  <c:v>-100.5875009271036</c:v>
                </c:pt>
                <c:pt idx="223">
                  <c:v>-100.63191958554827</c:v>
                </c:pt>
                <c:pt idx="224">
                  <c:v>-100.67641475195042</c:v>
                </c:pt>
                <c:pt idx="225">
                  <c:v>-100.72098540341248</c:v>
                </c:pt>
                <c:pt idx="226">
                  <c:v>-100.76674412673482</c:v>
                </c:pt>
                <c:pt idx="227">
                  <c:v>-100.81258001954811</c:v>
                </c:pt>
                <c:pt idx="228">
                  <c:v>-100.85849203167484</c:v>
                </c:pt>
                <c:pt idx="229">
                  <c:v>-100.9044791296683</c:v>
                </c:pt>
                <c:pt idx="230">
                  <c:v>-100.99891998770298</c:v>
                </c:pt>
                <c:pt idx="231">
                  <c:v>-101.0462543182413</c:v>
                </c:pt>
                <c:pt idx="232">
                  <c:v>-101.09366319000995</c:v>
                </c:pt>
                <c:pt idx="233">
                  <c:v>-101.14227364290217</c:v>
                </c:pt>
                <c:pt idx="234">
                  <c:v>-101.19096006540491</c:v>
                </c:pt>
                <c:pt idx="235">
                  <c:v>-101.2397213955114</c:v>
                </c:pt>
                <c:pt idx="236">
                  <c:v>-101.28855658893734</c:v>
                </c:pt>
                <c:pt idx="237">
                  <c:v>-101.33845770249739</c:v>
                </c:pt>
                <c:pt idx="238">
                  <c:v>-101.38843356594083</c:v>
                </c:pt>
                <c:pt idx="239">
                  <c:v>-101.43848312518466</c:v>
                </c:pt>
                <c:pt idx="240">
                  <c:v>-101.48860534403104</c:v>
                </c:pt>
                <c:pt idx="241">
                  <c:v>-101.54008349995897</c:v>
                </c:pt>
                <c:pt idx="242">
                  <c:v>-101.5916359272765</c:v>
                </c:pt>
                <c:pt idx="243">
                  <c:v>-101.64326156475688</c:v>
                </c:pt>
                <c:pt idx="244">
                  <c:v>-101.69495936954554</c:v>
                </c:pt>
                <c:pt idx="245">
                  <c:v>-101.74787634913362</c:v>
                </c:pt>
                <c:pt idx="246">
                  <c:v>-101.80086658395436</c:v>
                </c:pt>
                <c:pt idx="247">
                  <c:v>-101.8539290175609</c:v>
                </c:pt>
                <c:pt idx="248">
                  <c:v>-101.90706261207845</c:v>
                </c:pt>
                <c:pt idx="249">
                  <c:v>-101.96156486769931</c:v>
                </c:pt>
                <c:pt idx="250">
                  <c:v>-102.01613965121852</c:v>
                </c:pt>
                <c:pt idx="251">
                  <c:v>-102.0707859052343</c:v>
                </c:pt>
                <c:pt idx="252">
                  <c:v>-102.12550259123726</c:v>
                </c:pt>
                <c:pt idx="253">
                  <c:v>-102.18144892610941</c:v>
                </c:pt>
                <c:pt idx="254">
                  <c:v>-102.23746657559514</c:v>
                </c:pt>
                <c:pt idx="255">
                  <c:v>-102.29355449241243</c:v>
                </c:pt>
                <c:pt idx="256">
                  <c:v>-102.34971164821494</c:v>
                </c:pt>
                <c:pt idx="257">
                  <c:v>-102.40739454715307</c:v>
                </c:pt>
                <c:pt idx="258">
                  <c:v>-102.46514818588604</c:v>
                </c:pt>
                <c:pt idx="259">
                  <c:v>-102.5229715136597</c:v>
                </c:pt>
                <c:pt idx="260">
                  <c:v>-102.58086349901423</c:v>
                </c:pt>
                <c:pt idx="261">
                  <c:v>-102.64014117204553</c:v>
                </c:pt>
                <c:pt idx="262">
                  <c:v>-102.69948853669135</c:v>
                </c:pt>
                <c:pt idx="263">
                  <c:v>-102.75890454956891</c:v>
                </c:pt>
                <c:pt idx="264">
                  <c:v>-102.8183881866739</c:v>
                </c:pt>
                <c:pt idx="265">
                  <c:v>-102.87926253107082</c:v>
                </c:pt>
                <c:pt idx="266">
                  <c:v>-102.94020543497727</c:v>
                </c:pt>
                <c:pt idx="267">
                  <c:v>-103.00121586471491</c:v>
                </c:pt>
                <c:pt idx="268">
                  <c:v>-103.06229280599798</c:v>
                </c:pt>
                <c:pt idx="269">
                  <c:v>-103.12491293664797</c:v>
                </c:pt>
                <c:pt idx="270">
                  <c:v>-103.18760073784352</c:v>
                </c:pt>
                <c:pt idx="271">
                  <c:v>-103.25035518052503</c:v>
                </c:pt>
                <c:pt idx="272">
                  <c:v>-103.31317525515458</c:v>
                </c:pt>
                <c:pt idx="273">
                  <c:v>-103.37754387369266</c:v>
                </c:pt>
                <c:pt idx="274">
                  <c:v>-103.44197917695</c:v>
                </c:pt>
                <c:pt idx="275">
                  <c:v>-103.50648014301385</c:v>
                </c:pt>
                <c:pt idx="276">
                  <c:v>-103.57104576954936</c:v>
                </c:pt>
                <c:pt idx="277">
                  <c:v>-103.63701597941066</c:v>
                </c:pt>
                <c:pt idx="278">
                  <c:v>-103.70305150944802</c:v>
                </c:pt>
                <c:pt idx="279">
                  <c:v>-103.76915135396273</c:v>
                </c:pt>
                <c:pt idx="280">
                  <c:v>-103.83531452664809</c:v>
                </c:pt>
                <c:pt idx="281">
                  <c:v>-103.90333483832558</c:v>
                </c:pt>
                <c:pt idx="282">
                  <c:v>-103.97141990734376</c:v>
                </c:pt>
                <c:pt idx="283">
                  <c:v>-104.03956872604806</c:v>
                </c:pt>
                <c:pt idx="284">
                  <c:v>-104.10778030644691</c:v>
                </c:pt>
                <c:pt idx="285">
                  <c:v>-104.17740475883134</c:v>
                </c:pt>
                <c:pt idx="286">
                  <c:v>-104.24709246559878</c:v>
                </c:pt>
                <c:pt idx="287">
                  <c:v>-104.31684243924202</c:v>
                </c:pt>
                <c:pt idx="288">
                  <c:v>-104.38665371160667</c:v>
                </c:pt>
                <c:pt idx="289">
                  <c:v>-104.45833315032743</c:v>
                </c:pt>
                <c:pt idx="290">
                  <c:v>-104.53007509584828</c:v>
                </c:pt>
                <c:pt idx="291">
                  <c:v>-104.60187856348659</c:v>
                </c:pt>
                <c:pt idx="292">
                  <c:v>-104.67374258804477</c:v>
                </c:pt>
                <c:pt idx="293">
                  <c:v>-104.7473290214307</c:v>
                </c:pt>
                <c:pt idx="294">
                  <c:v>-104.82097685940954</c:v>
                </c:pt>
                <c:pt idx="295">
                  <c:v>-104.89468512866186</c:v>
                </c:pt>
                <c:pt idx="296">
                  <c:v>-104.96845287525329</c:v>
                </c:pt>
                <c:pt idx="297">
                  <c:v>-105.04394736733616</c:v>
                </c:pt>
                <c:pt idx="298">
                  <c:v>-105.11950209646379</c:v>
                </c:pt>
                <c:pt idx="299">
                  <c:v>-105.19511610249697</c:v>
                </c:pt>
                <c:pt idx="300">
                  <c:v>-105.27078844452454</c:v>
                </c:pt>
                <c:pt idx="301">
                  <c:v>-105.34819158719542</c:v>
                </c:pt>
                <c:pt idx="302">
                  <c:v>-105.42565374330252</c:v>
                </c:pt>
                <c:pt idx="303">
                  <c:v>-105.50317396749206</c:v>
                </c:pt>
                <c:pt idx="304">
                  <c:v>-105.58075133342973</c:v>
                </c:pt>
                <c:pt idx="305">
                  <c:v>-105.66036844538351</c:v>
                </c:pt>
                <c:pt idx="306">
                  <c:v>-105.74004374118215</c:v>
                </c:pt>
                <c:pt idx="307">
                  <c:v>-105.81977628100668</c:v>
                </c:pt>
                <c:pt idx="308">
                  <c:v>-105.89956514408824</c:v>
                </c:pt>
                <c:pt idx="309">
                  <c:v>-105.98109256043057</c:v>
                </c:pt>
                <c:pt idx="310">
                  <c:v>-106.06267681733689</c:v>
                </c:pt>
                <c:pt idx="311">
                  <c:v>-106.144316993082</c:v>
                </c:pt>
                <c:pt idx="312">
                  <c:v>-106.22601218467602</c:v>
                </c:pt>
                <c:pt idx="313">
                  <c:v>-106.30975606221348</c:v>
                </c:pt>
                <c:pt idx="314">
                  <c:v>-106.39355581204326</c:v>
                </c:pt>
                <c:pt idx="315">
                  <c:v>-106.4774105216368</c:v>
                </c:pt>
                <c:pt idx="316">
                  <c:v>-106.56131929711802</c:v>
                </c:pt>
                <c:pt idx="317">
                  <c:v>-106.64728099842273</c:v>
                </c:pt>
                <c:pt idx="318">
                  <c:v>-106.73329753253427</c:v>
                </c:pt>
                <c:pt idx="319">
                  <c:v>-106.81936799795832</c:v>
                </c:pt>
                <c:pt idx="320">
                  <c:v>-106.90549151171314</c:v>
                </c:pt>
                <c:pt idx="321">
                  <c:v>-106.99367190890621</c:v>
                </c:pt>
                <c:pt idx="322">
                  <c:v>-107.08190603729777</c:v>
                </c:pt>
                <c:pt idx="323">
                  <c:v>-107.17019300805883</c:v>
                </c:pt>
                <c:pt idx="324">
                  <c:v>-107.25853195068119</c:v>
                </c:pt>
                <c:pt idx="325">
                  <c:v>-107.34893146508044</c:v>
                </c:pt>
                <c:pt idx="326">
                  <c:v>-107.43938355547535</c:v>
                </c:pt>
                <c:pt idx="327">
                  <c:v>-107.5298873471324</c:v>
                </c:pt>
                <c:pt idx="328">
                  <c:v>-107.62044198340018</c:v>
                </c:pt>
                <c:pt idx="329">
                  <c:v>-107.71321554731429</c:v>
                </c:pt>
                <c:pt idx="330">
                  <c:v>-107.80604065688439</c:v>
                </c:pt>
                <c:pt idx="331">
                  <c:v>-107.89891644843571</c:v>
                </c:pt>
                <c:pt idx="332">
                  <c:v>-107.99184207621281</c:v>
                </c:pt>
                <c:pt idx="333">
                  <c:v>-108.0868350626384</c:v>
                </c:pt>
                <c:pt idx="334">
                  <c:v>-108.18187834230126</c:v>
                </c:pt>
                <c:pt idx="335">
                  <c:v>-108.2769710681978</c:v>
                </c:pt>
                <c:pt idx="336">
                  <c:v>-108.37211241091823</c:v>
                </c:pt>
                <c:pt idx="337">
                  <c:v>-108.46963521895415</c:v>
                </c:pt>
                <c:pt idx="338">
                  <c:v>-108.56720734840303</c:v>
                </c:pt>
                <c:pt idx="339">
                  <c:v>-108.66482796189244</c:v>
                </c:pt>
                <c:pt idx="340">
                  <c:v>-108.76249623950547</c:v>
                </c:pt>
                <c:pt idx="341">
                  <c:v>-108.8625496284965</c:v>
                </c:pt>
                <c:pt idx="342">
                  <c:v>-108.96265130381393</c:v>
                </c:pt>
                <c:pt idx="343">
                  <c:v>-109.06280043925112</c:v>
                </c:pt>
                <c:pt idx="344">
                  <c:v>-109.16299622586878</c:v>
                </c:pt>
                <c:pt idx="345">
                  <c:v>-109.26542433150628</c:v>
                </c:pt>
                <c:pt idx="346">
                  <c:v>-109.36789949073975</c:v>
                </c:pt>
                <c:pt idx="347">
                  <c:v>-109.4704208935399</c:v>
                </c:pt>
                <c:pt idx="348">
                  <c:v>-109.57298774680994</c:v>
                </c:pt>
                <c:pt idx="349">
                  <c:v>-109.67810254576447</c:v>
                </c:pt>
                <c:pt idx="350">
                  <c:v>-109.78326340708196</c:v>
                </c:pt>
                <c:pt idx="351">
                  <c:v>-109.88846953062237</c:v>
                </c:pt>
                <c:pt idx="352">
                  <c:v>-109.99372013300972</c:v>
                </c:pt>
                <c:pt idx="353">
                  <c:v>-110.10152198123326</c:v>
                </c:pt>
                <c:pt idx="354">
                  <c:v>-110.20936884171353</c:v>
                </c:pt>
                <c:pt idx="355">
                  <c:v>-110.31725992555245</c:v>
                </c:pt>
                <c:pt idx="356">
                  <c:v>-110.42519446040252</c:v>
                </c:pt>
                <c:pt idx="357">
                  <c:v>-110.53552631472783</c:v>
                </c:pt>
                <c:pt idx="358">
                  <c:v>-110.64590195600923</c:v>
                </c:pt>
                <c:pt idx="359">
                  <c:v>-110.75632061102739</c:v>
                </c:pt>
                <c:pt idx="360">
                  <c:v>-110.86678152276789</c:v>
                </c:pt>
                <c:pt idx="361">
                  <c:v>-110.97995663618323</c:v>
                </c:pt>
                <c:pt idx="362">
                  <c:v>-111.09317451765861</c:v>
                </c:pt>
                <c:pt idx="363">
                  <c:v>-111.20643440401365</c:v>
                </c:pt>
                <c:pt idx="364">
                  <c:v>-111.31973554807577</c:v>
                </c:pt>
                <c:pt idx="365">
                  <c:v>-111.43559637681969</c:v>
                </c:pt>
                <c:pt idx="366">
                  <c:v>-111.55149878783628</c:v>
                </c:pt>
                <c:pt idx="367">
                  <c:v>-111.66744203216635</c:v>
                </c:pt>
                <c:pt idx="368">
                  <c:v>-111.78342537653629</c:v>
                </c:pt>
                <c:pt idx="369">
                  <c:v>-111.90228610264701</c:v>
                </c:pt>
                <c:pt idx="370">
                  <c:v>-112.02118740488922</c:v>
                </c:pt>
                <c:pt idx="371">
                  <c:v>-112.14012854337315</c:v>
                </c:pt>
                <c:pt idx="372">
                  <c:v>-112.2591087937065</c:v>
                </c:pt>
                <c:pt idx="373">
                  <c:v>-112.3808113282621</c:v>
                </c:pt>
                <c:pt idx="374">
                  <c:v>-112.50255327410568</c:v>
                </c:pt>
                <c:pt idx="375">
                  <c:v>-112.62433390433974</c:v>
                </c:pt>
                <c:pt idx="376">
                  <c:v>-112.74615250725748</c:v>
                </c:pt>
                <c:pt idx="377">
                  <c:v>-112.87101178416347</c:v>
                </c:pt>
                <c:pt idx="378">
                  <c:v>-112.99590946265889</c:v>
                </c:pt>
                <c:pt idx="379">
                  <c:v>-113.12084482410184</c:v>
                </c:pt>
                <c:pt idx="380">
                  <c:v>-113.24581716485594</c:v>
                </c:pt>
                <c:pt idx="381">
                  <c:v>-113.37351624887745</c:v>
                </c:pt>
                <c:pt idx="382">
                  <c:v>-113.50125248271132</c:v>
                </c:pt>
                <c:pt idx="383">
                  <c:v>-113.62902516222304</c:v>
                </c:pt>
                <c:pt idx="384">
                  <c:v>-113.75683359791455</c:v>
                </c:pt>
                <c:pt idx="385">
                  <c:v>-113.88784591903554</c:v>
                </c:pt>
                <c:pt idx="386">
                  <c:v>-114.01889436988967</c:v>
                </c:pt>
                <c:pt idx="387">
                  <c:v>-114.14997825371006</c:v>
                </c:pt>
                <c:pt idx="388">
                  <c:v>-114.28109688818311</c:v>
                </c:pt>
                <c:pt idx="389">
                  <c:v>-114.41526318248006</c:v>
                </c:pt>
                <c:pt idx="390">
                  <c:v>-114.54946444270645</c:v>
                </c:pt>
                <c:pt idx="391">
                  <c:v>-114.68369998285384</c:v>
                </c:pt>
                <c:pt idx="392">
                  <c:v>-114.81796913107786</c:v>
                </c:pt>
                <c:pt idx="393">
                  <c:v>-114.95528784358922</c:v>
                </c:pt>
                <c:pt idx="394">
                  <c:v>-115.09264031387933</c:v>
                </c:pt>
                <c:pt idx="395">
                  <c:v>-115.23002586726139</c:v>
                </c:pt>
                <c:pt idx="396">
                  <c:v>-115.36744384289599</c:v>
                </c:pt>
                <c:pt idx="397">
                  <c:v>-115.50823091349315</c:v>
                </c:pt>
                <c:pt idx="398">
                  <c:v>-115.64905063914784</c:v>
                </c:pt>
                <c:pt idx="399">
                  <c:v>-115.7899023524426</c:v>
                </c:pt>
                <c:pt idx="400">
                  <c:v>-115.93078539958719</c:v>
                </c:pt>
                <c:pt idx="401">
                  <c:v>-116.07488038645538</c:v>
                </c:pt>
                <c:pt idx="402">
                  <c:v>-116.21900679705396</c:v>
                </c:pt>
                <c:pt idx="403">
                  <c:v>-116.36316397410503</c:v>
                </c:pt>
                <c:pt idx="404">
                  <c:v>-116.50735127364439</c:v>
                </c:pt>
                <c:pt idx="405">
                  <c:v>-116.65491118269512</c:v>
                </c:pt>
                <c:pt idx="406">
                  <c:v>-116.80250130397604</c:v>
                </c:pt>
                <c:pt idx="407">
                  <c:v>-116.95012098860572</c:v>
                </c:pt>
                <c:pt idx="408">
                  <c:v>-117.0977696007343</c:v>
                </c:pt>
                <c:pt idx="409">
                  <c:v>-117.24895159402537</c:v>
                </c:pt>
                <c:pt idx="410">
                  <c:v>-117.40016259584527</c:v>
                </c:pt>
                <c:pt idx="411">
                  <c:v>-117.5514019640941</c:v>
                </c:pt>
                <c:pt idx="412">
                  <c:v>-117.70266906944717</c:v>
                </c:pt>
                <c:pt idx="413">
                  <c:v>-117.85747095947133</c:v>
                </c:pt>
                <c:pt idx="414">
                  <c:v>-118.01230059399177</c:v>
                </c:pt>
                <c:pt idx="415">
                  <c:v>-118.16715733811935</c:v>
                </c:pt>
                <c:pt idx="416">
                  <c:v>-118.32204056945245</c:v>
                </c:pt>
                <c:pt idx="417">
                  <c:v>-118.48061930630179</c:v>
                </c:pt>
                <c:pt idx="418">
                  <c:v>-118.63922451867691</c:v>
                </c:pt>
                <c:pt idx="419">
                  <c:v>-118.7978555772869</c:v>
                </c:pt>
                <c:pt idx="420">
                  <c:v>-118.95651186506181</c:v>
                </c:pt>
                <c:pt idx="421">
                  <c:v>-119.11870510316027</c:v>
                </c:pt>
                <c:pt idx="422">
                  <c:v>-119.28092343350502</c:v>
                </c:pt>
                <c:pt idx="423">
                  <c:v>-119.44316623450179</c:v>
                </c:pt>
                <c:pt idx="424">
                  <c:v>-119.60543289643458</c:v>
                </c:pt>
                <c:pt idx="425">
                  <c:v>-119.771716463803</c:v>
                </c:pt>
                <c:pt idx="426">
                  <c:v>-119.93802382165525</c:v>
                </c:pt>
                <c:pt idx="427">
                  <c:v>-120.10435435075652</c:v>
                </c:pt>
                <c:pt idx="428">
                  <c:v>-120.2707074435183</c:v>
                </c:pt>
                <c:pt idx="429">
                  <c:v>-120.44091849430714</c:v>
                </c:pt>
                <c:pt idx="430">
                  <c:v>-120.61115191051762</c:v>
                </c:pt>
                <c:pt idx="431">
                  <c:v>-120.78140707724276</c:v>
                </c:pt>
                <c:pt idx="432">
                  <c:v>-120.95168339091225</c:v>
                </c:pt>
                <c:pt idx="433">
                  <c:v>-121.12581816713966</c:v>
                </c:pt>
                <c:pt idx="434">
                  <c:v>-121.2999738126374</c:v>
                </c:pt>
                <c:pt idx="435">
                  <c:v>-121.47414971675613</c:v>
                </c:pt>
                <c:pt idx="436">
                  <c:v>-121.64834527984696</c:v>
                </c:pt>
                <c:pt idx="437">
                  <c:v>-121.82671953559209</c:v>
                </c:pt>
                <c:pt idx="438">
                  <c:v>-122.00511316192514</c:v>
                </c:pt>
                <c:pt idx="439">
                  <c:v>-122.18352554896987</c:v>
                </c:pt>
                <c:pt idx="440">
                  <c:v>-122.3619560975654</c:v>
                </c:pt>
                <c:pt idx="441">
                  <c:v>-122.54456554604491</c:v>
                </c:pt>
                <c:pt idx="442">
                  <c:v>-122.72719277645302</c:v>
                </c:pt>
                <c:pt idx="443">
                  <c:v>-122.90983717952187</c:v>
                </c:pt>
                <c:pt idx="444">
                  <c:v>-123.09249815638117</c:v>
                </c:pt>
                <c:pt idx="445">
                  <c:v>-123.27933796516444</c:v>
                </c:pt>
                <c:pt idx="446">
                  <c:v>-123.46619387640681</c:v>
                </c:pt>
                <c:pt idx="447">
                  <c:v>-123.65306528109308</c:v>
                </c:pt>
                <c:pt idx="448">
                  <c:v>-123.83995158025813</c:v>
                </c:pt>
                <c:pt idx="449">
                  <c:v>-124.03133668885327</c:v>
                </c:pt>
                <c:pt idx="450">
                  <c:v>-124.22273617502694</c:v>
                </c:pt>
                <c:pt idx="451">
                  <c:v>-124.41414942642643</c:v>
                </c:pt>
                <c:pt idx="452">
                  <c:v>-124.60557584043747</c:v>
                </c:pt>
                <c:pt idx="453">
                  <c:v>-124.80134036414491</c:v>
                </c:pt>
                <c:pt idx="454">
                  <c:v>-124.99711740730031</c:v>
                </c:pt>
                <c:pt idx="455">
                  <c:v>-125.19290635514859</c:v>
                </c:pt>
                <c:pt idx="456">
                  <c:v>-125.38870660229576</c:v>
                </c:pt>
                <c:pt idx="457">
                  <c:v>-125.58916458229884</c:v>
                </c:pt>
                <c:pt idx="458">
                  <c:v>-125.78963314904433</c:v>
                </c:pt>
                <c:pt idx="459">
                  <c:v>-125.99011168156464</c:v>
                </c:pt>
                <c:pt idx="460">
                  <c:v>-126.19059956790365</c:v>
                </c:pt>
                <c:pt idx="461">
                  <c:v>-126.39574410755782</c:v>
                </c:pt>
                <c:pt idx="462">
                  <c:v>-126.60089717118662</c:v>
                </c:pt>
                <c:pt idx="463">
                  <c:v>-126.80605813067415</c:v>
                </c:pt>
                <c:pt idx="464">
                  <c:v>-127.01122636652968</c:v>
                </c:pt>
                <c:pt idx="465">
                  <c:v>-127.22121012938425</c:v>
                </c:pt>
                <c:pt idx="466">
                  <c:v>-127.4312002271602</c:v>
                </c:pt>
                <c:pt idx="467">
                  <c:v>-127.64119602196739</c:v>
                </c:pt>
                <c:pt idx="468">
                  <c:v>-127.85119688414383</c:v>
                </c:pt>
                <c:pt idx="469">
                  <c:v>-128.06601152103272</c:v>
                </c:pt>
                <c:pt idx="470">
                  <c:v>-128.28083015241941</c:v>
                </c:pt>
                <c:pt idx="471">
                  <c:v>-128.49565212925935</c:v>
                </c:pt>
                <c:pt idx="472">
                  <c:v>-128.71047681030106</c:v>
                </c:pt>
                <c:pt idx="473">
                  <c:v>-128.93043377301359</c:v>
                </c:pt>
                <c:pt idx="474">
                  <c:v>-129.1503922339015</c:v>
                </c:pt>
                <c:pt idx="475">
                  <c:v>-129.3703515282335</c:v>
                </c:pt>
                <c:pt idx="476">
                  <c:v>-129.59031099864018</c:v>
                </c:pt>
                <c:pt idx="477">
                  <c:v>-129.81540022296014</c:v>
                </c:pt>
                <c:pt idx="478">
                  <c:v>-130.04048826123542</c:v>
                </c:pt>
                <c:pt idx="479">
                  <c:v>-130.26557443115709</c:v>
                </c:pt>
                <c:pt idx="480">
                  <c:v>-130.4906580573014</c:v>
                </c:pt>
                <c:pt idx="481">
                  <c:v>-130.72086846610489</c:v>
                </c:pt>
                <c:pt idx="482">
                  <c:v>-130.95107480548862</c:v>
                </c:pt>
                <c:pt idx="483">
                  <c:v>-131.1812763733582</c:v>
                </c:pt>
                <c:pt idx="484">
                  <c:v>-131.411472473983</c:v>
                </c:pt>
                <c:pt idx="485">
                  <c:v>-131.64695222024429</c:v>
                </c:pt>
                <c:pt idx="486">
                  <c:v>-131.88242479143449</c:v>
                </c:pt>
                <c:pt idx="487">
                  <c:v>-132.11788946166382</c:v>
                </c:pt>
                <c:pt idx="488">
                  <c:v>-132.35334551085609</c:v>
                </c:pt>
                <c:pt idx="489">
                  <c:v>-132.59440179501883</c:v>
                </c:pt>
                <c:pt idx="490">
                  <c:v>-132.83544753238067</c:v>
                </c:pt>
                <c:pt idx="491">
                  <c:v>-133.07648196735957</c:v>
                </c:pt>
                <c:pt idx="492">
                  <c:v>-133.31750434961504</c:v>
                </c:pt>
                <c:pt idx="493">
                  <c:v>-133.56412237613978</c:v>
                </c:pt>
                <c:pt idx="494">
                  <c:v>-133.81072620848903</c:v>
                </c:pt>
                <c:pt idx="495">
                  <c:v>-134.05731505803098</c:v>
                </c:pt>
                <c:pt idx="496">
                  <c:v>-134.30388814074604</c:v>
                </c:pt>
                <c:pt idx="497">
                  <c:v>-134.55621187699569</c:v>
                </c:pt>
                <c:pt idx="498">
                  <c:v>-134.80851745235984</c:v>
                </c:pt>
                <c:pt idx="499">
                  <c:v>-135.06080403980141</c:v>
                </c:pt>
                <c:pt idx="500">
                  <c:v>-135.31307081621878</c:v>
                </c:pt>
                <c:pt idx="501">
                  <c:v>-135.57124249001808</c:v>
                </c:pt>
                <c:pt idx="502">
                  <c:v>-135.82939167784815</c:v>
                </c:pt>
                <c:pt idx="503">
                  <c:v>-136.08751750834128</c:v>
                </c:pt>
                <c:pt idx="504">
                  <c:v>-136.34561911333481</c:v>
                </c:pt>
                <c:pt idx="505">
                  <c:v>-136.60961891866563</c:v>
                </c:pt>
                <c:pt idx="506">
                  <c:v>-136.8735915450016</c:v>
                </c:pt>
                <c:pt idx="507">
                  <c:v>-137.13753607175423</c:v>
                </c:pt>
                <c:pt idx="508">
                  <c:v>-137.40145158074293</c:v>
                </c:pt>
                <c:pt idx="509">
                  <c:v>-137.67141784606599</c:v>
                </c:pt>
                <c:pt idx="510">
                  <c:v>-137.94135180332978</c:v>
                </c:pt>
                <c:pt idx="511">
                  <c:v>-138.21125247557327</c:v>
                </c:pt>
                <c:pt idx="512">
                  <c:v>-138.48111888738401</c:v>
                </c:pt>
                <c:pt idx="513">
                  <c:v>-138.75734752300096</c:v>
                </c:pt>
                <c:pt idx="514">
                  <c:v>-139.03353818945752</c:v>
                </c:pt>
                <c:pt idx="515">
                  <c:v>-139.30968984370452</c:v>
                </c:pt>
                <c:pt idx="516">
                  <c:v>-139.58580144331449</c:v>
                </c:pt>
                <c:pt idx="517">
                  <c:v>-139.86826567220905</c:v>
                </c:pt>
                <c:pt idx="518">
                  <c:v>-140.15068576261427</c:v>
                </c:pt>
                <c:pt idx="519">
                  <c:v>-140.43306059838082</c:v>
                </c:pt>
                <c:pt idx="520">
                  <c:v>-140.71538906297533</c:v>
                </c:pt>
                <c:pt idx="521">
                  <c:v>-141.00421927981753</c:v>
                </c:pt>
                <c:pt idx="522">
                  <c:v>-141.29299858129261</c:v>
                </c:pt>
                <c:pt idx="523">
                  <c:v>-141.58172576848389</c:v>
                </c:pt>
                <c:pt idx="524">
                  <c:v>-141.87039964100452</c:v>
                </c:pt>
                <c:pt idx="525">
                  <c:v>-142.16572299235753</c:v>
                </c:pt>
                <c:pt idx="526">
                  <c:v>-142.46098797469764</c:v>
                </c:pt>
                <c:pt idx="527">
                  <c:v>-142.75619329567587</c:v>
                </c:pt>
                <c:pt idx="528">
                  <c:v>-143.0513376603011</c:v>
                </c:pt>
                <c:pt idx="529">
                  <c:v>-143.35327768523129</c:v>
                </c:pt>
                <c:pt idx="530">
                  <c:v>-143.65515113444314</c:v>
                </c:pt>
                <c:pt idx="531">
                  <c:v>-143.95695661040764</c:v>
                </c:pt>
                <c:pt idx="532">
                  <c:v>-144.2586927116931</c:v>
                </c:pt>
                <c:pt idx="533">
                  <c:v>-144.56752828478841</c:v>
                </c:pt>
                <c:pt idx="534">
                  <c:v>-144.87628815953238</c:v>
                </c:pt>
                <c:pt idx="535">
                  <c:v>-145.1849708179499</c:v>
                </c:pt>
                <c:pt idx="536">
                  <c:v>-145.49357473680061</c:v>
                </c:pt>
                <c:pt idx="537">
                  <c:v>-145.80910210839247</c:v>
                </c:pt>
                <c:pt idx="538">
                  <c:v>-146.12454388408167</c:v>
                </c:pt>
                <c:pt idx="539">
                  <c:v>-146.43989841597988</c:v>
                </c:pt>
                <c:pt idx="540">
                  <c:v>-146.75516404950054</c:v>
                </c:pt>
                <c:pt idx="541">
                  <c:v>-147.07781188943596</c:v>
                </c:pt>
                <c:pt idx="542">
                  <c:v>-147.40036303332104</c:v>
                </c:pt>
                <c:pt idx="543">
                  <c:v>-147.72281568286809</c:v>
                </c:pt>
                <c:pt idx="544">
                  <c:v>-148.0451680315422</c:v>
                </c:pt>
                <c:pt idx="545">
                  <c:v>-148.37488168284113</c:v>
                </c:pt>
                <c:pt idx="546">
                  <c:v>-148.70448647919108</c:v>
                </c:pt>
                <c:pt idx="547">
                  <c:v>-149.03398045750299</c:v>
                </c:pt>
                <c:pt idx="548">
                  <c:v>-149.36336164482205</c:v>
                </c:pt>
                <c:pt idx="549">
                  <c:v>-149.70023978098124</c:v>
                </c:pt>
                <c:pt idx="550">
                  <c:v>-150.03699563944059</c:v>
                </c:pt>
                <c:pt idx="551">
                  <c:v>-150.37362707397992</c:v>
                </c:pt>
                <c:pt idx="552">
                  <c:v>-150.71013192682162</c:v>
                </c:pt>
                <c:pt idx="553">
                  <c:v>-151.05442491779607</c:v>
                </c:pt>
                <c:pt idx="554">
                  <c:v>-151.39858068522136</c:v>
                </c:pt>
                <c:pt idx="555">
                  <c:v>-151.74259687668649</c:v>
                </c:pt>
                <c:pt idx="556">
                  <c:v>-152.08647112644877</c:v>
                </c:pt>
                <c:pt idx="557">
                  <c:v>-152.7899009065631</c:v>
                </c:pt>
                <c:pt idx="558">
                  <c:v>-153.49270540194561</c:v>
                </c:pt>
                <c:pt idx="559">
                  <c:v>-154.21095046337396</c:v>
                </c:pt>
                <c:pt idx="560">
                  <c:v>-154.92849689855919</c:v>
                </c:pt>
                <c:pt idx="561">
                  <c:v>-155.66232020108396</c:v>
                </c:pt>
                <c:pt idx="562">
                  <c:v>-156.39536262182469</c:v>
                </c:pt>
                <c:pt idx="563">
                  <c:v>-157.14330328184872</c:v>
                </c:pt>
                <c:pt idx="564">
                  <c:v>-157.89037594891954</c:v>
                </c:pt>
                <c:pt idx="565">
                  <c:v>-158.6553526168031</c:v>
                </c:pt>
                <c:pt idx="566">
                  <c:v>-159.41935832605776</c:v>
                </c:pt>
                <c:pt idx="567">
                  <c:v>-160.20111239433868</c:v>
                </c:pt>
                <c:pt idx="568">
                  <c:v>-160.98178255916736</c:v>
                </c:pt>
                <c:pt idx="569">
                  <c:v>-161.77691499442847</c:v>
                </c:pt>
                <c:pt idx="570">
                  <c:v>-162.5708494370671</c:v>
                </c:pt>
                <c:pt idx="571">
                  <c:v>-163.38529245416777</c:v>
                </c:pt>
                <c:pt idx="572">
                  <c:v>-164.19839315143707</c:v>
                </c:pt>
                <c:pt idx="573">
                  <c:v>-165.02558866689992</c:v>
                </c:pt>
                <c:pt idx="574">
                  <c:v>-165.85130591356486</c:v>
                </c:pt>
                <c:pt idx="575">
                  <c:v>-166.69708903714593</c:v>
                </c:pt>
                <c:pt idx="576">
                  <c:v>-167.54122291873043</c:v>
                </c:pt>
                <c:pt idx="577">
                  <c:v>-171.09555890882794</c:v>
                </c:pt>
                <c:pt idx="578">
                  <c:v>-174.61581141281792</c:v>
                </c:pt>
                <c:pt idx="579">
                  <c:v>-182.19251056097417</c:v>
                </c:pt>
                <c:pt idx="580">
                  <c:v>-190.25249175244934</c:v>
                </c:pt>
                <c:pt idx="581">
                  <c:v>-198.72276290389985</c:v>
                </c:pt>
                <c:pt idx="582">
                  <c:v>-207.51264589973911</c:v>
                </c:pt>
                <c:pt idx="583">
                  <c:v>-216.48680198182598</c:v>
                </c:pt>
                <c:pt idx="584">
                  <c:v>-225.49879476457676</c:v>
                </c:pt>
                <c:pt idx="585">
                  <c:v>-234.38076754193426</c:v>
                </c:pt>
                <c:pt idx="586">
                  <c:v>-242.97938621847612</c:v>
                </c:pt>
                <c:pt idx="587">
                  <c:v>-251.16751669429314</c:v>
                </c:pt>
                <c:pt idx="588">
                  <c:v>-258.83821532431239</c:v>
                </c:pt>
                <c:pt idx="589">
                  <c:v>-265.93295450881402</c:v>
                </c:pt>
                <c:pt idx="590">
                  <c:v>-272.41473889919632</c:v>
                </c:pt>
                <c:pt idx="591">
                  <c:v>-278.27429189782242</c:v>
                </c:pt>
                <c:pt idx="592">
                  <c:v>-283.51816692896745</c:v>
                </c:pt>
                <c:pt idx="593">
                  <c:v>-288.16607402874865</c:v>
                </c:pt>
                <c:pt idx="594">
                  <c:v>-292.2411211166592</c:v>
                </c:pt>
                <c:pt idx="595">
                  <c:v>-295.77143668260618</c:v>
                </c:pt>
                <c:pt idx="596">
                  <c:v>-298.78441922284958</c:v>
                </c:pt>
                <c:pt idx="597">
                  <c:v>-301.30844651819211</c:v>
                </c:pt>
                <c:pt idx="598">
                  <c:v>-303.36972516289785</c:v>
                </c:pt>
                <c:pt idx="599">
                  <c:v>-304.99458054167872</c:v>
                </c:pt>
                <c:pt idx="600">
                  <c:v>-306.20765050755477</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221650.7791442411</c:v>
                </c:pt>
              </c:numCache>
            </c:numRef>
          </c:xVal>
          <c:yVal>
            <c:numRef>
              <c:f>'Stability Calculations'!$Q$627</c:f>
              <c:numCache>
                <c:formatCode>0.00</c:formatCode>
                <c:ptCount val="1"/>
                <c:pt idx="0">
                  <c:v>-22.179244468922434</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88.604405700709208</c:v>
                </c:pt>
                <c:pt idx="1">
                  <c:v>87.932616883491477</c:v>
                </c:pt>
                <c:pt idx="2">
                  <c:v>87.242271404398011</c:v>
                </c:pt>
                <c:pt idx="3">
                  <c:v>86.535673115105936</c:v>
                </c:pt>
                <c:pt idx="4">
                  <c:v>85.815418927414257</c:v>
                </c:pt>
                <c:pt idx="5">
                  <c:v>85.082225207892819</c:v>
                </c:pt>
                <c:pt idx="6">
                  <c:v>84.338839660657939</c:v>
                </c:pt>
                <c:pt idx="7">
                  <c:v>83.586292532422334</c:v>
                </c:pt>
                <c:pt idx="8">
                  <c:v>82.82646191805577</c:v>
                </c:pt>
                <c:pt idx="9">
                  <c:v>82.059925939638475</c:v>
                </c:pt>
                <c:pt idx="10">
                  <c:v>81.288117003621238</c:v>
                </c:pt>
                <c:pt idx="11">
                  <c:v>80.511778023283469</c:v>
                </c:pt>
                <c:pt idx="12">
                  <c:v>79.731221151976115</c:v>
                </c:pt>
                <c:pt idx="13">
                  <c:v>78.947812218551974</c:v>
                </c:pt>
                <c:pt idx="14">
                  <c:v>78.161448050206872</c:v>
                </c:pt>
                <c:pt idx="15">
                  <c:v>77.372870000179034</c:v>
                </c:pt>
                <c:pt idx="16">
                  <c:v>76.582384959678791</c:v>
                </c:pt>
                <c:pt idx="17">
                  <c:v>75.79041652903706</c:v>
                </c:pt>
                <c:pt idx="18">
                  <c:v>74.996995185834948</c:v>
                </c:pt>
                <c:pt idx="19">
                  <c:v>74.202551847191188</c:v>
                </c:pt>
                <c:pt idx="20">
                  <c:v>73.407109934310327</c:v>
                </c:pt>
                <c:pt idx="21">
                  <c:v>72.610983167068255</c:v>
                </c:pt>
                <c:pt idx="22">
                  <c:v>71.814127577175071</c:v>
                </c:pt>
                <c:pt idx="23">
                  <c:v>71.016845244519033</c:v>
                </c:pt>
                <c:pt idx="24">
                  <c:v>70.219020517217515</c:v>
                </c:pt>
                <c:pt idx="25">
                  <c:v>69.420849382383452</c:v>
                </c:pt>
                <c:pt idx="26">
                  <c:v>68.622206149671399</c:v>
                </c:pt>
                <c:pt idx="27">
                  <c:v>67.823395268331097</c:v>
                </c:pt>
                <c:pt idx="28">
                  <c:v>67.024427609812463</c:v>
                </c:pt>
                <c:pt idx="29">
                  <c:v>66.225834669729068</c:v>
                </c:pt>
                <c:pt idx="30">
                  <c:v>65.426295361928538</c:v>
                </c:pt>
                <c:pt idx="31">
                  <c:v>64.626951608452586</c:v>
                </c:pt>
                <c:pt idx="32">
                  <c:v>63.827282325718201</c:v>
                </c:pt>
                <c:pt idx="33">
                  <c:v>63.027875453510362</c:v>
                </c:pt>
                <c:pt idx="34">
                  <c:v>62.228130237058124</c:v>
                </c:pt>
                <c:pt idx="35">
                  <c:v>61.428510559099394</c:v>
                </c:pt>
                <c:pt idx="36">
                  <c:v>60.628906270885317</c:v>
                </c:pt>
                <c:pt idx="37">
                  <c:v>59.828897736537755</c:v>
                </c:pt>
                <c:pt idx="38">
                  <c:v>59.029256729461068</c:v>
                </c:pt>
                <c:pt idx="39">
                  <c:v>58.229348012465252</c:v>
                </c:pt>
                <c:pt idx="40">
                  <c:v>57.429482187007935</c:v>
                </c:pt>
                <c:pt idx="41">
                  <c:v>56.629597591264904</c:v>
                </c:pt>
                <c:pt idx="42">
                  <c:v>55.829810658925645</c:v>
                </c:pt>
                <c:pt idx="43">
                  <c:v>55.029891677030449</c:v>
                </c:pt>
                <c:pt idx="44">
                  <c:v>54.230057967232462</c:v>
                </c:pt>
                <c:pt idx="45">
                  <c:v>53.430152315184749</c:v>
                </c:pt>
                <c:pt idx="46">
                  <c:v>52.630340167628624</c:v>
                </c:pt>
                <c:pt idx="47">
                  <c:v>51.830453223580726</c:v>
                </c:pt>
                <c:pt idx="48">
                  <c:v>51.030692448091713</c:v>
                </c:pt>
                <c:pt idx="49">
                  <c:v>50.230858091390601</c:v>
                </c:pt>
                <c:pt idx="50">
                  <c:v>49.431078740355609</c:v>
                </c:pt>
                <c:pt idx="51">
                  <c:v>48.631174095676954</c:v>
                </c:pt>
                <c:pt idx="52">
                  <c:v>47.8314063892497</c:v>
                </c:pt>
                <c:pt idx="53">
                  <c:v>47.031753962720906</c:v>
                </c:pt>
                <c:pt idx="54">
                  <c:v>46.23272521704849</c:v>
                </c:pt>
                <c:pt idx="55">
                  <c:v>45.432983592177258</c:v>
                </c:pt>
                <c:pt idx="56">
                  <c:v>44.633664530992789</c:v>
                </c:pt>
                <c:pt idx="57">
                  <c:v>43.834247581636212</c:v>
                </c:pt>
                <c:pt idx="58">
                  <c:v>43.035328730444562</c:v>
                </c:pt>
                <c:pt idx="59">
                  <c:v>42.236323712869762</c:v>
                </c:pt>
                <c:pt idx="60">
                  <c:v>41.437720530217561</c:v>
                </c:pt>
                <c:pt idx="61">
                  <c:v>40.639442639916268</c:v>
                </c:pt>
                <c:pt idx="62">
                  <c:v>39.841115002827181</c:v>
                </c:pt>
                <c:pt idx="63">
                  <c:v>39.043562841943483</c:v>
                </c:pt>
                <c:pt idx="64">
                  <c:v>38.246220561707162</c:v>
                </c:pt>
                <c:pt idx="65">
                  <c:v>37.449480935960139</c:v>
                </c:pt>
                <c:pt idx="66">
                  <c:v>36.653382656629752</c:v>
                </c:pt>
                <c:pt idx="67">
                  <c:v>35.858161377173175</c:v>
                </c:pt>
                <c:pt idx="68">
                  <c:v>35.063731323955757</c:v>
                </c:pt>
                <c:pt idx="69">
                  <c:v>34.270476874773806</c:v>
                </c:pt>
                <c:pt idx="70">
                  <c:v>33.478439913756588</c:v>
                </c:pt>
                <c:pt idx="71">
                  <c:v>32.688014859919015</c:v>
                </c:pt>
                <c:pt idx="72">
                  <c:v>31.899302238760061</c:v>
                </c:pt>
                <c:pt idx="73">
                  <c:v>31.112805985625194</c:v>
                </c:pt>
                <c:pt idx="74">
                  <c:v>30.32867648095479</c:v>
                </c:pt>
                <c:pt idx="75">
                  <c:v>29.547428239837444</c:v>
                </c:pt>
                <c:pt idx="76">
                  <c:v>28.769313246924536</c:v>
                </c:pt>
                <c:pt idx="77">
                  <c:v>27.995047786796437</c:v>
                </c:pt>
                <c:pt idx="78">
                  <c:v>27.225093492369815</c:v>
                </c:pt>
                <c:pt idx="79">
                  <c:v>26.460424542351674</c:v>
                </c:pt>
                <c:pt idx="80">
                  <c:v>25.700237018546357</c:v>
                </c:pt>
                <c:pt idx="81">
                  <c:v>24.946039343327943</c:v>
                </c:pt>
                <c:pt idx="82">
                  <c:v>24.197676578637882</c:v>
                </c:pt>
                <c:pt idx="83">
                  <c:v>23.455909397777685</c:v>
                </c:pt>
                <c:pt idx="84">
                  <c:v>22.720217557621108</c:v>
                </c:pt>
                <c:pt idx="85">
                  <c:v>21.990847428467276</c:v>
                </c:pt>
                <c:pt idx="86">
                  <c:v>21.267258401278131</c:v>
                </c:pt>
                <c:pt idx="87">
                  <c:v>20.54836059759743</c:v>
                </c:pt>
                <c:pt idx="88">
                  <c:v>19.833862616708409</c:v>
                </c:pt>
                <c:pt idx="89">
                  <c:v>19.121971172002098</c:v>
                </c:pt>
                <c:pt idx="90">
                  <c:v>18.41155971343052</c:v>
                </c:pt>
                <c:pt idx="91">
                  <c:v>17.701072612018145</c:v>
                </c:pt>
                <c:pt idx="92">
                  <c:v>16.989111794629792</c:v>
                </c:pt>
                <c:pt idx="93">
                  <c:v>16.274065115206341</c:v>
                </c:pt>
                <c:pt idx="94">
                  <c:v>16.094764032333941</c:v>
                </c:pt>
                <c:pt idx="95">
                  <c:v>16.004453460407444</c:v>
                </c:pt>
                <c:pt idx="96">
                  <c:v>15.915104926338078</c:v>
                </c:pt>
                <c:pt idx="97">
                  <c:v>15.824657054612672</c:v>
                </c:pt>
                <c:pt idx="98">
                  <c:v>15.735168832148187</c:v>
                </c:pt>
                <c:pt idx="99">
                  <c:v>15.644553245499345</c:v>
                </c:pt>
                <c:pt idx="100">
                  <c:v>15.554895743328586</c:v>
                </c:pt>
                <c:pt idx="101">
                  <c:v>15.464152859064953</c:v>
                </c:pt>
                <c:pt idx="102">
                  <c:v>15.37436584002652</c:v>
                </c:pt>
                <c:pt idx="103">
                  <c:v>15.28340182166809</c:v>
                </c:pt>
                <c:pt idx="104">
                  <c:v>15.193393617766514</c:v>
                </c:pt>
                <c:pt idx="105">
                  <c:v>15.102252584466989</c:v>
                </c:pt>
                <c:pt idx="106">
                  <c:v>15.012066599062774</c:v>
                </c:pt>
                <c:pt idx="107">
                  <c:v>14.920790221984346</c:v>
                </c:pt>
                <c:pt idx="108">
                  <c:v>14.83046747801369</c:v>
                </c:pt>
                <c:pt idx="109">
                  <c:v>14.739033214288815</c:v>
                </c:pt>
                <c:pt idx="110">
                  <c:v>14.648551864024235</c:v>
                </c:pt>
                <c:pt idx="111">
                  <c:v>14.556879504787029</c:v>
                </c:pt>
                <c:pt idx="112">
                  <c:v>14.466161225319849</c:v>
                </c:pt>
                <c:pt idx="113">
                  <c:v>14.374297133342115</c:v>
                </c:pt>
                <c:pt idx="114">
                  <c:v>14.283387549943697</c:v>
                </c:pt>
                <c:pt idx="115">
                  <c:v>14.191317500003116</c:v>
                </c:pt>
                <c:pt idx="116">
                  <c:v>14.100202905962698</c:v>
                </c:pt>
                <c:pt idx="117">
                  <c:v>14.007915158863348</c:v>
                </c:pt>
                <c:pt idx="118">
                  <c:v>13.91658427941919</c:v>
                </c:pt>
                <c:pt idx="119">
                  <c:v>13.8241252107769</c:v>
                </c:pt>
                <c:pt idx="120">
                  <c:v>13.732623685549028</c:v>
                </c:pt>
                <c:pt idx="121">
                  <c:v>13.639982640469238</c:v>
                </c:pt>
                <c:pt idx="122">
                  <c:v>13.548300251695533</c:v>
                </c:pt>
                <c:pt idx="123">
                  <c:v>13.45541527354249</c:v>
                </c:pt>
                <c:pt idx="124">
                  <c:v>13.363491550763802</c:v>
                </c:pt>
                <c:pt idx="125">
                  <c:v>13.270411954845802</c:v>
                </c:pt>
                <c:pt idx="126">
                  <c:v>13.178295402200941</c:v>
                </c:pt>
                <c:pt idx="127">
                  <c:v>13.085016654788239</c:v>
                </c:pt>
                <c:pt idx="128">
                  <c:v>12.992703029840115</c:v>
                </c:pt>
                <c:pt idx="129">
                  <c:v>12.899222395572412</c:v>
                </c:pt>
                <c:pt idx="130">
                  <c:v>12.806709209393084</c:v>
                </c:pt>
                <c:pt idx="131">
                  <c:v>12.713025625257366</c:v>
                </c:pt>
                <c:pt idx="132">
                  <c:v>12.666548880263855</c:v>
                </c:pt>
                <c:pt idx="133">
                  <c:v>12.620312018522197</c:v>
                </c:pt>
                <c:pt idx="134">
                  <c:v>12.573221861044178</c:v>
                </c:pt>
                <c:pt idx="135">
                  <c:v>12.526377755487415</c:v>
                </c:pt>
                <c:pt idx="136">
                  <c:v>12.479777054416827</c:v>
                </c:pt>
                <c:pt idx="137">
                  <c:v>12.433417155949959</c:v>
                </c:pt>
                <c:pt idx="138">
                  <c:v>12.386251111173888</c:v>
                </c:pt>
                <c:pt idx="139">
                  <c:v>12.339331563925226</c:v>
                </c:pt>
                <c:pt idx="140">
                  <c:v>12.292655871689817</c:v>
                </c:pt>
                <c:pt idx="141">
                  <c:v>12.246221437053681</c:v>
                </c:pt>
                <c:pt idx="142">
                  <c:v>12.198933124527267</c:v>
                </c:pt>
                <c:pt idx="143">
                  <c:v>12.151892278761931</c:v>
                </c:pt>
                <c:pt idx="144">
                  <c:v>12.105096252929776</c:v>
                </c:pt>
                <c:pt idx="145">
                  <c:v>12.058542445068515</c:v>
                </c:pt>
                <c:pt idx="146">
                  <c:v>12.01115829036485</c:v>
                </c:pt>
                <c:pt idx="147">
                  <c:v>11.964022333405261</c:v>
                </c:pt>
                <c:pt idx="148">
                  <c:v>11.917131926040373</c:v>
                </c:pt>
                <c:pt idx="149">
                  <c:v>11.870484464693437</c:v>
                </c:pt>
                <c:pt idx="150">
                  <c:v>11.823007216445543</c:v>
                </c:pt>
                <c:pt idx="151">
                  <c:v>11.775778903135519</c:v>
                </c:pt>
                <c:pt idx="152">
                  <c:v>11.728796874365266</c:v>
                </c:pt>
                <c:pt idx="153">
                  <c:v>11.682058524048315</c:v>
                </c:pt>
                <c:pt idx="154">
                  <c:v>11.634469605914326</c:v>
                </c:pt>
                <c:pt idx="155">
                  <c:v>11.587130586843053</c:v>
                </c:pt>
                <c:pt idx="156">
                  <c:v>11.540038809763145</c:v>
                </c:pt>
                <c:pt idx="157">
                  <c:v>11.493191661764097</c:v>
                </c:pt>
                <c:pt idx="158">
                  <c:v>11.445496146702641</c:v>
                </c:pt>
                <c:pt idx="159">
                  <c:v>11.398051472013478</c:v>
                </c:pt>
                <c:pt idx="160">
                  <c:v>11.350854973525461</c:v>
                </c:pt>
                <c:pt idx="161">
                  <c:v>11.303904031099322</c:v>
                </c:pt>
                <c:pt idx="162">
                  <c:v>11.256128286505495</c:v>
                </c:pt>
                <c:pt idx="163">
                  <c:v>11.208604074480295</c:v>
                </c:pt>
                <c:pt idx="164">
                  <c:v>11.161328726931902</c:v>
                </c:pt>
                <c:pt idx="165">
                  <c:v>11.114299619615375</c:v>
                </c:pt>
                <c:pt idx="166">
                  <c:v>11.066407085487862</c:v>
                </c:pt>
                <c:pt idx="167">
                  <c:v>11.01876718538624</c:v>
                </c:pt>
                <c:pt idx="168">
                  <c:v>10.97137724004725</c:v>
                </c:pt>
                <c:pt idx="169">
                  <c:v>10.924234614042055</c:v>
                </c:pt>
                <c:pt idx="170">
                  <c:v>10.876332985336237</c:v>
                </c:pt>
                <c:pt idx="171">
                  <c:v>10.828683981449206</c:v>
                </c:pt>
                <c:pt idx="172">
                  <c:v>10.781284928819662</c:v>
                </c:pt>
                <c:pt idx="173">
                  <c:v>10.734133197357178</c:v>
                </c:pt>
                <c:pt idx="174">
                  <c:v>10.68604681043788</c:v>
                </c:pt>
                <c:pt idx="175">
                  <c:v>10.638214909300498</c:v>
                </c:pt>
                <c:pt idx="176">
                  <c:v>10.590634795744247</c:v>
                </c:pt>
                <c:pt idx="177">
                  <c:v>10.54330381534686</c:v>
                </c:pt>
                <c:pt idx="178">
                  <c:v>10.49506462550961</c:v>
                </c:pt>
                <c:pt idx="179">
                  <c:v>10.447081466894252</c:v>
                </c:pt>
                <c:pt idx="180">
                  <c:v>10.399351620975651</c:v>
                </c:pt>
                <c:pt idx="181">
                  <c:v>10.351872413234505</c:v>
                </c:pt>
                <c:pt idx="182">
                  <c:v>10.303699099956006</c:v>
                </c:pt>
                <c:pt idx="183">
                  <c:v>10.255781065445566</c:v>
                </c:pt>
                <c:pt idx="184">
                  <c:v>10.208115606665629</c:v>
                </c:pt>
                <c:pt idx="185">
                  <c:v>10.160700064058059</c:v>
                </c:pt>
                <c:pt idx="186">
                  <c:v>10.112240468882659</c:v>
                </c:pt>
                <c:pt idx="187">
                  <c:v>10.064039143735904</c:v>
                </c:pt>
                <c:pt idx="188">
                  <c:v>10.016093341031823</c:v>
                </c:pt>
                <c:pt idx="189">
                  <c:v>9.9684003574381492</c:v>
                </c:pt>
                <c:pt idx="190">
                  <c:v>9.9200545508425435</c:v>
                </c:pt>
                <c:pt idx="191">
                  <c:v>9.8719657725058578</c:v>
                </c:pt>
                <c:pt idx="192">
                  <c:v>9.8241312969483339</c:v>
                </c:pt>
                <c:pt idx="193">
                  <c:v>9.7765484423077087</c:v>
                </c:pt>
                <c:pt idx="194">
                  <c:v>9.7279769320971905</c:v>
                </c:pt>
                <c:pt idx="195">
                  <c:v>9.6796648235358074</c:v>
                </c:pt>
                <c:pt idx="196">
                  <c:v>9.6316093552485285</c:v>
                </c:pt>
                <c:pt idx="197">
                  <c:v>9.583807810092825</c:v>
                </c:pt>
                <c:pt idx="198">
                  <c:v>9.5352190580507035</c:v>
                </c:pt>
                <c:pt idx="199">
                  <c:v>9.4868898717344159</c:v>
                </c:pt>
                <c:pt idx="200">
                  <c:v>9.4388174884834442</c:v>
                </c:pt>
                <c:pt idx="201">
                  <c:v>9.390999189761347</c:v>
                </c:pt>
                <c:pt idx="202">
                  <c:v>9.342415741597982</c:v>
                </c:pt>
                <c:pt idx="203">
                  <c:v>9.2940917872516859</c:v>
                </c:pt>
                <c:pt idx="204">
                  <c:v>9.2460245660532525</c:v>
                </c:pt>
                <c:pt idx="205">
                  <c:v>9.1982113612939269</c:v>
                </c:pt>
                <c:pt idx="206">
                  <c:v>9.1494885265571373</c:v>
                </c:pt>
                <c:pt idx="207">
                  <c:v>9.1010266597088023</c:v>
                </c:pt>
                <c:pt idx="208">
                  <c:v>9.0528229769928235</c:v>
                </c:pt>
                <c:pt idx="209">
                  <c:v>9.004874738994058</c:v>
                </c:pt>
                <c:pt idx="210">
                  <c:v>8.9558805032167381</c:v>
                </c:pt>
                <c:pt idx="211">
                  <c:v>8.9071501304028526</c:v>
                </c:pt>
                <c:pt idx="212">
                  <c:v>8.8586807904645379</c:v>
                </c:pt>
                <c:pt idx="213">
                  <c:v>8.8104696985402953</c:v>
                </c:pt>
                <c:pt idx="214">
                  <c:v>8.7615607675556024</c:v>
                </c:pt>
                <c:pt idx="215">
                  <c:v>8.7129147705724499</c:v>
                </c:pt>
                <c:pt idx="216">
                  <c:v>8.6645288920030907</c:v>
                </c:pt>
                <c:pt idx="217">
                  <c:v>8.6164003610924258</c:v>
                </c:pt>
                <c:pt idx="218">
                  <c:v>8.5674378112720433</c:v>
                </c:pt>
                <c:pt idx="219">
                  <c:v>8.5187387548825164</c:v>
                </c:pt>
                <c:pt idx="220">
                  <c:v>8.4703003666210499</c:v>
                </c:pt>
                <c:pt idx="221">
                  <c:v>8.4221198661487158</c:v>
                </c:pt>
                <c:pt idx="222">
                  <c:v>8.3731290043034718</c:v>
                </c:pt>
                <c:pt idx="223">
                  <c:v>8.3244019201102617</c:v>
                </c:pt>
                <c:pt idx="224">
                  <c:v>8.2759357826299009</c:v>
                </c:pt>
                <c:pt idx="225">
                  <c:v>8.2277278059421661</c:v>
                </c:pt>
                <c:pt idx="226">
                  <c:v>8.1785834076191986</c:v>
                </c:pt>
                <c:pt idx="227">
                  <c:v>8.1297044131928047</c:v>
                </c:pt>
                <c:pt idx="228">
                  <c:v>8.0810879641854285</c:v>
                </c:pt>
                <c:pt idx="229">
                  <c:v>8.0327312476665629</c:v>
                </c:pt>
                <c:pt idx="230">
                  <c:v>7.9344655847155989</c:v>
                </c:pt>
                <c:pt idx="231">
                  <c:v>7.8857299001783812</c:v>
                </c:pt>
                <c:pt idx="232">
                  <c:v>7.8372551851381225</c:v>
                </c:pt>
                <c:pt idx="233">
                  <c:v>7.7878971581507193</c:v>
                </c:pt>
                <c:pt idx="234">
                  <c:v>7.7388067687589812</c:v>
                </c:pt>
                <c:pt idx="235">
                  <c:v>7.6899811187802856</c:v>
                </c:pt>
                <c:pt idx="236">
                  <c:v>7.6414173563368557</c:v>
                </c:pt>
                <c:pt idx="237">
                  <c:v>7.5921352422379575</c:v>
                </c:pt>
                <c:pt idx="238">
                  <c:v>7.5431198960478536</c:v>
                </c:pt>
                <c:pt idx="239">
                  <c:v>7.494368431484526</c:v>
                </c:pt>
                <c:pt idx="240">
                  <c:v>7.4458780082876528</c:v>
                </c:pt>
                <c:pt idx="241">
                  <c:v>7.3964159835729841</c:v>
                </c:pt>
                <c:pt idx="242">
                  <c:v>7.3472226127995093</c:v>
                </c:pt>
                <c:pt idx="243">
                  <c:v>7.29829497668951</c:v>
                </c:pt>
                <c:pt idx="244">
                  <c:v>7.2496302026640835</c:v>
                </c:pt>
                <c:pt idx="245">
                  <c:v>7.2001557064605235</c:v>
                </c:pt>
                <c:pt idx="246">
                  <c:v>7.1509499277340671</c:v>
                </c:pt>
                <c:pt idx="247">
                  <c:v>7.1020099435523401</c:v>
                </c:pt>
                <c:pt idx="248">
                  <c:v>7.0533328777421476</c:v>
                </c:pt>
                <c:pt idx="249">
                  <c:v>7.0037382235872814</c:v>
                </c:pt>
                <c:pt idx="250">
                  <c:v>6.9544135056507166</c:v>
                </c:pt>
                <c:pt idx="251">
                  <c:v>6.9053557783202848</c:v>
                </c:pt>
                <c:pt idx="252">
                  <c:v>6.856562143214302</c:v>
                </c:pt>
                <c:pt idx="253">
                  <c:v>6.807005409976834</c:v>
                </c:pt>
                <c:pt idx="254">
                  <c:v>6.7577181033393909</c:v>
                </c:pt>
                <c:pt idx="255">
                  <c:v>6.7086972830129801</c:v>
                </c:pt>
                <c:pt idx="256">
                  <c:v>6.6599400558191597</c:v>
                </c:pt>
                <c:pt idx="257">
                  <c:v>6.6101906289651495</c:v>
                </c:pt>
                <c:pt idx="258">
                  <c:v>6.5607126087662913</c:v>
                </c:pt>
                <c:pt idx="259">
                  <c:v>6.5115030193637242</c:v>
                </c:pt>
                <c:pt idx="260">
                  <c:v>6.4625589327666724</c:v>
                </c:pt>
                <c:pt idx="261">
                  <c:v>6.4127741007600463</c:v>
                </c:pt>
                <c:pt idx="262">
                  <c:v>6.3632609311120438</c:v>
                </c:pt>
                <c:pt idx="263">
                  <c:v>6.3140164404203514</c:v>
                </c:pt>
                <c:pt idx="264">
                  <c:v>6.2650376933144685</c:v>
                </c:pt>
                <c:pt idx="265">
                  <c:v>6.2152421897258039</c:v>
                </c:pt>
                <c:pt idx="266">
                  <c:v>6.1657183182488007</c:v>
                </c:pt>
                <c:pt idx="267">
                  <c:v>6.1164630924887149</c:v>
                </c:pt>
                <c:pt idx="268">
                  <c:v>6.0674735741528032</c:v>
                </c:pt>
                <c:pt idx="269">
                  <c:v>6.0175731254845344</c:v>
                </c:pt>
                <c:pt idx="270">
                  <c:v>5.9679452872523919</c:v>
                </c:pt>
                <c:pt idx="271">
                  <c:v>5.9185870533138178</c:v>
                </c:pt>
                <c:pt idx="272">
                  <c:v>5.8694954660611041</c:v>
                </c:pt>
                <c:pt idx="273">
                  <c:v>5.8195191751790567</c:v>
                </c:pt>
                <c:pt idx="274">
                  <c:v>5.7698161376994141</c:v>
                </c:pt>
                <c:pt idx="275">
                  <c:v>5.7203833330769545</c:v>
                </c:pt>
                <c:pt idx="276">
                  <c:v>5.6712177896231122</c:v>
                </c:pt>
                <c:pt idx="277">
                  <c:v>5.6213052802199295</c:v>
                </c:pt>
                <c:pt idx="278">
                  <c:v>5.5716651259490968</c:v>
                </c:pt>
                <c:pt idx="279">
                  <c:v>5.5222943172110996</c:v>
                </c:pt>
                <c:pt idx="280">
                  <c:v>5.4731898930425418</c:v>
                </c:pt>
                <c:pt idx="281">
                  <c:v>5.4230295726495292</c:v>
                </c:pt>
                <c:pt idx="282">
                  <c:v>5.3731440854014352</c:v>
                </c:pt>
                <c:pt idx="283">
                  <c:v>5.3235303765739097</c:v>
                </c:pt>
                <c:pt idx="284">
                  <c:v>5.2741854410679583</c:v>
                </c:pt>
                <c:pt idx="285">
                  <c:v>5.2241381877176476</c:v>
                </c:pt>
                <c:pt idx="286">
                  <c:v>5.1743642865607011</c:v>
                </c:pt>
                <c:pt idx="287">
                  <c:v>5.1248607032968696</c:v>
                </c:pt>
                <c:pt idx="288">
                  <c:v>5.0756244528293202</c:v>
                </c:pt>
                <c:pt idx="289">
                  <c:v>5.0253895660733141</c:v>
                </c:pt>
                <c:pt idx="290">
                  <c:v>4.9754298086339999</c:v>
                </c:pt>
                <c:pt idx="291">
                  <c:v>4.925742112333185</c:v>
                </c:pt>
                <c:pt idx="292">
                  <c:v>4.8763234589484217</c:v>
                </c:pt>
                <c:pt idx="293">
                  <c:v>4.8260381222379571</c:v>
                </c:pt>
                <c:pt idx="294">
                  <c:v>4.7760281707287184</c:v>
                </c:pt>
                <c:pt idx="295">
                  <c:v>4.7262905275151308</c:v>
                </c:pt>
                <c:pt idx="296">
                  <c:v>4.6768221658582583</c:v>
                </c:pt>
                <c:pt idx="297">
                  <c:v>4.6265118205636782</c:v>
                </c:pt>
                <c:pt idx="298">
                  <c:v>4.5764768133050051</c:v>
                </c:pt>
                <c:pt idx="299">
                  <c:v>4.5267140633853717</c:v>
                </c:pt>
                <c:pt idx="300">
                  <c:v>4.4772205403795091</c:v>
                </c:pt>
                <c:pt idx="301">
                  <c:v>4.426908896561736</c:v>
                </c:pt>
                <c:pt idx="302">
                  <c:v>4.3768722591351699</c:v>
                </c:pt>
                <c:pt idx="303">
                  <c:v>4.327107548257608</c:v>
                </c:pt>
                <c:pt idx="304">
                  <c:v>4.2776117343633757</c:v>
                </c:pt>
                <c:pt idx="305">
                  <c:v>4.2271279484544451</c:v>
                </c:pt>
                <c:pt idx="306">
                  <c:v>4.1769206739612406</c:v>
                </c:pt>
                <c:pt idx="307">
                  <c:v>4.1269868009309727</c:v>
                </c:pt>
                <c:pt idx="308">
                  <c:v>4.077323270366275</c:v>
                </c:pt>
                <c:pt idx="309">
                  <c:v>4.0268890116352454</c:v>
                </c:pt>
                <c:pt idx="310">
                  <c:v>3.9767303210955083</c:v>
                </c:pt>
                <c:pt idx="311">
                  <c:v>3.9268440996701335</c:v>
                </c:pt>
                <c:pt idx="312">
                  <c:v>3.8772272990251593</c:v>
                </c:pt>
                <c:pt idx="313">
                  <c:v>3.8266765560314706</c:v>
                </c:pt>
                <c:pt idx="314">
                  <c:v>3.7764022193787934</c:v>
                </c:pt>
                <c:pt idx="315">
                  <c:v>3.7264011707409277</c:v>
                </c:pt>
                <c:pt idx="316">
                  <c:v>3.6766703429788326</c:v>
                </c:pt>
                <c:pt idx="317">
                  <c:v>3.6260322459351819</c:v>
                </c:pt>
                <c:pt idx="318">
                  <c:v>3.5756710438414654</c:v>
                </c:pt>
                <c:pt idx="319">
                  <c:v>3.5255836048147366</c:v>
                </c:pt>
                <c:pt idx="320">
                  <c:v>3.475766848480065</c:v>
                </c:pt>
                <c:pt idx="321">
                  <c:v>3.4250686007225264</c:v>
                </c:pt>
                <c:pt idx="322">
                  <c:v>3.3746474066855878</c:v>
                </c:pt>
                <c:pt idx="323">
                  <c:v>3.3245001263267335</c:v>
                </c:pt>
                <c:pt idx="324">
                  <c:v>3.2746236713145955</c:v>
                </c:pt>
                <c:pt idx="325">
                  <c:v>3.2238906228833306</c:v>
                </c:pt>
                <c:pt idx="326">
                  <c:v>3.1734344766670985</c:v>
                </c:pt>
                <c:pt idx="327">
                  <c:v>3.1232520895558618</c:v>
                </c:pt>
                <c:pt idx="328">
                  <c:v>3.073340370242108</c:v>
                </c:pt>
                <c:pt idx="329">
                  <c:v>3.0225114685429997</c:v>
                </c:pt>
                <c:pt idx="330">
                  <c:v>2.9719599466511069</c:v>
                </c:pt>
                <c:pt idx="331">
                  <c:v>2.9216826475156892</c:v>
                </c:pt>
                <c:pt idx="332">
                  <c:v>2.8716764662181453</c:v>
                </c:pt>
                <c:pt idx="333">
                  <c:v>2.820861839999218</c:v>
                </c:pt>
                <c:pt idx="334">
                  <c:v>2.7703238363135982</c:v>
                </c:pt>
                <c:pt idx="335">
                  <c:v>2.7200593049999409</c:v>
                </c:pt>
                <c:pt idx="336">
                  <c:v>2.670065147900984</c:v>
                </c:pt>
                <c:pt idx="337">
                  <c:v>2.6191228537358247</c:v>
                </c:pt>
                <c:pt idx="338">
                  <c:v>2.5684579288402527</c:v>
                </c:pt>
                <c:pt idx="339">
                  <c:v>2.5180672041069223</c:v>
                </c:pt>
                <c:pt idx="340">
                  <c:v>2.4679475628713932</c:v>
                </c:pt>
                <c:pt idx="341">
                  <c:v>2.4169065748464353</c:v>
                </c:pt>
                <c:pt idx="342">
                  <c:v>2.3661433462211732</c:v>
                </c:pt>
                <c:pt idx="343">
                  <c:v>2.315654694763464</c:v>
                </c:pt>
                <c:pt idx="344">
                  <c:v>2.2654374909949127</c:v>
                </c:pt>
                <c:pt idx="345">
                  <c:v>2.2144023972658102</c:v>
                </c:pt>
                <c:pt idx="346">
                  <c:v>2.1636442765294612</c:v>
                </c:pt>
                <c:pt idx="347">
                  <c:v>2.1131599533606815</c:v>
                </c:pt>
                <c:pt idx="348">
                  <c:v>2.0629463049588121</c:v>
                </c:pt>
                <c:pt idx="349">
                  <c:v>2.0117853812619053</c:v>
                </c:pt>
                <c:pt idx="350">
                  <c:v>1.96090202742944</c:v>
                </c:pt>
                <c:pt idx="351">
                  <c:v>1.9102930508685423</c:v>
                </c:pt>
                <c:pt idx="352">
                  <c:v>1.8599553120093764</c:v>
                </c:pt>
                <c:pt idx="353">
                  <c:v>1.8086968332708029</c:v>
                </c:pt>
                <c:pt idx="354">
                  <c:v>1.757716167316755</c:v>
                </c:pt>
                <c:pt idx="355">
                  <c:v>1.707010110164112</c:v>
                </c:pt>
                <c:pt idx="356">
                  <c:v>1.6565755111232339</c:v>
                </c:pt>
                <c:pt idx="357">
                  <c:v>1.6053184971824788</c:v>
                </c:pt>
                <c:pt idx="358">
                  <c:v>1.5543384215537912</c:v>
                </c:pt>
                <c:pt idx="359">
                  <c:v>1.5036320878653902</c:v>
                </c:pt>
                <c:pt idx="360">
                  <c:v>1.4531963528882066</c:v>
                </c:pt>
                <c:pt idx="361">
                  <c:v>1.4018182405890853</c:v>
                </c:pt>
                <c:pt idx="362">
                  <c:v>1.3507174644514499</c:v>
                </c:pt>
                <c:pt idx="363">
                  <c:v>1.2998908134527514</c:v>
                </c:pt>
                <c:pt idx="364">
                  <c:v>1.2493351300534248</c:v>
                </c:pt>
                <c:pt idx="365">
                  <c:v>1.197932820795798</c:v>
                </c:pt>
                <c:pt idx="366">
                  <c:v>1.1468071497323205</c:v>
                </c:pt>
                <c:pt idx="367">
                  <c:v>1.095954909838244</c:v>
                </c:pt>
                <c:pt idx="368">
                  <c:v>1.0453729474980173</c:v>
                </c:pt>
                <c:pt idx="369">
                  <c:v>0.99383095777918218</c:v>
                </c:pt>
                <c:pt idx="370">
                  <c:v>0.94256609370330735</c:v>
                </c:pt>
                <c:pt idx="371">
                  <c:v>0.8915751313353264</c:v>
                </c:pt>
                <c:pt idx="372">
                  <c:v>0.84085490053735246</c:v>
                </c:pt>
                <c:pt idx="373">
                  <c:v>0.78926781890362607</c:v>
                </c:pt>
                <c:pt idx="374">
                  <c:v>0.73795727746775019</c:v>
                </c:pt>
                <c:pt idx="375">
                  <c:v>0.68692005366461373</c:v>
                </c:pt>
                <c:pt idx="376">
                  <c:v>0.63615297870751664</c:v>
                </c:pt>
                <c:pt idx="377">
                  <c:v>0.58441179282995048</c:v>
                </c:pt>
                <c:pt idx="378">
                  <c:v>0.53294766683643424</c:v>
                </c:pt>
                <c:pt idx="379">
                  <c:v>0.48175735985518553</c:v>
                </c:pt>
                <c:pt idx="380">
                  <c:v>0.43083768520928023</c:v>
                </c:pt>
                <c:pt idx="381">
                  <c:v>0.37909844285071098</c:v>
                </c:pt>
                <c:pt idx="382">
                  <c:v>0.32763505127333226</c:v>
                </c:pt>
                <c:pt idx="383">
                  <c:v>0.27644428111271296</c:v>
                </c:pt>
                <c:pt idx="384">
                  <c:v>0.22552295695157654</c:v>
                </c:pt>
                <c:pt idx="385">
                  <c:v>0.17361592129768921</c:v>
                </c:pt>
                <c:pt idx="386">
                  <c:v>0.12198526900913706</c:v>
                </c:pt>
                <c:pt idx="387">
                  <c:v>7.0627751276437209E-2</c:v>
                </c:pt>
                <c:pt idx="388">
                  <c:v>1.9540173675680172E-2</c:v>
                </c:pt>
                <c:pt idx="389">
                  <c:v>-3.2445081822999176E-2</c:v>
                </c:pt>
                <c:pt idx="390">
                  <c:v>-8.4154444662621869E-2</c:v>
                </c:pt>
                <c:pt idx="391">
                  <c:v>-0.13559116563101589</c:v>
                </c:pt>
                <c:pt idx="392">
                  <c:v>-0.18675844108242257</c:v>
                </c:pt>
                <c:pt idx="393">
                  <c:v>-0.23879954667668796</c:v>
                </c:pt>
                <c:pt idx="394">
                  <c:v>-0.29056555722649152</c:v>
                </c:pt>
                <c:pt idx="395">
                  <c:v>-0.34205972056444883</c:v>
                </c:pt>
                <c:pt idx="396">
                  <c:v>-0.39328523015359373</c:v>
                </c:pt>
                <c:pt idx="397">
                  <c:v>-0.44547913016398327</c:v>
                </c:pt>
                <c:pt idx="398">
                  <c:v>-0.49739778610943947</c:v>
                </c:pt>
                <c:pt idx="399">
                  <c:v>-0.54904446013327979</c:v>
                </c:pt>
                <c:pt idx="400">
                  <c:v>-0.60042235969106073</c:v>
                </c:pt>
                <c:pt idx="401">
                  <c:v>-0.65268537340272981</c:v>
                </c:pt>
                <c:pt idx="402">
                  <c:v>-0.70467395508245567</c:v>
                </c:pt>
                <c:pt idx="403">
                  <c:v>-0.7563913647453322</c:v>
                </c:pt>
                <c:pt idx="404">
                  <c:v>-0.80784080776920564</c:v>
                </c:pt>
                <c:pt idx="405">
                  <c:v>-0.86020871948802713</c:v>
                </c:pt>
                <c:pt idx="406">
                  <c:v>-0.9123027175187276</c:v>
                </c:pt>
                <c:pt idx="407">
                  <c:v>-0.9641260655547137</c:v>
                </c:pt>
                <c:pt idx="408">
                  <c:v>-1.0156819725758817</c:v>
                </c:pt>
                <c:pt idx="409">
                  <c:v>-1.0681876859836752</c:v>
                </c:pt>
                <c:pt idx="410">
                  <c:v>-1.1204197492360166</c:v>
                </c:pt>
                <c:pt idx="411">
                  <c:v>-1.1723814349159447</c:v>
                </c:pt>
                <c:pt idx="412">
                  <c:v>-1.2240759607032772</c:v>
                </c:pt>
                <c:pt idx="413">
                  <c:v>-1.2766956624592043</c:v>
                </c:pt>
                <c:pt idx="414">
                  <c:v>-1.3290423184946467</c:v>
                </c:pt>
                <c:pt idx="415">
                  <c:v>-1.3811192049035426</c:v>
                </c:pt>
                <c:pt idx="416">
                  <c:v>-1.4329295428098217</c:v>
                </c:pt>
                <c:pt idx="417">
                  <c:v>-1.4856943206175468</c:v>
                </c:pt>
                <c:pt idx="418">
                  <c:v>-1.5381864327344195</c:v>
                </c:pt>
                <c:pt idx="419">
                  <c:v>-1.5904091635555222</c:v>
                </c:pt>
                <c:pt idx="420">
                  <c:v>-1.6423657423353375</c:v>
                </c:pt>
                <c:pt idx="421">
                  <c:v>-1.6952005176981355</c:v>
                </c:pt>
                <c:pt idx="422">
                  <c:v>-1.7477638805037556</c:v>
                </c:pt>
                <c:pt idx="423">
                  <c:v>-1.8000591085008997</c:v>
                </c:pt>
                <c:pt idx="424">
                  <c:v>-1.8520894244639603</c:v>
                </c:pt>
                <c:pt idx="425">
                  <c:v>-1.9051285575347041</c:v>
                </c:pt>
                <c:pt idx="426">
                  <c:v>-1.9578962593950613</c:v>
                </c:pt>
                <c:pt idx="427">
                  <c:v>-2.0103958249911784</c:v>
                </c:pt>
                <c:pt idx="428">
                  <c:v>-2.0626304939326747</c:v>
                </c:pt>
                <c:pt idx="429">
                  <c:v>-2.1157986141600804</c:v>
                </c:pt>
                <c:pt idx="430">
                  <c:v>-2.1686961702280461</c:v>
                </c:pt>
                <c:pt idx="431">
                  <c:v>-2.2213264591807964</c:v>
                </c:pt>
                <c:pt idx="432">
                  <c:v>-2.2736927227046042</c:v>
                </c:pt>
                <c:pt idx="433">
                  <c:v>-2.3269693743405591</c:v>
                </c:pt>
                <c:pt idx="434">
                  <c:v>-2.3799766501316579</c:v>
                </c:pt>
                <c:pt idx="435">
                  <c:v>-2.4327178443017274</c:v>
                </c:pt>
                <c:pt idx="436">
                  <c:v>-2.4851961958088631</c:v>
                </c:pt>
                <c:pt idx="437">
                  <c:v>-2.5386584691370691</c:v>
                </c:pt>
                <c:pt idx="438">
                  <c:v>-2.5918518989608215</c:v>
                </c:pt>
                <c:pt idx="439">
                  <c:v>-2.6447797897199554</c:v>
                </c:pt>
                <c:pt idx="440">
                  <c:v>-2.6974453903941487</c:v>
                </c:pt>
                <c:pt idx="441">
                  <c:v>-2.7510708649485718</c:v>
                </c:pt>
                <c:pt idx="442">
                  <c:v>-2.8044283857639405</c:v>
                </c:pt>
                <c:pt idx="443">
                  <c:v>-2.8575212620829022</c:v>
                </c:pt>
                <c:pt idx="444">
                  <c:v>-2.9103527476187372</c:v>
                </c:pt>
                <c:pt idx="445">
                  <c:v>-2.9641210470584638</c:v>
                </c:pt>
                <c:pt idx="446">
                  <c:v>-3.0176226197886469</c:v>
                </c:pt>
                <c:pt idx="447">
                  <c:v>-3.0708607747985504</c:v>
                </c:pt>
                <c:pt idx="448">
                  <c:v>-3.1238387655963438</c:v>
                </c:pt>
                <c:pt idx="449">
                  <c:v>-3.1778216041811218</c:v>
                </c:pt>
                <c:pt idx="450">
                  <c:v>-3.2315383763984453</c:v>
                </c:pt>
                <c:pt idx="451">
                  <c:v>-3.2849924027896931</c:v>
                </c:pt>
                <c:pt idx="452">
                  <c:v>-3.3381869482051059</c:v>
                </c:pt>
                <c:pt idx="453">
                  <c:v>-3.392318382138102</c:v>
                </c:pt>
                <c:pt idx="454">
                  <c:v>-3.4461852094716354</c:v>
                </c:pt>
                <c:pt idx="455">
                  <c:v>-3.4997907487575892</c:v>
                </c:pt>
                <c:pt idx="456">
                  <c:v>-3.5531382629537482</c:v>
                </c:pt>
                <c:pt idx="457">
                  <c:v>-3.6074878652843427</c:v>
                </c:pt>
                <c:pt idx="458">
                  <c:v>-3.6615737978520069</c:v>
                </c:pt>
                <c:pt idx="459">
                  <c:v>-3.7153993884714431</c:v>
                </c:pt>
                <c:pt idx="460">
                  <c:v>-3.768967909214846</c:v>
                </c:pt>
                <c:pt idx="461">
                  <c:v>-3.8235155041139572</c:v>
                </c:pt>
                <c:pt idx="462">
                  <c:v>-3.8778007296213532</c:v>
                </c:pt>
                <c:pt idx="463">
                  <c:v>-3.9318269175445701</c:v>
                </c:pt>
                <c:pt idx="464">
                  <c:v>-3.9855973439232746</c:v>
                </c:pt>
                <c:pt idx="465">
                  <c:v>-4.0403665526619452</c:v>
                </c:pt>
                <c:pt idx="466">
                  <c:v>-4.0948746402283911</c:v>
                </c:pt>
                <c:pt idx="467">
                  <c:v>-4.1491249450878698</c:v>
                </c:pt>
                <c:pt idx="468">
                  <c:v>-4.2031207498588756</c:v>
                </c:pt>
                <c:pt idx="469">
                  <c:v>-4.2580931555193304</c:v>
                </c:pt>
                <c:pt idx="470">
                  <c:v>-4.3128060456410013</c:v>
                </c:pt>
                <c:pt idx="471">
                  <c:v>-4.3672627602842304</c:v>
                </c:pt>
                <c:pt idx="472">
                  <c:v>-4.4214665837021192</c:v>
                </c:pt>
                <c:pt idx="473">
                  <c:v>-4.4767061772749637</c:v>
                </c:pt>
                <c:pt idx="474">
                  <c:v>-4.5316874513291339</c:v>
                </c:pt>
                <c:pt idx="475">
                  <c:v>-4.5864137573286907</c:v>
                </c:pt>
                <c:pt idx="476">
                  <c:v>-4.6408883907580609</c:v>
                </c:pt>
                <c:pt idx="477">
                  <c:v>-4.6963764044615628</c:v>
                </c:pt>
                <c:pt idx="478">
                  <c:v>-4.7516076772156675</c:v>
                </c:pt>
                <c:pt idx="479">
                  <c:v>-4.8065855665703214</c:v>
                </c:pt>
                <c:pt idx="480">
                  <c:v>-4.8613133740477457</c:v>
                </c:pt>
                <c:pt idx="481">
                  <c:v>-4.9170332261165859</c:v>
                </c:pt>
                <c:pt idx="482">
                  <c:v>-4.9724982788133829</c:v>
                </c:pt>
                <c:pt idx="483">
                  <c:v>-5.0277118908143335</c:v>
                </c:pt>
                <c:pt idx="484">
                  <c:v>-5.0826773648355985</c:v>
                </c:pt>
                <c:pt idx="485">
                  <c:v>-5.1386526022632566</c:v>
                </c:pt>
                <c:pt idx="486">
                  <c:v>-5.1943749840279665</c:v>
                </c:pt>
                <c:pt idx="487">
                  <c:v>-5.2498478721321433</c:v>
                </c:pt>
                <c:pt idx="488">
                  <c:v>-5.3050745726425843</c:v>
                </c:pt>
                <c:pt idx="489">
                  <c:v>-5.3613654287691883</c:v>
                </c:pt>
                <c:pt idx="490">
                  <c:v>-5.4174050656319377</c:v>
                </c:pt>
                <c:pt idx="491">
                  <c:v>-5.473196857172451</c:v>
                </c:pt>
                <c:pt idx="492">
                  <c:v>-5.5287441212361186</c:v>
                </c:pt>
                <c:pt idx="493">
                  <c:v>-5.5853343153292343</c:v>
                </c:pt>
                <c:pt idx="494">
                  <c:v>-5.6416753230833807</c:v>
                </c:pt>
                <c:pt idx="495">
                  <c:v>-5.6977705251307755</c:v>
                </c:pt>
                <c:pt idx="496">
                  <c:v>-5.7536232459678507</c:v>
                </c:pt>
                <c:pt idx="497">
                  <c:v>-5.8105348188445083</c:v>
                </c:pt>
                <c:pt idx="498">
                  <c:v>-5.8671993041607777</c:v>
                </c:pt>
                <c:pt idx="499">
                  <c:v>-5.9236200907360095</c:v>
                </c:pt>
                <c:pt idx="500">
                  <c:v>-5.9798005111854753</c:v>
                </c:pt>
                <c:pt idx="501">
                  <c:v>-6.0370552434686235</c:v>
                </c:pt>
                <c:pt idx="502">
                  <c:v>-6.0940650727351233</c:v>
                </c:pt>
                <c:pt idx="503">
                  <c:v>-6.150833397279813</c:v>
                </c:pt>
                <c:pt idx="504">
                  <c:v>-6.207363559100151</c:v>
                </c:pt>
                <c:pt idx="505">
                  <c:v>-6.2649482509135801</c:v>
                </c:pt>
                <c:pt idx="506">
                  <c:v>-6.3222906211684746</c:v>
                </c:pt>
                <c:pt idx="507">
                  <c:v>-6.3793940725841312</c:v>
                </c:pt>
                <c:pt idx="508">
                  <c:v>-6.4362619516024147</c:v>
                </c:pt>
                <c:pt idx="509">
                  <c:v>-6.4941999634127088</c:v>
                </c:pt>
                <c:pt idx="510">
                  <c:v>-6.5518983312097205</c:v>
                </c:pt>
                <c:pt idx="511">
                  <c:v>-6.6093604634258964</c:v>
                </c:pt>
                <c:pt idx="512">
                  <c:v>-6.6665897122080464</c:v>
                </c:pt>
                <c:pt idx="513">
                  <c:v>-6.7249381185269588</c:v>
                </c:pt>
                <c:pt idx="514">
                  <c:v>-6.7830494007893263</c:v>
                </c:pt>
                <c:pt idx="515">
                  <c:v>-6.8409269801182955</c:v>
                </c:pt>
                <c:pt idx="516">
                  <c:v>-6.8985742211883263</c:v>
                </c:pt>
                <c:pt idx="517">
                  <c:v>-6.9573217107640692</c:v>
                </c:pt>
                <c:pt idx="518">
                  <c:v>-7.0158350192444026</c:v>
                </c:pt>
                <c:pt idx="519">
                  <c:v>-7.0741175751948715</c:v>
                </c:pt>
                <c:pt idx="520">
                  <c:v>-7.1321727506803132</c:v>
                </c:pt>
                <c:pt idx="521">
                  <c:v>-7.191343094014937</c:v>
                </c:pt>
                <c:pt idx="522">
                  <c:v>-7.2502823494689226</c:v>
                </c:pt>
                <c:pt idx="523">
                  <c:v>-7.3089939537575175</c:v>
                </c:pt>
                <c:pt idx="524">
                  <c:v>-7.3674812870203068</c:v>
                </c:pt>
                <c:pt idx="525">
                  <c:v>-7.4270986078125265</c:v>
                </c:pt>
                <c:pt idx="526">
                  <c:v>-7.4864881010934861</c:v>
                </c:pt>
                <c:pt idx="527">
                  <c:v>-7.5456532122406648</c:v>
                </c:pt>
                <c:pt idx="528">
                  <c:v>-7.604597329958426</c:v>
                </c:pt>
                <c:pt idx="529">
                  <c:v>-7.6646862189164802</c:v>
                </c:pt>
                <c:pt idx="530">
                  <c:v>-7.7245507241019729</c:v>
                </c:pt>
                <c:pt idx="531">
                  <c:v>-7.7841942998679716</c:v>
                </c:pt>
                <c:pt idx="532">
                  <c:v>-7.8436203437741892</c:v>
                </c:pt>
                <c:pt idx="533">
                  <c:v>-7.9042371903869313</c:v>
                </c:pt>
                <c:pt idx="534">
                  <c:v>-7.9646330696431331</c:v>
                </c:pt>
                <c:pt idx="535">
                  <c:v>-8.0248114502997083</c:v>
                </c:pt>
                <c:pt idx="536">
                  <c:v>-8.0847757440598311</c:v>
                </c:pt>
                <c:pt idx="537">
                  <c:v>-8.1458835202959179</c:v>
                </c:pt>
                <c:pt idx="538">
                  <c:v>-8.2067744185735432</c:v>
                </c:pt>
                <c:pt idx="539">
                  <c:v>-8.2674519111780587</c:v>
                </c:pt>
                <c:pt idx="540">
                  <c:v>-8.3279194132902568</c:v>
                </c:pt>
                <c:pt idx="541">
                  <c:v>-8.3896067947256405</c:v>
                </c:pt>
                <c:pt idx="542">
                  <c:v>-8.451081173414682</c:v>
                </c:pt>
                <c:pt idx="543">
                  <c:v>-8.5123460353702747</c:v>
                </c:pt>
                <c:pt idx="544">
                  <c:v>-8.5734048091907713</c:v>
                </c:pt>
                <c:pt idx="545">
                  <c:v>-8.6356681687200556</c:v>
                </c:pt>
                <c:pt idx="546">
                  <c:v>-8.6977228648056339</c:v>
                </c:pt>
                <c:pt idx="547">
                  <c:v>-8.7595723912520427</c:v>
                </c:pt>
                <c:pt idx="548">
                  <c:v>-8.8212201842238525</c:v>
                </c:pt>
                <c:pt idx="549">
                  <c:v>-8.8840881002670251</c:v>
                </c:pt>
                <c:pt idx="550">
                  <c:v>-8.9467519437865111</c:v>
                </c:pt>
                <c:pt idx="551">
                  <c:v>-9.0092152154872114</c:v>
                </c:pt>
                <c:pt idx="552">
                  <c:v>-9.0714813581721749</c:v>
                </c:pt>
                <c:pt idx="553">
                  <c:v>-9.1350126657514448</c:v>
                </c:pt>
                <c:pt idx="554">
                  <c:v>-9.1983445720250767</c:v>
                </c:pt>
                <c:pt idx="555">
                  <c:v>-9.261480588189908</c:v>
                </c:pt>
                <c:pt idx="556">
                  <c:v>-9.3244241671313208</c:v>
                </c:pt>
                <c:pt idx="557">
                  <c:v>-9.452678647514464</c:v>
                </c:pt>
                <c:pt idx="558">
                  <c:v>-9.580169407095779</c:v>
                </c:pt>
                <c:pt idx="559">
                  <c:v>-9.7098208707387439</c:v>
                </c:pt>
                <c:pt idx="560">
                  <c:v>-9.8387303481367887</c:v>
                </c:pt>
                <c:pt idx="561">
                  <c:v>-9.9699583834228456</c:v>
                </c:pt>
                <c:pt idx="562">
                  <c:v>-10.100466076796931</c:v>
                </c:pt>
                <c:pt idx="563">
                  <c:v>-10.233059288463306</c:v>
                </c:pt>
                <c:pt idx="564">
                  <c:v>-10.36495797811078</c:v>
                </c:pt>
                <c:pt idx="565">
                  <c:v>-10.499489503408586</c:v>
                </c:pt>
                <c:pt idx="566">
                  <c:v>-10.633348333425907</c:v>
                </c:pt>
                <c:pt idx="567">
                  <c:v>-10.769829838107565</c:v>
                </c:pt>
                <c:pt idx="568">
                  <c:v>-10.905662625855006</c:v>
                </c:pt>
                <c:pt idx="569">
                  <c:v>-11.043572357646118</c:v>
                </c:pt>
                <c:pt idx="570">
                  <c:v>-11.180864091138492</c:v>
                </c:pt>
                <c:pt idx="571">
                  <c:v>-11.321309558017278</c:v>
                </c:pt>
                <c:pt idx="572">
                  <c:v>-11.461159855666608</c:v>
                </c:pt>
                <c:pt idx="573">
                  <c:v>-11.603095144207142</c:v>
                </c:pt>
                <c:pt idx="574">
                  <c:v>-11.744468801695389</c:v>
                </c:pt>
                <c:pt idx="575">
                  <c:v>-11.888993215985149</c:v>
                </c:pt>
                <c:pt idx="576">
                  <c:v>-12.032982538100882</c:v>
                </c:pt>
                <c:pt idx="577">
                  <c:v>-12.637245462259891</c:v>
                </c:pt>
                <c:pt idx="578">
                  <c:v>-13.234222741141103</c:v>
                </c:pt>
                <c:pt idx="579">
                  <c:v>-14.524180324878644</c:v>
                </c:pt>
                <c:pt idx="580">
                  <c:v>-15.922378345550918</c:v>
                </c:pt>
                <c:pt idx="581">
                  <c:v>-17.444809745403255</c:v>
                </c:pt>
                <c:pt idx="582">
                  <c:v>-19.109115192049135</c:v>
                </c:pt>
                <c:pt idx="583">
                  <c:v>-20.927200968793024</c:v>
                </c:pt>
                <c:pt idx="584">
                  <c:v>-22.907865491086984</c:v>
                </c:pt>
                <c:pt idx="585">
                  <c:v>-25.050293414008383</c:v>
                </c:pt>
                <c:pt idx="586">
                  <c:v>-27.34777160775365</c:v>
                </c:pt>
                <c:pt idx="587">
                  <c:v>-29.788683898510847</c:v>
                </c:pt>
                <c:pt idx="588">
                  <c:v>-32.353936117922132</c:v>
                </c:pt>
                <c:pt idx="589">
                  <c:v>-35.027241086599574</c:v>
                </c:pt>
                <c:pt idx="590">
                  <c:v>-37.789597009372166</c:v>
                </c:pt>
                <c:pt idx="591">
                  <c:v>-40.624661104019765</c:v>
                </c:pt>
                <c:pt idx="592">
                  <c:v>-43.517459236714444</c:v>
                </c:pt>
                <c:pt idx="593">
                  <c:v>-46.45635896400178</c:v>
                </c:pt>
                <c:pt idx="594">
                  <c:v>-49.430015742853072</c:v>
                </c:pt>
                <c:pt idx="595">
                  <c:v>-52.430091659171197</c:v>
                </c:pt>
                <c:pt idx="596">
                  <c:v>-55.448363440552058</c:v>
                </c:pt>
                <c:pt idx="597">
                  <c:v>-58.478891705463454</c:v>
                </c:pt>
                <c:pt idx="598">
                  <c:v>-61.515122290409742</c:v>
                </c:pt>
                <c:pt idx="599">
                  <c:v>-64.552601545530635</c:v>
                </c:pt>
                <c:pt idx="600">
                  <c:v>-67.586058206341932</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3553.2795265512345</c:v>
                </c:pt>
              </c:numCache>
            </c:numRef>
          </c:xVal>
          <c:yVal>
            <c:numRef>
              <c:f>'Stability Calculations'!$D$635</c:f>
              <c:numCache>
                <c:formatCode>0.00</c:formatCode>
                <c:ptCount val="1"/>
                <c:pt idx="0">
                  <c:v>19.288586655798596</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0.45754585778389983</c:v>
                </c:pt>
              </c:numCache>
            </c:numRef>
          </c:xVal>
          <c:yVal>
            <c:numRef>
              <c:f>'Stability Calculations'!$Q$624</c:f>
              <c:numCache>
                <c:formatCode>0.00</c:formatCode>
                <c:ptCount val="1"/>
                <c:pt idx="0">
                  <c:v>93.210926753796016</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4455.8582868057547</c:v>
                </c:pt>
              </c:numCache>
            </c:numRef>
          </c:xVal>
          <c:yVal>
            <c:numRef>
              <c:f>'Stability Calculations'!$D$632</c:f>
              <c:numCache>
                <c:formatCode>0.00</c:formatCode>
                <c:ptCount val="1"/>
                <c:pt idx="0">
                  <c:v>17.54234758248068</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2411438.5344508542</c:v>
                </c:pt>
              </c:numCache>
            </c:numRef>
          </c:xVal>
          <c:yVal>
            <c:numRef>
              <c:f>'Stability Calculations'!$Q$623</c:f>
              <c:numCache>
                <c:formatCode>0.00</c:formatCode>
                <c:ptCount val="1"/>
                <c:pt idx="0">
                  <c:v>-95.613309550768662</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-65.411096410468602</c:v>
                </c:pt>
                <c:pt idx="1">
                  <c:v>-67.347381936046474</c:v>
                </c:pt>
                <c:pt idx="2">
                  <c:v>-69.162067100694458</c:v>
                </c:pt>
                <c:pt idx="3">
                  <c:v>-70.856035992402028</c:v>
                </c:pt>
                <c:pt idx="4">
                  <c:v>-72.430844585934409</c:v>
                </c:pt>
                <c:pt idx="5">
                  <c:v>-73.892885911081535</c:v>
                </c:pt>
                <c:pt idx="6">
                  <c:v>-75.244761968271064</c:v>
                </c:pt>
                <c:pt idx="7">
                  <c:v>-76.492822130662304</c:v>
                </c:pt>
                <c:pt idx="8">
                  <c:v>-77.642019387402044</c:v>
                </c:pt>
                <c:pt idx="9">
                  <c:v>-78.699278910012836</c:v>
                </c:pt>
                <c:pt idx="10">
                  <c:v>-79.670056899010149</c:v>
                </c:pt>
                <c:pt idx="11">
                  <c:v>-80.56052731486362</c:v>
                </c:pt>
                <c:pt idx="12">
                  <c:v>-81.376944795441773</c:v>
                </c:pt>
                <c:pt idx="13">
                  <c:v>-82.124121901649204</c:v>
                </c:pt>
                <c:pt idx="14">
                  <c:v>-82.807993904519932</c:v>
                </c:pt>
                <c:pt idx="15">
                  <c:v>-83.433294601278092</c:v>
                </c:pt>
                <c:pt idx="16">
                  <c:v>-84.004787152498267</c:v>
                </c:pt>
                <c:pt idx="17">
                  <c:v>-84.526791105322033</c:v>
                </c:pt>
                <c:pt idx="18">
                  <c:v>-85.003536988782713</c:v>
                </c:pt>
                <c:pt idx="19">
                  <c:v>-85.438672273527146</c:v>
                </c:pt>
                <c:pt idx="20">
                  <c:v>-85.83577523298068</c:v>
                </c:pt>
                <c:pt idx="21">
                  <c:v>-86.197981392311021</c:v>
                </c:pt>
                <c:pt idx="22">
                  <c:v>-86.528325532927497</c:v>
                </c:pt>
                <c:pt idx="23">
                  <c:v>-86.829441654716831</c:v>
                </c:pt>
                <c:pt idx="24">
                  <c:v>-87.103895628417987</c:v>
                </c:pt>
                <c:pt idx="25">
                  <c:v>-87.353919656645772</c:v>
                </c:pt>
                <c:pt idx="26">
                  <c:v>-87.581649851543574</c:v>
                </c:pt>
                <c:pt idx="27">
                  <c:v>-87.788914452014652</c:v>
                </c:pt>
                <c:pt idx="28">
                  <c:v>-87.977464295626945</c:v>
                </c:pt>
                <c:pt idx="29">
                  <c:v>-88.148785292698307</c:v>
                </c:pt>
                <c:pt idx="30">
                  <c:v>-88.304601615588382</c:v>
                </c:pt>
                <c:pt idx="31">
                  <c:v>-88.445993656319501</c:v>
                </c:pt>
                <c:pt idx="32">
                  <c:v>-88.574253180225455</c:v>
                </c:pt>
                <c:pt idx="33">
                  <c:v>-88.690374311086487</c:v>
                </c:pt>
                <c:pt idx="34">
                  <c:v>-88.795429959657227</c:v>
                </c:pt>
                <c:pt idx="35">
                  <c:v>-88.890247304724952</c:v>
                </c:pt>
                <c:pt idx="36">
                  <c:v>-88.975647568112038</c:v>
                </c:pt>
                <c:pt idx="37">
                  <c:v>-89.052394625553063</c:v>
                </c:pt>
                <c:pt idx="38">
                  <c:v>-89.121065502760359</c:v>
                </c:pt>
                <c:pt idx="39">
                  <c:v>-89.18229978362946</c:v>
                </c:pt>
                <c:pt idx="40">
                  <c:v>-89.236590685139873</c:v>
                </c:pt>
                <c:pt idx="41">
                  <c:v>-89.284403951785535</c:v>
                </c:pt>
                <c:pt idx="42">
                  <c:v>-89.326139735565448</c:v>
                </c:pt>
                <c:pt idx="43">
                  <c:v>-89.362164353111098</c:v>
                </c:pt>
                <c:pt idx="44">
                  <c:v>-89.392773737762425</c:v>
                </c:pt>
                <c:pt idx="45">
                  <c:v>-89.418234473931321</c:v>
                </c:pt>
                <c:pt idx="46">
                  <c:v>-89.438758327982143</c:v>
                </c:pt>
                <c:pt idx="47">
                  <c:v>-89.454524972474218</c:v>
                </c:pt>
                <c:pt idx="48">
                  <c:v>-89.465665949552999</c:v>
                </c:pt>
                <c:pt idx="49">
                  <c:v>-89.472280702498807</c:v>
                </c:pt>
                <c:pt idx="50">
                  <c:v>-89.474426303776582</c:v>
                </c:pt>
                <c:pt idx="51">
                  <c:v>-89.472123706869681</c:v>
                </c:pt>
                <c:pt idx="52">
                  <c:v>-89.46535797314165</c:v>
                </c:pt>
                <c:pt idx="53">
                  <c:v>-89.454078568518739</c:v>
                </c:pt>
                <c:pt idx="54">
                  <c:v>-89.438209865161298</c:v>
                </c:pt>
                <c:pt idx="55">
                  <c:v>-89.417598440145468</c:v>
                </c:pt>
                <c:pt idx="56">
                  <c:v>-89.39210757089846</c:v>
                </c:pt>
                <c:pt idx="57">
                  <c:v>-89.361522323412999</c:v>
                </c:pt>
                <c:pt idx="58">
                  <c:v>-89.325629830311911</c:v>
                </c:pt>
                <c:pt idx="59">
                  <c:v>-89.284129589416395</c:v>
                </c:pt>
                <c:pt idx="60">
                  <c:v>-89.23673287741228</c:v>
                </c:pt>
                <c:pt idx="61">
                  <c:v>-89.18308682083503</c:v>
                </c:pt>
                <c:pt idx="62">
                  <c:v>-89.122774173521734</c:v>
                </c:pt>
                <c:pt idx="63">
                  <c:v>-89.055433937817114</c:v>
                </c:pt>
                <c:pt idx="64">
                  <c:v>-88.980563897458325</c:v>
                </c:pt>
                <c:pt idx="65">
                  <c:v>-88.897713717248365</c:v>
                </c:pt>
                <c:pt idx="66">
                  <c:v>-88.806382201625553</c:v>
                </c:pt>
                <c:pt idx="67">
                  <c:v>-88.706080384514252</c:v>
                </c:pt>
                <c:pt idx="68">
                  <c:v>-88.596281266409804</c:v>
                </c:pt>
                <c:pt idx="69">
                  <c:v>-88.476541942707613</c:v>
                </c:pt>
                <c:pt idx="70">
                  <c:v>-88.346419028049837</c:v>
                </c:pt>
                <c:pt idx="71">
                  <c:v>-88.20560600203639</c:v>
                </c:pt>
                <c:pt idx="72">
                  <c:v>-88.053870063861211</c:v>
                </c:pt>
                <c:pt idx="73">
                  <c:v>-87.891232978688322</c:v>
                </c:pt>
                <c:pt idx="74">
                  <c:v>-87.717892955876849</c:v>
                </c:pt>
                <c:pt idx="75">
                  <c:v>-87.534453890781123</c:v>
                </c:pt>
                <c:pt idx="76">
                  <c:v>-87.341886726185891</c:v>
                </c:pt>
                <c:pt idx="77">
                  <c:v>-87.141816905803481</c:v>
                </c:pt>
                <c:pt idx="78">
                  <c:v>-86.936473871759077</c:v>
                </c:pt>
                <c:pt idx="79">
                  <c:v>-86.729015120489052</c:v>
                </c:pt>
                <c:pt idx="80">
                  <c:v>-86.523022533074055</c:v>
                </c:pt>
                <c:pt idx="81">
                  <c:v>-86.32371160336902</c:v>
                </c:pt>
                <c:pt idx="82">
                  <c:v>-86.136907432721515</c:v>
                </c:pt>
                <c:pt idx="83">
                  <c:v>-85.969697143992107</c:v>
                </c:pt>
                <c:pt idx="84">
                  <c:v>-85.829779921938908</c:v>
                </c:pt>
                <c:pt idx="85">
                  <c:v>-85.725698035752458</c:v>
                </c:pt>
                <c:pt idx="86">
                  <c:v>-85.66614866450567</c:v>
                </c:pt>
                <c:pt idx="87">
                  <c:v>-85.65967431858337</c:v>
                </c:pt>
                <c:pt idx="88">
                  <c:v>-85.714116338001602</c:v>
                </c:pt>
                <c:pt idx="89">
                  <c:v>-85.836116302034611</c:v>
                </c:pt>
                <c:pt idx="90">
                  <c:v>-86.030597790157884</c:v>
                </c:pt>
                <c:pt idx="91">
                  <c:v>-86.300554048345788</c:v>
                </c:pt>
                <c:pt idx="92">
                  <c:v>-86.646862075985595</c:v>
                </c:pt>
                <c:pt idx="93">
                  <c:v>-87.068628800856089</c:v>
                </c:pt>
                <c:pt idx="94">
                  <c:v>-87.185528946077881</c:v>
                </c:pt>
                <c:pt idx="95">
                  <c:v>-87.246045582920203</c:v>
                </c:pt>
                <c:pt idx="96">
                  <c:v>-87.306981798602749</c:v>
                </c:pt>
                <c:pt idx="97">
                  <c:v>-87.369734591237119</c:v>
                </c:pt>
                <c:pt idx="98">
                  <c:v>-87.432866516388742</c:v>
                </c:pt>
                <c:pt idx="99">
                  <c:v>-87.497841087146398</c:v>
                </c:pt>
                <c:pt idx="100">
                  <c:v>-87.563154118046995</c:v>
                </c:pt>
                <c:pt idx="101">
                  <c:v>-87.630284297271899</c:v>
                </c:pt>
                <c:pt idx="102">
                  <c:v>-87.697711680308359</c:v>
                </c:pt>
                <c:pt idx="103">
                  <c:v>-87.767029338904123</c:v>
                </c:pt>
                <c:pt idx="104">
                  <c:v>-87.836603391397048</c:v>
                </c:pt>
                <c:pt idx="105">
                  <c:v>-87.908038688548203</c:v>
                </c:pt>
                <c:pt idx="106">
                  <c:v>-87.979689274187763</c:v>
                </c:pt>
                <c:pt idx="107">
                  <c:v>-88.053169792691435</c:v>
                </c:pt>
                <c:pt idx="108">
                  <c:v>-88.126824514229625</c:v>
                </c:pt>
                <c:pt idx="109">
                  <c:v>-88.20232742283622</c:v>
                </c:pt>
                <c:pt idx="110">
                  <c:v>-88.277963928890841</c:v>
                </c:pt>
                <c:pt idx="111">
                  <c:v>-88.355517410900049</c:v>
                </c:pt>
                <c:pt idx="112">
                  <c:v>-88.433164546186163</c:v>
                </c:pt>
                <c:pt idx="113">
                  <c:v>-88.512693264512592</c:v>
                </c:pt>
                <c:pt idx="114">
                  <c:v>-88.592276128625755</c:v>
                </c:pt>
                <c:pt idx="115">
                  <c:v>-88.673755601327187</c:v>
                </c:pt>
                <c:pt idx="116">
                  <c:v>-88.755250424622247</c:v>
                </c:pt>
                <c:pt idx="117">
                  <c:v>-88.838655893014092</c:v>
                </c:pt>
                <c:pt idx="118">
                  <c:v>-88.922038708005147</c:v>
                </c:pt>
                <c:pt idx="119">
                  <c:v>-89.007293581797782</c:v>
                </c:pt>
                <c:pt idx="120">
                  <c:v>-89.092488750882978</c:v>
                </c:pt>
                <c:pt idx="121">
                  <c:v>-89.179568409003991</c:v>
                </c:pt>
                <c:pt idx="122">
                  <c:v>-89.266552357611928</c:v>
                </c:pt>
                <c:pt idx="123">
                  <c:v>-89.355484015476435</c:v>
                </c:pt>
                <c:pt idx="124">
                  <c:v>-89.444284906194071</c:v>
                </c:pt>
                <c:pt idx="125">
                  <c:v>-89.534993015648467</c:v>
                </c:pt>
                <c:pt idx="126">
                  <c:v>-89.625536575819268</c:v>
                </c:pt>
                <c:pt idx="127">
                  <c:v>-89.717997924799718</c:v>
                </c:pt>
                <c:pt idx="128">
                  <c:v>-89.810262167722428</c:v>
                </c:pt>
                <c:pt idx="129">
                  <c:v>-89.904454313215723</c:v>
                </c:pt>
                <c:pt idx="130">
                  <c:v>-89.998418071171912</c:v>
                </c:pt>
                <c:pt idx="131">
                  <c:v>-90.094319467045722</c:v>
                </c:pt>
                <c:pt idx="132">
                  <c:v>-90.142173820830806</c:v>
                </c:pt>
                <c:pt idx="133">
                  <c:v>-90.189962514404243</c:v>
                </c:pt>
                <c:pt idx="134">
                  <c:v>-90.238818168014191</c:v>
                </c:pt>
                <c:pt idx="135">
                  <c:v>-90.287602945372157</c:v>
                </c:pt>
                <c:pt idx="136">
                  <c:v>-90.33631589602129</c:v>
                </c:pt>
                <c:pt idx="137">
                  <c:v>-90.3849561272079</c:v>
                </c:pt>
                <c:pt idx="138">
                  <c:v>-90.434624590466655</c:v>
                </c:pt>
                <c:pt idx="139">
                  <c:v>-90.484215281541765</c:v>
                </c:pt>
                <c:pt idx="140">
                  <c:v>-90.53372741886831</c:v>
                </c:pt>
                <c:pt idx="141">
                  <c:v>-90.583160274898688</c:v>
                </c:pt>
                <c:pt idx="142">
                  <c:v>-90.633682524334958</c:v>
                </c:pt>
                <c:pt idx="143">
                  <c:v>-90.684120309265097</c:v>
                </c:pt>
                <c:pt idx="144">
                  <c:v>-90.734473011559999</c:v>
                </c:pt>
                <c:pt idx="145">
                  <c:v>-90.784740063562154</c:v>
                </c:pt>
                <c:pt idx="146">
                  <c:v>-90.836082317035505</c:v>
                </c:pt>
                <c:pt idx="147">
                  <c:v>-90.887333857030058</c:v>
                </c:pt>
                <c:pt idx="148">
                  <c:v>-90.938494226514649</c:v>
                </c:pt>
                <c:pt idx="149">
                  <c:v>-90.989563015214259</c:v>
                </c:pt>
                <c:pt idx="150">
                  <c:v>-91.041717422765373</c:v>
                </c:pt>
                <c:pt idx="151">
                  <c:v>-91.093775238238408</c:v>
                </c:pt>
                <c:pt idx="152">
                  <c:v>-91.145736161619951</c:v>
                </c:pt>
                <c:pt idx="153">
                  <c:v>-91.197599935899035</c:v>
                </c:pt>
                <c:pt idx="154">
                  <c:v>-91.250583777303817</c:v>
                </c:pt>
                <c:pt idx="155">
                  <c:v>-91.303465426994578</c:v>
                </c:pt>
                <c:pt idx="156">
                  <c:v>-91.356244737266294</c:v>
                </c:pt>
                <c:pt idx="157">
                  <c:v>-91.40892159971466</c:v>
                </c:pt>
                <c:pt idx="158">
                  <c:v>-91.462728057142002</c:v>
                </c:pt>
                <c:pt idx="159">
                  <c:v>-91.516427092332094</c:v>
                </c:pt>
                <c:pt idx="160">
                  <c:v>-91.570018705408501</c:v>
                </c:pt>
                <c:pt idx="161">
                  <c:v>-91.623502932075297</c:v>
                </c:pt>
                <c:pt idx="162">
                  <c:v>-91.678102055270571</c:v>
                </c:pt>
                <c:pt idx="163">
                  <c:v>-91.732588994993762</c:v>
                </c:pt>
                <c:pt idx="164">
                  <c:v>-91.786963894064669</c:v>
                </c:pt>
                <c:pt idx="165">
                  <c:v>-91.841226927110881</c:v>
                </c:pt>
                <c:pt idx="166">
                  <c:v>-91.89666173124742</c:v>
                </c:pt>
                <c:pt idx="167">
                  <c:v>-91.951979763722193</c:v>
                </c:pt>
                <c:pt idx="168">
                  <c:v>-92.007181305103273</c:v>
                </c:pt>
                <c:pt idx="169">
                  <c:v>-92.062266664126568</c:v>
                </c:pt>
                <c:pt idx="170">
                  <c:v>-92.118414512377299</c:v>
                </c:pt>
                <c:pt idx="171">
                  <c:v>-92.174441872938928</c:v>
                </c:pt>
                <c:pt idx="172">
                  <c:v>-92.230349156176246</c:v>
                </c:pt>
                <c:pt idx="173">
                  <c:v>-92.28613679680555</c:v>
                </c:pt>
                <c:pt idx="174">
                  <c:v>-92.343207122847275</c:v>
                </c:pt>
                <c:pt idx="175">
                  <c:v>-92.400152695598891</c:v>
                </c:pt>
                <c:pt idx="176">
                  <c:v>-92.456974054067771</c:v>
                </c:pt>
                <c:pt idx="177">
                  <c:v>-92.513671758214258</c:v>
                </c:pt>
                <c:pt idx="178">
                  <c:v>-92.571636021646924</c:v>
                </c:pt>
                <c:pt idx="179">
                  <c:v>-92.629471726474961</c:v>
                </c:pt>
                <c:pt idx="180">
                  <c:v>-92.687179534873081</c:v>
                </c:pt>
                <c:pt idx="181">
                  <c:v>-92.744760126541649</c:v>
                </c:pt>
                <c:pt idx="182">
                  <c:v>-92.803361993225693</c:v>
                </c:pt>
                <c:pt idx="183">
                  <c:v>-92.861832982515025</c:v>
                </c:pt>
                <c:pt idx="184">
                  <c:v>-92.920173864239004</c:v>
                </c:pt>
                <c:pt idx="185">
                  <c:v>-92.978385422128738</c:v>
                </c:pt>
                <c:pt idx="186">
                  <c:v>-93.038061083971698</c:v>
                </c:pt>
                <c:pt idx="187">
                  <c:v>-93.097601942052833</c:v>
                </c:pt>
                <c:pt idx="188">
                  <c:v>-93.157008885011436</c:v>
                </c:pt>
                <c:pt idx="189">
                  <c:v>-93.216282812253468</c:v>
                </c:pt>
                <c:pt idx="190">
                  <c:v>-93.276552014978876</c:v>
                </c:pt>
                <c:pt idx="191">
                  <c:v>-93.336684992267905</c:v>
                </c:pt>
                <c:pt idx="192">
                  <c:v>-93.396682723966691</c:v>
                </c:pt>
                <c:pt idx="193">
                  <c:v>-93.456546197306082</c:v>
                </c:pt>
                <c:pt idx="194">
                  <c:v>-93.517840582851562</c:v>
                </c:pt>
                <c:pt idx="195">
                  <c:v>-93.578995704487284</c:v>
                </c:pt>
                <c:pt idx="196">
                  <c:v>-93.640012647445218</c:v>
                </c:pt>
                <c:pt idx="197">
                  <c:v>-93.700892501296337</c:v>
                </c:pt>
                <c:pt idx="198">
                  <c:v>-93.762965003220842</c:v>
                </c:pt>
                <c:pt idx="199">
                  <c:v>-93.824896657226745</c:v>
                </c:pt>
                <c:pt idx="200">
                  <c:v>-93.886688634772852</c:v>
                </c:pt>
                <c:pt idx="201">
                  <c:v>-93.948342108632033</c:v>
                </c:pt>
                <c:pt idx="202">
                  <c:v>-94.011174960949702</c:v>
                </c:pt>
                <c:pt idx="203">
                  <c:v>-94.073865784534831</c:v>
                </c:pt>
                <c:pt idx="204">
                  <c:v>-94.136415828776535</c:v>
                </c:pt>
                <c:pt idx="205">
                  <c:v>-94.198826341511591</c:v>
                </c:pt>
                <c:pt idx="206">
                  <c:v>-94.262620990587337</c:v>
                </c:pt>
                <c:pt idx="207">
                  <c:v>-94.326271838020958</c:v>
                </c:pt>
                <c:pt idx="208">
                  <c:v>-94.389780216411069</c:v>
                </c:pt>
                <c:pt idx="209">
                  <c:v>-94.453147454049486</c:v>
                </c:pt>
                <c:pt idx="210">
                  <c:v>-94.518099271934744</c:v>
                </c:pt>
                <c:pt idx="211">
                  <c:v>-94.582904962073485</c:v>
                </c:pt>
                <c:pt idx="212">
                  <c:v>-94.647565946838881</c:v>
                </c:pt>
                <c:pt idx="213">
                  <c:v>-94.712083641560071</c:v>
                </c:pt>
                <c:pt idx="214">
                  <c:v>-94.777741260136239</c:v>
                </c:pt>
                <c:pt idx="215">
                  <c:v>-94.84325276880918</c:v>
                </c:pt>
                <c:pt idx="216">
                  <c:v>-94.908619643695729</c:v>
                </c:pt>
                <c:pt idx="217">
                  <c:v>-94.973843351454477</c:v>
                </c:pt>
                <c:pt idx="218">
                  <c:v>-95.040407662216268</c:v>
                </c:pt>
                <c:pt idx="219">
                  <c:v>-95.106825274348338</c:v>
                </c:pt>
                <c:pt idx="220">
                  <c:v>-95.173097724109283</c:v>
                </c:pt>
                <c:pt idx="221">
                  <c:v>-95.239226535947807</c:v>
                </c:pt>
                <c:pt idx="222">
                  <c:v>-95.306682655016573</c:v>
                </c:pt>
                <c:pt idx="223">
                  <c:v>-95.373991843430659</c:v>
                </c:pt>
                <c:pt idx="224">
                  <c:v>-95.44115568983716</c:v>
                </c:pt>
                <c:pt idx="225">
                  <c:v>-95.508175768887469</c:v>
                </c:pt>
                <c:pt idx="226">
                  <c:v>-95.576718576423744</c:v>
                </c:pt>
                <c:pt idx="227">
                  <c:v>-95.645113664837027</c:v>
                </c:pt>
                <c:pt idx="228">
                  <c:v>-95.71336268244562</c:v>
                </c:pt>
                <c:pt idx="229">
                  <c:v>-95.781467261364455</c:v>
                </c:pt>
                <c:pt idx="230">
                  <c:v>-95.920544239418447</c:v>
                </c:pt>
                <c:pt idx="231">
                  <c:v>-95.989862227063441</c:v>
                </c:pt>
                <c:pt idx="232">
                  <c:v>-96.059035462803521</c:v>
                </c:pt>
                <c:pt idx="233">
                  <c:v>-96.129702583214566</c:v>
                </c:pt>
                <c:pt idx="234">
                  <c:v>-96.200221506663794</c:v>
                </c:pt>
                <c:pt idx="235">
                  <c:v>-96.270593978251384</c:v>
                </c:pt>
                <c:pt idx="236">
                  <c:v>-96.340821722901921</c:v>
                </c:pt>
                <c:pt idx="237">
                  <c:v>-96.412326985634522</c:v>
                </c:pt>
                <c:pt idx="238">
                  <c:v>-96.483685152522995</c:v>
                </c:pt>
                <c:pt idx="239">
                  <c:v>-96.554897990896066</c:v>
                </c:pt>
                <c:pt idx="240">
                  <c:v>-96.625967246411946</c:v>
                </c:pt>
                <c:pt idx="241">
                  <c:v>-96.698706282937096</c:v>
                </c:pt>
                <c:pt idx="242">
                  <c:v>-96.771297949971967</c:v>
                </c:pt>
                <c:pt idx="243">
                  <c:v>-96.843744060152574</c:v>
                </c:pt>
                <c:pt idx="244">
                  <c:v>-96.916046402627103</c:v>
                </c:pt>
                <c:pt idx="245">
                  <c:v>-96.989804269383441</c:v>
                </c:pt>
                <c:pt idx="246">
                  <c:v>-97.063415631531129</c:v>
                </c:pt>
                <c:pt idx="247">
                  <c:v>-97.136882324800624</c:v>
                </c:pt>
                <c:pt idx="248">
                  <c:v>-97.210206160040201</c:v>
                </c:pt>
                <c:pt idx="249">
                  <c:v>-97.285172121434243</c:v>
                </c:pt>
                <c:pt idx="250">
                  <c:v>-97.359991938906361</c:v>
                </c:pt>
                <c:pt idx="251">
                  <c:v>-97.434667479312807</c:v>
                </c:pt>
                <c:pt idx="252">
                  <c:v>-97.509200583132099</c:v>
                </c:pt>
                <c:pt idx="253">
                  <c:v>-97.585166002305826</c:v>
                </c:pt>
                <c:pt idx="254">
                  <c:v>-97.660986688180159</c:v>
                </c:pt>
                <c:pt idx="255">
                  <c:v>-97.736664517258831</c:v>
                </c:pt>
                <c:pt idx="256">
                  <c:v>-97.812201338620426</c:v>
                </c:pt>
                <c:pt idx="257">
                  <c:v>-97.889550447407728</c:v>
                </c:pt>
                <c:pt idx="258">
                  <c:v>-97.966755003250626</c:v>
                </c:pt>
                <c:pt idx="259">
                  <c:v>-98.043816914911517</c:v>
                </c:pt>
                <c:pt idx="260">
                  <c:v>-98.120738062276502</c:v>
                </c:pt>
                <c:pt idx="261">
                  <c:v>-98.199263747434316</c:v>
                </c:pt>
                <c:pt idx="262">
                  <c:v>-98.277646083726481</c:v>
                </c:pt>
                <c:pt idx="263">
                  <c:v>-98.355886990965558</c:v>
                </c:pt>
                <c:pt idx="264">
                  <c:v>-98.433988359090719</c:v>
                </c:pt>
                <c:pt idx="265">
                  <c:v>-98.513683025355462</c:v>
                </c:pt>
                <c:pt idx="266">
                  <c:v>-98.593235781845905</c:v>
                </c:pt>
                <c:pt idx="267">
                  <c:v>-98.672648553366571</c:v>
                </c:pt>
                <c:pt idx="268">
                  <c:v>-98.751923234016644</c:v>
                </c:pt>
                <c:pt idx="269">
                  <c:v>-98.832971574892355</c:v>
                </c:pt>
                <c:pt idx="270">
                  <c:v>-98.913878998030839</c:v>
                </c:pt>
                <c:pt idx="271">
                  <c:v>-98.994647441115887</c:v>
                </c:pt>
                <c:pt idx="272">
                  <c:v>-99.075278810158508</c:v>
                </c:pt>
                <c:pt idx="273">
                  <c:v>-99.157671857736005</c:v>
                </c:pt>
                <c:pt idx="274">
                  <c:v>-99.23992523091944</c:v>
                </c:pt>
                <c:pt idx="275">
                  <c:v>-99.322040874098334</c:v>
                </c:pt>
                <c:pt idx="276">
                  <c:v>-99.404020699182908</c:v>
                </c:pt>
                <c:pt idx="277">
                  <c:v>-99.487562446779648</c:v>
                </c:pt>
                <c:pt idx="278">
                  <c:v>-99.570966609230979</c:v>
                </c:pt>
                <c:pt idx="279">
                  <c:v>-99.654235118806369</c:v>
                </c:pt>
                <c:pt idx="280">
                  <c:v>-99.73736987494155</c:v>
                </c:pt>
                <c:pt idx="281">
                  <c:v>-99.822619312236881</c:v>
                </c:pt>
                <c:pt idx="282">
                  <c:v>-99.907731609603076</c:v>
                </c:pt>
                <c:pt idx="283">
                  <c:v>-99.992708720789381</c:v>
                </c:pt>
                <c:pt idx="284">
                  <c:v>-100.07755256562039</c:v>
                </c:pt>
                <c:pt idx="285">
                  <c:v>-100.16393934938864</c:v>
                </c:pt>
                <c:pt idx="286">
                  <c:v>-100.25019147011965</c:v>
                </c:pt>
                <c:pt idx="287">
                  <c:v>-100.33631085891119</c:v>
                </c:pt>
                <c:pt idx="288">
                  <c:v>-100.42229941288689</c:v>
                </c:pt>
                <c:pt idx="289">
                  <c:v>-100.51037780792251</c:v>
                </c:pt>
                <c:pt idx="290">
                  <c:v>-100.59832245108397</c:v>
                </c:pt>
                <c:pt idx="291">
                  <c:v>-100.68613528336691</c:v>
                </c:pt>
                <c:pt idx="292">
                  <c:v>-100.77381821100691</c:v>
                </c:pt>
                <c:pt idx="293">
                  <c:v>-100.86339493475081</c:v>
                </c:pt>
                <c:pt idx="294">
                  <c:v>-100.95283960886545</c:v>
                </c:pt>
                <c:pt idx="295">
                  <c:v>-101.0421541663387</c:v>
                </c:pt>
                <c:pt idx="296">
                  <c:v>-101.13134050505556</c:v>
                </c:pt>
                <c:pt idx="297">
                  <c:v>-101.22241066538705</c:v>
                </c:pt>
                <c:pt idx="298">
                  <c:v>-101.31335065405625</c:v>
                </c:pt>
                <c:pt idx="299">
                  <c:v>-101.40416239123657</c:v>
                </c:pt>
                <c:pt idx="300">
                  <c:v>-101.49484776179553</c:v>
                </c:pt>
                <c:pt idx="301">
                  <c:v>-101.5874075645138</c:v>
                </c:pt>
                <c:pt idx="302">
                  <c:v>-101.67983922841641</c:v>
                </c:pt>
                <c:pt idx="303">
                  <c:v>-101.77214465646459</c:v>
                </c:pt>
                <c:pt idx="304">
                  <c:v>-101.86432571624236</c:v>
                </c:pt>
                <c:pt idx="305">
                  <c:v>-101.95873385196843</c:v>
                </c:pt>
                <c:pt idx="306">
                  <c:v>-102.05301505314554</c:v>
                </c:pt>
                <c:pt idx="307">
                  <c:v>-102.14717122312432</c:v>
                </c:pt>
                <c:pt idx="308">
                  <c:v>-102.24120422938896</c:v>
                </c:pt>
                <c:pt idx="309">
                  <c:v>-102.3370935937518</c:v>
                </c:pt>
                <c:pt idx="310">
                  <c:v>-102.43285837299534</c:v>
                </c:pt>
                <c:pt idx="311">
                  <c:v>-102.52850044441945</c:v>
                </c:pt>
                <c:pt idx="312">
                  <c:v>-102.62402164964836</c:v>
                </c:pt>
                <c:pt idx="313">
                  <c:v>-102.72174920467738</c:v>
                </c:pt>
                <c:pt idx="314">
                  <c:v>-102.81935372656993</c:v>
                </c:pt>
                <c:pt idx="315">
                  <c:v>-102.91683708367634</c:v>
                </c:pt>
                <c:pt idx="316">
                  <c:v>-103.01420110844934</c:v>
                </c:pt>
                <c:pt idx="317">
                  <c:v>-103.113761572888</c:v>
                </c:pt>
                <c:pt idx="318">
                  <c:v>-103.21320073025964</c:v>
                </c:pt>
                <c:pt idx="319">
                  <c:v>-103.31252043531893</c:v>
                </c:pt>
                <c:pt idx="320">
                  <c:v>-103.41172250683354</c:v>
                </c:pt>
                <c:pt idx="321">
                  <c:v>-103.51311169482128</c:v>
                </c:pt>
                <c:pt idx="322">
                  <c:v>-103.61438145541383</c:v>
                </c:pt>
                <c:pt idx="323">
                  <c:v>-103.71553362552258</c:v>
                </c:pt>
                <c:pt idx="324">
                  <c:v>-103.8165700061072</c:v>
                </c:pt>
                <c:pt idx="325">
                  <c:v>-103.91978474139617</c:v>
                </c:pt>
                <c:pt idx="326">
                  <c:v>-104.02288206295016</c:v>
                </c:pt>
                <c:pt idx="327">
                  <c:v>-104.12586378599012</c:v>
                </c:pt>
                <c:pt idx="328">
                  <c:v>-104.22873168993678</c:v>
                </c:pt>
                <c:pt idx="329">
                  <c:v>-104.33394527415754</c:v>
                </c:pt>
                <c:pt idx="330">
                  <c:v>-104.43904319078437</c:v>
                </c:pt>
                <c:pt idx="331">
                  <c:v>-104.54402723880226</c:v>
                </c:pt>
                <c:pt idx="332">
                  <c:v>-104.64889918141843</c:v>
                </c:pt>
                <c:pt idx="333">
                  <c:v>-104.75593315917497</c:v>
                </c:pt>
                <c:pt idx="334">
                  <c:v>-104.86285372318689</c:v>
                </c:pt>
                <c:pt idx="335">
                  <c:v>-104.96966264367265</c:v>
                </c:pt>
                <c:pt idx="336">
                  <c:v>-105.07636165544095</c:v>
                </c:pt>
                <c:pt idx="337">
                  <c:v>-105.18556363402556</c:v>
                </c:pt>
                <c:pt idx="338">
                  <c:v>-105.29465382627703</c:v>
                </c:pt>
                <c:pt idx="339">
                  <c:v>-105.40363398754918</c:v>
                </c:pt>
                <c:pt idx="340">
                  <c:v>-105.51250583779759</c:v>
                </c:pt>
                <c:pt idx="341">
                  <c:v>-105.62387180907554</c:v>
                </c:pt>
                <c:pt idx="342">
                  <c:v>-105.73512776454079</c:v>
                </c:pt>
                <c:pt idx="343">
                  <c:v>-105.84627544071306</c:v>
                </c:pt>
                <c:pt idx="344">
                  <c:v>-105.95731653884158</c:v>
                </c:pt>
                <c:pt idx="345">
                  <c:v>-106.07067073843531</c:v>
                </c:pt>
                <c:pt idx="346">
                  <c:v>-106.18391714330811</c:v>
                </c:pt>
                <c:pt idx="347">
                  <c:v>-106.29705745982861</c:v>
                </c:pt>
                <c:pt idx="348">
                  <c:v>-106.41009335953986</c:v>
                </c:pt>
                <c:pt idx="349">
                  <c:v>-106.52577967598084</c:v>
                </c:pt>
                <c:pt idx="350">
                  <c:v>-106.6413598625614</c:v>
                </c:pt>
                <c:pt idx="351">
                  <c:v>-106.75683560797626</c:v>
                </c:pt>
                <c:pt idx="352">
                  <c:v>-106.87220856621178</c:v>
                </c:pt>
                <c:pt idx="353">
                  <c:v>-106.99022370392979</c:v>
                </c:pt>
                <c:pt idx="354">
                  <c:v>-107.10813450242637</c:v>
                </c:pt>
                <c:pt idx="355">
                  <c:v>-107.22594262912449</c:v>
                </c:pt>
                <c:pt idx="356">
                  <c:v>-107.34364971696256</c:v>
                </c:pt>
                <c:pt idx="357">
                  <c:v>-107.46382038966919</c:v>
                </c:pt>
                <c:pt idx="358">
                  <c:v>-107.58388891026426</c:v>
                </c:pt>
                <c:pt idx="359">
                  <c:v>-107.70385691475742</c:v>
                </c:pt>
                <c:pt idx="360">
                  <c:v>-107.82372600518592</c:v>
                </c:pt>
                <c:pt idx="361">
                  <c:v>-107.94639288744548</c:v>
                </c:pt>
                <c:pt idx="362">
                  <c:v>-108.0689593098747</c:v>
                </c:pt>
                <c:pt idx="363">
                  <c:v>-108.19142688823698</c:v>
                </c:pt>
                <c:pt idx="364">
                  <c:v>-108.31379720453555</c:v>
                </c:pt>
                <c:pt idx="365">
                  <c:v>-108.4387879458337</c:v>
                </c:pt>
                <c:pt idx="366">
                  <c:v>-108.56368029289389</c:v>
                </c:pt>
                <c:pt idx="367">
                  <c:v>-108.68847583160968</c:v>
                </c:pt>
                <c:pt idx="368">
                  <c:v>-108.81317611460113</c:v>
                </c:pt>
                <c:pt idx="369">
                  <c:v>-108.94082894318588</c:v>
                </c:pt>
                <c:pt idx="370">
                  <c:v>-109.06838499521815</c:v>
                </c:pt>
                <c:pt idx="371">
                  <c:v>-109.19584583684446</c:v>
                </c:pt>
                <c:pt idx="372">
                  <c:v>-109.32321300114873</c:v>
                </c:pt>
                <c:pt idx="373">
                  <c:v>-109.45335653313589</c:v>
                </c:pt>
                <c:pt idx="374">
                  <c:v>-109.58340525592317</c:v>
                </c:pt>
                <c:pt idx="375">
                  <c:v>-109.71336070680073</c:v>
                </c:pt>
                <c:pt idx="376">
                  <c:v>-109.84322439046724</c:v>
                </c:pt>
                <c:pt idx="377">
                  <c:v>-109.9761946994296</c:v>
                </c:pt>
                <c:pt idx="378">
                  <c:v>-110.10907175969432</c:v>
                </c:pt>
                <c:pt idx="379">
                  <c:v>-110.24185708887387</c:v>
                </c:pt>
                <c:pt idx="380">
                  <c:v>-110.37455217220638</c:v>
                </c:pt>
                <c:pt idx="381">
                  <c:v>-110.51001105116505</c:v>
                </c:pt>
                <c:pt idx="382">
                  <c:v>-110.64537879177351</c:v>
                </c:pt>
                <c:pt idx="383">
                  <c:v>-110.78065687790158</c:v>
                </c:pt>
                <c:pt idx="384">
                  <c:v>-110.9158467616639</c:v>
                </c:pt>
                <c:pt idx="385">
                  <c:v>-111.05429705432834</c:v>
                </c:pt>
                <c:pt idx="386">
                  <c:v>-111.19265770759456</c:v>
                </c:pt>
                <c:pt idx="387">
                  <c:v>-111.33093018573099</c:v>
                </c:pt>
                <c:pt idx="388">
                  <c:v>-111.46911592146994</c:v>
                </c:pt>
                <c:pt idx="389">
                  <c:v>-111.61038812721078</c:v>
                </c:pt>
                <c:pt idx="390">
                  <c:v>-111.75157249455805</c:v>
                </c:pt>
                <c:pt idx="391">
                  <c:v>-111.89267046007669</c:v>
                </c:pt>
                <c:pt idx="392">
                  <c:v>-112.03368342924652</c:v>
                </c:pt>
                <c:pt idx="393">
                  <c:v>-112.17777690756259</c:v>
                </c:pt>
                <c:pt idx="394">
                  <c:v>-112.32178440448234</c:v>
                </c:pt>
                <c:pt idx="395">
                  <c:v>-112.46570732669328</c:v>
                </c:pt>
                <c:pt idx="396">
                  <c:v>-112.60954705031175</c:v>
                </c:pt>
                <c:pt idx="397">
                  <c:v>-112.75679399057398</c:v>
                </c:pt>
                <c:pt idx="398">
                  <c:v>-112.9039564711448</c:v>
                </c:pt>
                <c:pt idx="399">
                  <c:v>-113.05103587619598</c:v>
                </c:pt>
                <c:pt idx="400">
                  <c:v>-113.1980335596279</c:v>
                </c:pt>
                <c:pt idx="401">
                  <c:v>-113.34826634539047</c:v>
                </c:pt>
                <c:pt idx="402">
                  <c:v>-113.49841644830565</c:v>
                </c:pt>
                <c:pt idx="403">
                  <c:v>-113.64848522290765</c:v>
                </c:pt>
                <c:pt idx="404">
                  <c:v>-113.79847399396232</c:v>
                </c:pt>
                <c:pt idx="405">
                  <c:v>-113.9518578706822</c:v>
                </c:pt>
                <c:pt idx="406">
                  <c:v>-114.10516070591765</c:v>
                </c:pt>
                <c:pt idx="407">
                  <c:v>-114.25838382693213</c:v>
                </c:pt>
                <c:pt idx="408">
                  <c:v>-114.41152853165056</c:v>
                </c:pt>
                <c:pt idx="409">
                  <c:v>-114.56822783375935</c:v>
                </c:pt>
                <c:pt idx="410">
                  <c:v>-114.72484761526937</c:v>
                </c:pt>
                <c:pt idx="411">
                  <c:v>-114.88138917811102</c:v>
                </c:pt>
                <c:pt idx="412">
                  <c:v>-115.03785379524123</c:v>
                </c:pt>
                <c:pt idx="413">
                  <c:v>-115.19786727771401</c:v>
                </c:pt>
                <c:pt idx="414">
                  <c:v>-115.35780281214107</c:v>
                </c:pt>
                <c:pt idx="415">
                  <c:v>-115.51766167276561</c:v>
                </c:pt>
                <c:pt idx="416">
                  <c:v>-115.67744510528259</c:v>
                </c:pt>
                <c:pt idx="417">
                  <c:v>-115.84093645733792</c:v>
                </c:pt>
                <c:pt idx="418">
                  <c:v>-116.00435131893008</c:v>
                </c:pt>
                <c:pt idx="419">
                  <c:v>-116.16769093823612</c:v>
                </c:pt>
                <c:pt idx="420">
                  <c:v>-116.33095653524921</c:v>
                </c:pt>
                <c:pt idx="421">
                  <c:v>-116.49776040000798</c:v>
                </c:pt>
                <c:pt idx="422">
                  <c:v>-116.6644894200343</c:v>
                </c:pt>
                <c:pt idx="423">
                  <c:v>-116.83114481156862</c:v>
                </c:pt>
                <c:pt idx="424">
                  <c:v>-116.99772776319469</c:v>
                </c:pt>
                <c:pt idx="425">
                  <c:v>-117.16833578380752</c:v>
                </c:pt>
                <c:pt idx="426">
                  <c:v>-117.33887019607698</c:v>
                </c:pt>
                <c:pt idx="427">
                  <c:v>-117.50933219283051</c:v>
                </c:pt>
                <c:pt idx="428">
                  <c:v>-117.67972293949005</c:v>
                </c:pt>
                <c:pt idx="429">
                  <c:v>-117.85396945738029</c:v>
                </c:pt>
                <c:pt idx="430">
                  <c:v>-118.02814378491341</c:v>
                </c:pt>
                <c:pt idx="431">
                  <c:v>-118.20224708554149</c:v>
                </c:pt>
                <c:pt idx="432">
                  <c:v>-118.37628049572126</c:v>
                </c:pt>
                <c:pt idx="433">
                  <c:v>-118.55416467132501</c:v>
                </c:pt>
                <c:pt idx="434">
                  <c:v>-118.73197809090307</c:v>
                </c:pt>
                <c:pt idx="435">
                  <c:v>-118.90972188644061</c:v>
                </c:pt>
                <c:pt idx="436">
                  <c:v>-119.08739716337796</c:v>
                </c:pt>
                <c:pt idx="437">
                  <c:v>-119.26924459328411</c:v>
                </c:pt>
                <c:pt idx="438">
                  <c:v>-119.45102245682459</c:v>
                </c:pt>
                <c:pt idx="439">
                  <c:v>-119.63273185847275</c:v>
                </c:pt>
                <c:pt idx="440">
                  <c:v>-119.8143738764547</c:v>
                </c:pt>
                <c:pt idx="441">
                  <c:v>-120.00018283224169</c:v>
                </c:pt>
                <c:pt idx="442">
                  <c:v>-120.18592342842203</c:v>
                </c:pt>
                <c:pt idx="443">
                  <c:v>-120.37159673943125</c:v>
                </c:pt>
                <c:pt idx="444">
                  <c:v>-120.55720381379794</c:v>
                </c:pt>
                <c:pt idx="445">
                  <c:v>-120.74697287051924</c:v>
                </c:pt>
                <c:pt idx="446">
                  <c:v>-120.93667477613856</c:v>
                </c:pt>
                <c:pt idx="447">
                  <c:v>-121.12631057269461</c:v>
                </c:pt>
                <c:pt idx="448">
                  <c:v>-121.31588127669445</c:v>
                </c:pt>
                <c:pt idx="449">
                  <c:v>-121.50993395976442</c:v>
                </c:pt>
                <c:pt idx="450">
                  <c:v>-121.70392046734104</c:v>
                </c:pt>
                <c:pt idx="451">
                  <c:v>-121.89784181186225</c:v>
                </c:pt>
                <c:pt idx="452">
                  <c:v>-122.09169898047001</c:v>
                </c:pt>
                <c:pt idx="453">
                  <c:v>-122.28987082094143</c:v>
                </c:pt>
                <c:pt idx="454">
                  <c:v>-122.48797756236208</c:v>
                </c:pt>
                <c:pt idx="455">
                  <c:v>-122.68602018237773</c:v>
                </c:pt>
                <c:pt idx="456">
                  <c:v>-122.8839996336898</c:v>
                </c:pt>
                <c:pt idx="457">
                  <c:v>-123.08661298571224</c:v>
                </c:pt>
                <c:pt idx="458">
                  <c:v>-123.28916207848516</c:v>
                </c:pt>
                <c:pt idx="459">
                  <c:v>-123.49164785697887</c:v>
                </c:pt>
                <c:pt idx="460">
                  <c:v>-123.69407124143433</c:v>
                </c:pt>
                <c:pt idx="461">
                  <c:v>-123.9011234486119</c:v>
                </c:pt>
                <c:pt idx="462">
                  <c:v>-124.1081122079583</c:v>
                </c:pt>
                <c:pt idx="463">
                  <c:v>-124.31503842879812</c:v>
                </c:pt>
                <c:pt idx="464">
                  <c:v>-124.52190299596751</c:v>
                </c:pt>
                <c:pt idx="465">
                  <c:v>-124.73355301159471</c:v>
                </c:pt>
                <c:pt idx="466">
                  <c:v>-124.9451402490221</c:v>
                </c:pt>
                <c:pt idx="467">
                  <c:v>-125.15666558099575</c:v>
                </c:pt>
                <c:pt idx="468">
                  <c:v>-125.36812985595895</c:v>
                </c:pt>
                <c:pt idx="469">
                  <c:v>-125.58437451349994</c:v>
                </c:pt>
                <c:pt idx="470">
                  <c:v>-125.80055700602284</c:v>
                </c:pt>
                <c:pt idx="471">
                  <c:v>-126.01667816649363</c:v>
                </c:pt>
                <c:pt idx="472">
                  <c:v>-126.23273880377698</c:v>
                </c:pt>
                <c:pt idx="473">
                  <c:v>-126.45389720966365</c:v>
                </c:pt>
                <c:pt idx="474">
                  <c:v>-126.67499380842449</c:v>
                </c:pt>
                <c:pt idx="475">
                  <c:v>-126.89602939347159</c:v>
                </c:pt>
                <c:pt idx="476">
                  <c:v>-127.11700473418669</c:v>
                </c:pt>
                <c:pt idx="477">
                  <c:v>-127.34307242840167</c:v>
                </c:pt>
                <c:pt idx="478">
                  <c:v>-127.56907859082156</c:v>
                </c:pt>
                <c:pt idx="479">
                  <c:v>-127.79502397143332</c:v>
                </c:pt>
                <c:pt idx="480">
                  <c:v>-128.02090929627602</c:v>
                </c:pt>
                <c:pt idx="481">
                  <c:v>-128.25188161227297</c:v>
                </c:pt>
                <c:pt idx="482">
                  <c:v>-128.48279256574233</c:v>
                </c:pt>
                <c:pt idx="483">
                  <c:v>-128.71364285933123</c:v>
                </c:pt>
                <c:pt idx="484">
                  <c:v>-128.94443317182342</c:v>
                </c:pt>
                <c:pt idx="485">
                  <c:v>-129.18046578017351</c:v>
                </c:pt>
                <c:pt idx="486">
                  <c:v>-129.41643698182213</c:v>
                </c:pt>
                <c:pt idx="487">
                  <c:v>-129.65234742939234</c:v>
                </c:pt>
                <c:pt idx="488">
                  <c:v>-129.88819775165825</c:v>
                </c:pt>
                <c:pt idx="489">
                  <c:v>-130.12960572138465</c:v>
                </c:pt>
                <c:pt idx="490">
                  <c:v>-130.37095192617639</c:v>
                </c:pt>
                <c:pt idx="491">
                  <c:v>-130.61223696653425</c:v>
                </c:pt>
                <c:pt idx="492">
                  <c:v>-130.85346141898953</c:v>
                </c:pt>
                <c:pt idx="493">
                  <c:v>-131.10023732999082</c:v>
                </c:pt>
                <c:pt idx="494">
                  <c:v>-131.34695094711356</c:v>
                </c:pt>
                <c:pt idx="495">
                  <c:v>-131.59360281345994</c:v>
                </c:pt>
                <c:pt idx="496">
                  <c:v>-131.84019344803201</c:v>
                </c:pt>
                <c:pt idx="497">
                  <c:v>-132.09248940435504</c:v>
                </c:pt>
                <c:pt idx="498">
                  <c:v>-132.34472225545306</c:v>
                </c:pt>
                <c:pt idx="499">
                  <c:v>-132.59689248244607</c:v>
                </c:pt>
                <c:pt idx="500">
                  <c:v>-132.84900054214356</c:v>
                </c:pt>
                <c:pt idx="501">
                  <c:v>-133.10696721701549</c:v>
                </c:pt>
                <c:pt idx="502">
                  <c:v>-133.36486966179834</c:v>
                </c:pt>
                <c:pt idx="503">
                  <c:v>-133.62270829030533</c:v>
                </c:pt>
                <c:pt idx="504">
                  <c:v>-133.88048349174599</c:v>
                </c:pt>
                <c:pt idx="505">
                  <c:v>-134.144110122623</c:v>
                </c:pt>
                <c:pt idx="506">
                  <c:v>-134.40767112848707</c:v>
                </c:pt>
                <c:pt idx="507">
                  <c:v>-134.67116684912085</c:v>
                </c:pt>
                <c:pt idx="508">
                  <c:v>-134.93459759938048</c:v>
                </c:pt>
                <c:pt idx="509">
                  <c:v>-135.20403198803592</c:v>
                </c:pt>
                <c:pt idx="510">
                  <c:v>-135.47339896619991</c:v>
                </c:pt>
                <c:pt idx="511">
                  <c:v>-135.74269879299516</c:v>
                </c:pt>
                <c:pt idx="512">
                  <c:v>-136.01193170219918</c:v>
                </c:pt>
                <c:pt idx="513">
                  <c:v>-136.28747922151186</c:v>
                </c:pt>
                <c:pt idx="514">
                  <c:v>-136.56295702864585</c:v>
                </c:pt>
                <c:pt idx="515">
                  <c:v>-136.83836529477554</c:v>
                </c:pt>
                <c:pt idx="516">
                  <c:v>-137.11370416515027</c:v>
                </c:pt>
                <c:pt idx="517">
                  <c:v>-137.39534861046644</c:v>
                </c:pt>
                <c:pt idx="518">
                  <c:v>-137.67692063458952</c:v>
                </c:pt>
                <c:pt idx="519">
                  <c:v>-137.95842031166296</c:v>
                </c:pt>
                <c:pt idx="520">
                  <c:v>-138.23984768927943</c:v>
                </c:pt>
                <c:pt idx="521">
                  <c:v>-138.52773026091793</c:v>
                </c:pt>
                <c:pt idx="522">
                  <c:v>-138.81553715655062</c:v>
                </c:pt>
                <c:pt idx="523">
                  <c:v>-139.10326834360788</c:v>
                </c:pt>
                <c:pt idx="524">
                  <c:v>-139.39092376223203</c:v>
                </c:pt>
                <c:pt idx="525">
                  <c:v>-139.68518292202216</c:v>
                </c:pt>
                <c:pt idx="526">
                  <c:v>-139.97936253978233</c:v>
                </c:pt>
                <c:pt idx="527">
                  <c:v>-140.27346246536069</c:v>
                </c:pt>
                <c:pt idx="528">
                  <c:v>-140.56748252046279</c:v>
                </c:pt>
                <c:pt idx="529">
                  <c:v>-140.86825366341671</c:v>
                </c:pt>
                <c:pt idx="530">
                  <c:v>-141.16894071367184</c:v>
                </c:pt>
                <c:pt idx="531">
                  <c:v>-141.46954339134555</c:v>
                </c:pt>
                <c:pt idx="532">
                  <c:v>-141.77006138743775</c:v>
                </c:pt>
                <c:pt idx="533">
                  <c:v>-142.07763515660974</c:v>
                </c:pt>
                <c:pt idx="534">
                  <c:v>-142.38511942307721</c:v>
                </c:pt>
                <c:pt idx="535">
                  <c:v>-142.69251376302677</c:v>
                </c:pt>
                <c:pt idx="536">
                  <c:v>-142.9998177223668</c:v>
                </c:pt>
                <c:pt idx="537">
                  <c:v>-143.31400466856206</c:v>
                </c:pt>
                <c:pt idx="538">
                  <c:v>-143.6280960276851</c:v>
                </c:pt>
                <c:pt idx="539">
                  <c:v>-143.94209121830016</c:v>
                </c:pt>
                <c:pt idx="540">
                  <c:v>-144.25598962753304</c:v>
                </c:pt>
                <c:pt idx="541">
                  <c:v>-144.57723071824188</c:v>
                </c:pt>
                <c:pt idx="542">
                  <c:v>-144.89836898406068</c:v>
                </c:pt>
                <c:pt idx="543">
                  <c:v>-145.21940366763104</c:v>
                </c:pt>
                <c:pt idx="544">
                  <c:v>-145.54033397874497</c:v>
                </c:pt>
                <c:pt idx="545">
                  <c:v>-145.86858947294078</c:v>
                </c:pt>
                <c:pt idx="546">
                  <c:v>-146.19673392602763</c:v>
                </c:pt>
                <c:pt idx="547">
                  <c:v>-146.52476638737087</c:v>
                </c:pt>
                <c:pt idx="548">
                  <c:v>-146.85268587201969</c:v>
                </c:pt>
                <c:pt idx="549">
                  <c:v>-147.18806932210495</c:v>
                </c:pt>
                <c:pt idx="550">
                  <c:v>-147.5233323165742</c:v>
                </c:pt>
                <c:pt idx="551">
                  <c:v>-147.85847369161323</c:v>
                </c:pt>
                <c:pt idx="552">
                  <c:v>-148.19349224751483</c:v>
                </c:pt>
                <c:pt idx="553">
                  <c:v>-148.53626882485707</c:v>
                </c:pt>
                <c:pt idx="554">
                  <c:v>-148.87891407582822</c:v>
                </c:pt>
                <c:pt idx="555">
                  <c:v>-149.22142659981009</c:v>
                </c:pt>
                <c:pt idx="556">
                  <c:v>-149.56380495854972</c:v>
                </c:pt>
                <c:pt idx="557">
                  <c:v>-150.2642007984843</c:v>
                </c:pt>
                <c:pt idx="558">
                  <c:v>-150.96401514800053</c:v>
                </c:pt>
                <c:pt idx="559">
                  <c:v>-151.67925419732217</c:v>
                </c:pt>
                <c:pt idx="560">
                  <c:v>-152.39385499008444</c:v>
                </c:pt>
                <c:pt idx="561">
                  <c:v>-153.12473236096878</c:v>
                </c:pt>
                <c:pt idx="562">
                  <c:v>-153.85490606631035</c:v>
                </c:pt>
                <c:pt idx="563">
                  <c:v>-154.60000289125179</c:v>
                </c:pt>
                <c:pt idx="564">
                  <c:v>-155.34432552212752</c:v>
                </c:pt>
                <c:pt idx="565">
                  <c:v>-156.10658658186304</c:v>
                </c:pt>
                <c:pt idx="566">
                  <c:v>-156.86798784086605</c:v>
                </c:pt>
                <c:pt idx="567">
                  <c:v>-157.64719473415838</c:v>
                </c:pt>
                <c:pt idx="568">
                  <c:v>-158.42544625678715</c:v>
                </c:pt>
                <c:pt idx="569">
                  <c:v>-159.21824967641746</c:v>
                </c:pt>
                <c:pt idx="570">
                  <c:v>-160.00999973632679</c:v>
                </c:pt>
                <c:pt idx="571">
                  <c:v>-160.82235420087824</c:v>
                </c:pt>
                <c:pt idx="572">
                  <c:v>-161.63352909712074</c:v>
                </c:pt>
                <c:pt idx="573">
                  <c:v>-162.45893413896135</c:v>
                </c:pt>
                <c:pt idx="574">
                  <c:v>-163.28303891004828</c:v>
                </c:pt>
                <c:pt idx="575">
                  <c:v>-164.12735644101318</c:v>
                </c:pt>
                <c:pt idx="576">
                  <c:v>-164.97022009410705</c:v>
                </c:pt>
                <c:pt idx="577">
                  <c:v>-168.52141303178959</c:v>
                </c:pt>
                <c:pt idx="578">
                  <c:v>-172.04225457559752</c:v>
                </c:pt>
                <c:pt idx="579">
                  <c:v>-179.63349786836682</c:v>
                </c:pt>
                <c:pt idx="580">
                  <c:v>-187.7294112336472</c:v>
                </c:pt>
                <c:pt idx="581">
                  <c:v>-196.25963452950936</c:v>
                </c:pt>
                <c:pt idx="582">
                  <c:v>-205.13377768207724</c:v>
                </c:pt>
                <c:pt idx="583">
                  <c:v>-214.21384470456323</c:v>
                </c:pt>
                <c:pt idx="584">
                  <c:v>-223.3483311854441</c:v>
                </c:pt>
                <c:pt idx="585">
                  <c:v>-232.36267879692161</c:v>
                </c:pt>
                <c:pt idx="586">
                  <c:v>-241.09690876530775</c:v>
                </c:pt>
                <c:pt idx="587">
                  <c:v>-249.418530770015</c:v>
                </c:pt>
                <c:pt idx="588">
                  <c:v>-257.2168957614382</c:v>
                </c:pt>
                <c:pt idx="589">
                  <c:v>-264.43178813934225</c:v>
                </c:pt>
                <c:pt idx="590">
                  <c:v>-271.02568594828017</c:v>
                </c:pt>
                <c:pt idx="591">
                  <c:v>-276.98959822566167</c:v>
                </c:pt>
                <c:pt idx="592">
                  <c:v>-282.33064982493744</c:v>
                </c:pt>
                <c:pt idx="593">
                  <c:v>-287.06920316796828</c:v>
                </c:pt>
                <c:pt idx="594">
                  <c:v>-291.22888279164624</c:v>
                </c:pt>
                <c:pt idx="595">
                  <c:v>-294.83826323745433</c:v>
                </c:pt>
                <c:pt idx="596">
                  <c:v>-297.92505918197418</c:v>
                </c:pt>
                <c:pt idx="597">
                  <c:v>-300.5179297714742</c:v>
                </c:pt>
                <c:pt idx="598">
                  <c:v>-302.64329251542296</c:v>
                </c:pt>
                <c:pt idx="599">
                  <c:v>-304.32770061589866</c:v>
                </c:pt>
                <c:pt idx="600">
                  <c:v>-305.59599041567435</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36308</c:v>
                </c:pt>
                <c:pt idx="1">
                  <c:v>36308</c:v>
                </c:pt>
              </c:numCache>
            </c:numRef>
          </c:xVal>
          <c:yVal>
            <c:numRef>
              <c:f>'Stability Calculations'!$R$617:$R$618</c:f>
              <c:numCache>
                <c:formatCode>0.00</c:formatCode>
                <c:ptCount val="2"/>
                <c:pt idx="0">
                  <c:v>-111.46911592146994</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36308</c:v>
                </c:pt>
                <c:pt idx="1">
                  <c:v>1000000</c:v>
                </c:pt>
              </c:numCache>
            </c:numRef>
          </c:xVal>
          <c:yVal>
            <c:numRef>
              <c:f>'Stability Calculations'!$R$619:$R$620</c:f>
              <c:numCache>
                <c:formatCode>0.00</c:formatCode>
                <c:ptCount val="2"/>
                <c:pt idx="1">
                  <c:v>-111.46911592146994</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221650.7791442411</c:v>
                </c:pt>
              </c:numCache>
            </c:numRef>
          </c:xVal>
          <c:yVal>
            <c:numRef>
              <c:f>'Ch2 Stability Calculations'!$Q$627</c:f>
              <c:numCache>
                <c:formatCode>0.00</c:formatCode>
                <c:ptCount val="1"/>
                <c:pt idx="0">
                  <c:v>-23.094550684227514</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90.800136999643229</c:v>
                </c:pt>
                <c:pt idx="1">
                  <c:v>90.173772836024085</c:v>
                </c:pt>
                <c:pt idx="2">
                  <c:v>89.523729624157284</c:v>
                </c:pt>
                <c:pt idx="3">
                  <c:v>88.852563444852166</c:v>
                </c:pt>
                <c:pt idx="4">
                  <c:v>88.163191011460512</c:v>
                </c:pt>
                <c:pt idx="5">
                  <c:v>87.456768191929655</c:v>
                </c:pt>
                <c:pt idx="6">
                  <c:v>86.736414744034519</c:v>
                </c:pt>
                <c:pt idx="7">
                  <c:v>86.003592147690398</c:v>
                </c:pt>
                <c:pt idx="8">
                  <c:v>85.260565302920753</c:v>
                </c:pt>
                <c:pt idx="9">
                  <c:v>84.508300704826723</c:v>
                </c:pt>
                <c:pt idx="10">
                  <c:v>83.748565694341011</c:v>
                </c:pt>
                <c:pt idx="11">
                  <c:v>82.982414946064722</c:v>
                </c:pt>
                <c:pt idx="12">
                  <c:v>82.210439247094655</c:v>
                </c:pt>
                <c:pt idx="13">
                  <c:v>81.434236711888204</c:v>
                </c:pt>
                <c:pt idx="14">
                  <c:v>80.653919276649333</c:v>
                </c:pt>
                <c:pt idx="15">
                  <c:v>79.870405737996848</c:v>
                </c:pt>
                <c:pt idx="16">
                  <c:v>79.084157890520217</c:v>
                </c:pt>
                <c:pt idx="17">
                  <c:v>78.295730473855201</c:v>
                </c:pt>
                <c:pt idx="18">
                  <c:v>77.50526668838279</c:v>
                </c:pt>
                <c:pt idx="19">
                  <c:v>76.713291107238234</c:v>
                </c:pt>
                <c:pt idx="20">
                  <c:v>75.919907365057568</c:v>
                </c:pt>
                <c:pt idx="21">
                  <c:v>75.125495825286947</c:v>
                </c:pt>
                <c:pt idx="22">
                  <c:v>74.330069192734328</c:v>
                </c:pt>
                <c:pt idx="23">
                  <c:v>73.533976387128192</c:v>
                </c:pt>
                <c:pt idx="24">
                  <c:v>72.737141550652368</c:v>
                </c:pt>
                <c:pt idx="25">
                  <c:v>71.939793483071895</c:v>
                </c:pt>
                <c:pt idx="26">
                  <c:v>71.14183418213058</c:v>
                </c:pt>
                <c:pt idx="27">
                  <c:v>70.343590804681341</c:v>
                </c:pt>
                <c:pt idx="28">
                  <c:v>69.545093359824861</c:v>
                </c:pt>
                <c:pt idx="29">
                  <c:v>68.746888985428356</c:v>
                </c:pt>
                <c:pt idx="30">
                  <c:v>67.947670336221464</c:v>
                </c:pt>
                <c:pt idx="31">
                  <c:v>67.148589654991284</c:v>
                </c:pt>
                <c:pt idx="32">
                  <c:v>66.349134950381895</c:v>
                </c:pt>
                <c:pt idx="33">
                  <c:v>65.549901282183171</c:v>
                </c:pt>
                <c:pt idx="34">
                  <c:v>64.750293905545078</c:v>
                </c:pt>
                <c:pt idx="35">
                  <c:v>63.950781291328752</c:v>
                </c:pt>
                <c:pt idx="36">
                  <c:v>63.151256951395105</c:v>
                </c:pt>
                <c:pt idx="37">
                  <c:v>62.351303990943322</c:v>
                </c:pt>
                <c:pt idx="38">
                  <c:v>61.551696016526627</c:v>
                </c:pt>
                <c:pt idx="39">
                  <c:v>60.751798945049742</c:v>
                </c:pt>
                <c:pt idx="40">
                  <c:v>59.95192376063342</c:v>
                </c:pt>
                <c:pt idx="41">
                  <c:v>59.152008483918365</c:v>
                </c:pt>
                <c:pt idx="42">
                  <c:v>58.352168513910655</c:v>
                </c:pt>
                <c:pt idx="43">
                  <c:v>57.552172318384279</c:v>
                </c:pt>
                <c:pt idx="44">
                  <c:v>56.752234614392911</c:v>
                </c:pt>
                <c:pt idx="45">
                  <c:v>55.952194633992171</c:v>
                </c:pt>
                <c:pt idx="46">
                  <c:v>55.152213290232964</c:v>
                </c:pt>
                <c:pt idx="47">
                  <c:v>54.352116500594576</c:v>
                </c:pt>
                <c:pt idx="48">
                  <c:v>53.552098163149573</c:v>
                </c:pt>
                <c:pt idx="49">
                  <c:v>52.751949725874248</c:v>
                </c:pt>
                <c:pt idx="50">
                  <c:v>51.951789169275372</c:v>
                </c:pt>
                <c:pt idx="51">
                  <c:v>51.151423169056415</c:v>
                </c:pt>
                <c:pt idx="52">
                  <c:v>50.3510984760862</c:v>
                </c:pt>
                <c:pt idx="53">
                  <c:v>49.550774604438899</c:v>
                </c:pt>
                <c:pt idx="54">
                  <c:v>48.750937860822518</c:v>
                </c:pt>
                <c:pt idx="55">
                  <c:v>47.950222997928186</c:v>
                </c:pt>
                <c:pt idx="56">
                  <c:v>47.14973393779286</c:v>
                </c:pt>
                <c:pt idx="57">
                  <c:v>46.348910175633542</c:v>
                </c:pt>
                <c:pt idx="58">
                  <c:v>45.548301683939208</c:v>
                </c:pt>
                <c:pt idx="59">
                  <c:v>44.747266546549341</c:v>
                </c:pt>
                <c:pt idx="60">
                  <c:v>43.946226411763817</c:v>
                </c:pt>
                <c:pt idx="61">
                  <c:v>43.14502398580845</c:v>
                </c:pt>
                <c:pt idx="62">
                  <c:v>42.343186173481925</c:v>
                </c:pt>
                <c:pt idx="63">
                  <c:v>41.541427029812887</c:v>
                </c:pt>
                <c:pt idx="64">
                  <c:v>40.739041529862774</c:v>
                </c:pt>
                <c:pt idx="65">
                  <c:v>39.936262445504255</c:v>
                </c:pt>
                <c:pt idx="66">
                  <c:v>39.132936827547724</c:v>
                </c:pt>
                <c:pt idx="67">
                  <c:v>38.329076117225767</c:v>
                </c:pt>
                <c:pt idx="68">
                  <c:v>37.524327127578282</c:v>
                </c:pt>
                <c:pt idx="69">
                  <c:v>36.718767354936709</c:v>
                </c:pt>
                <c:pt idx="70">
                  <c:v>35.912076557492917</c:v>
                </c:pt>
                <c:pt idx="71">
                  <c:v>35.104237235063323</c:v>
                </c:pt>
                <c:pt idx="72">
                  <c:v>34.294871500153128</c:v>
                </c:pt>
                <c:pt idx="73">
                  <c:v>33.483951428527789</c:v>
                </c:pt>
                <c:pt idx="74">
                  <c:v>32.671021236258703</c:v>
                </c:pt>
                <c:pt idx="75">
                  <c:v>31.855939859601008</c:v>
                </c:pt>
                <c:pt idx="76">
                  <c:v>31.038239709105106</c:v>
                </c:pt>
                <c:pt idx="77">
                  <c:v>30.217903657307584</c:v>
                </c:pt>
                <c:pt idx="78">
                  <c:v>29.394637994487457</c:v>
                </c:pt>
                <c:pt idx="79">
                  <c:v>28.568728658098898</c:v>
                </c:pt>
                <c:pt idx="80">
                  <c:v>27.738604656844306</c:v>
                </c:pt>
                <c:pt idx="81">
                  <c:v>26.905331875817183</c:v>
                </c:pt>
                <c:pt idx="82">
                  <c:v>26.068362723834412</c:v>
                </c:pt>
                <c:pt idx="83">
                  <c:v>25.228442875457894</c:v>
                </c:pt>
                <c:pt idx="84">
                  <c:v>24.385221686888563</c:v>
                </c:pt>
                <c:pt idx="85">
                  <c:v>23.53962312302771</c:v>
                </c:pt>
                <c:pt idx="86">
                  <c:v>22.692112743697454</c:v>
                </c:pt>
                <c:pt idx="87">
                  <c:v>21.842946040177154</c:v>
                </c:pt>
                <c:pt idx="88">
                  <c:v>20.993722807806549</c:v>
                </c:pt>
                <c:pt idx="89">
                  <c:v>20.144577881737842</c:v>
                </c:pt>
                <c:pt idx="90">
                  <c:v>19.296623985601624</c:v>
                </c:pt>
                <c:pt idx="91">
                  <c:v>18.450500641614354</c:v>
                </c:pt>
                <c:pt idx="92">
                  <c:v>17.60691625650108</c:v>
                </c:pt>
                <c:pt idx="93">
                  <c:v>16.766068279404497</c:v>
                </c:pt>
                <c:pt idx="94">
                  <c:v>16.55642809704095</c:v>
                </c:pt>
                <c:pt idx="95">
                  <c:v>16.451034891049922</c:v>
                </c:pt>
                <c:pt idx="96">
                  <c:v>16.346898512043765</c:v>
                </c:pt>
                <c:pt idx="97">
                  <c:v>16.241618986789106</c:v>
                </c:pt>
                <c:pt idx="98">
                  <c:v>16.13759535844434</c:v>
                </c:pt>
                <c:pt idx="99">
                  <c:v>16.032404023091317</c:v>
                </c:pt>
                <c:pt idx="100">
                  <c:v>15.928468129293506</c:v>
                </c:pt>
                <c:pt idx="101">
                  <c:v>15.823420834003553</c:v>
                </c:pt>
                <c:pt idx="102">
                  <c:v>15.719627070678897</c:v>
                </c:pt>
                <c:pt idx="103">
                  <c:v>15.614623288885532</c:v>
                </c:pt>
                <c:pt idx="104">
                  <c:v>15.510873387676797</c:v>
                </c:pt>
                <c:pt idx="105">
                  <c:v>15.405971537278514</c:v>
                </c:pt>
                <c:pt idx="106">
                  <c:v>15.302322404664732</c:v>
                </c:pt>
                <c:pt idx="107">
                  <c:v>15.197576547661168</c:v>
                </c:pt>
                <c:pt idx="108">
                  <c:v>15.094080839163556</c:v>
                </c:pt>
                <c:pt idx="109">
                  <c:v>14.989470105465621</c:v>
                </c:pt>
                <c:pt idx="110">
                  <c:v>14.886107326360619</c:v>
                </c:pt>
                <c:pt idx="111">
                  <c:v>14.78154451028492</c:v>
                </c:pt>
                <c:pt idx="112">
                  <c:v>14.678229406735095</c:v>
                </c:pt>
                <c:pt idx="113">
                  <c:v>14.573771351408828</c:v>
                </c:pt>
                <c:pt idx="114">
                  <c:v>14.470559304821842</c:v>
                </c:pt>
                <c:pt idx="115">
                  <c:v>14.366192718832673</c:v>
                </c:pt>
                <c:pt idx="116">
                  <c:v>14.263070643168627</c:v>
                </c:pt>
                <c:pt idx="117">
                  <c:v>14.15878442000022</c:v>
                </c:pt>
                <c:pt idx="118">
                  <c:v>14.055741365901461</c:v>
                </c:pt>
                <c:pt idx="119">
                  <c:v>13.951589191508276</c:v>
                </c:pt>
                <c:pt idx="120">
                  <c:v>13.848677470974849</c:v>
                </c:pt>
                <c:pt idx="121">
                  <c:v>13.744647638031092</c:v>
                </c:pt>
                <c:pt idx="122">
                  <c:v>13.641855724068044</c:v>
                </c:pt>
                <c:pt idx="123">
                  <c:v>13.537878588910221</c:v>
                </c:pt>
                <c:pt idx="124">
                  <c:v>13.435138391827937</c:v>
                </c:pt>
                <c:pt idx="125">
                  <c:v>13.331268587321201</c:v>
                </c:pt>
                <c:pt idx="126">
                  <c:v>13.228633358043179</c:v>
                </c:pt>
                <c:pt idx="127">
                  <c:v>13.124864351112516</c:v>
                </c:pt>
                <c:pt idx="128">
                  <c:v>13.022327625874087</c:v>
                </c:pt>
                <c:pt idx="129">
                  <c:v>12.918654363505418</c:v>
                </c:pt>
                <c:pt idx="130">
                  <c:v>12.816211127450636</c:v>
                </c:pt>
                <c:pt idx="131">
                  <c:v>12.712629909355277</c:v>
                </c:pt>
                <c:pt idx="132">
                  <c:v>12.661301543709783</c:v>
                </c:pt>
                <c:pt idx="133">
                  <c:v>12.610276472206646</c:v>
                </c:pt>
                <c:pt idx="134">
                  <c:v>12.55834890882393</c:v>
                </c:pt>
                <c:pt idx="135">
                  <c:v>12.506731721510871</c:v>
                </c:pt>
                <c:pt idx="136">
                  <c:v>12.455421210748586</c:v>
                </c:pt>
                <c:pt idx="137">
                  <c:v>12.404413741714333</c:v>
                </c:pt>
                <c:pt idx="138">
                  <c:v>12.352557926766652</c:v>
                </c:pt>
                <c:pt idx="139">
                  <c:v>12.301011581207195</c:v>
                </c:pt>
                <c:pt idx="140">
                  <c:v>12.249771017499459</c:v>
                </c:pt>
                <c:pt idx="141">
                  <c:v>12.198832612648935</c:v>
                </c:pt>
                <c:pt idx="142">
                  <c:v>12.146995559299835</c:v>
                </c:pt>
                <c:pt idx="143">
                  <c:v>12.095467682334935</c:v>
                </c:pt>
                <c:pt idx="144">
                  <c:v>12.044245295573583</c:v>
                </c:pt>
                <c:pt idx="145">
                  <c:v>11.993324777462659</c:v>
                </c:pt>
                <c:pt idx="146">
                  <c:v>11.941533457708548</c:v>
                </c:pt>
                <c:pt idx="147">
                  <c:v>11.890050684114858</c:v>
                </c:pt>
                <c:pt idx="148">
                  <c:v>11.838872778161605</c:v>
                </c:pt>
                <c:pt idx="149">
                  <c:v>11.787996125887592</c:v>
                </c:pt>
                <c:pt idx="150">
                  <c:v>11.736251214211331</c:v>
                </c:pt>
                <c:pt idx="151">
                  <c:v>11.684814195189732</c:v>
                </c:pt>
                <c:pt idx="152">
                  <c:v>11.63368139865652</c:v>
                </c:pt>
                <c:pt idx="153">
                  <c:v>11.582849218911784</c:v>
                </c:pt>
                <c:pt idx="154">
                  <c:v>11.531128042651853</c:v>
                </c:pt>
                <c:pt idx="155">
                  <c:v>11.47971435981365</c:v>
                </c:pt>
                <c:pt idx="156">
                  <c:v>11.428604504311542</c:v>
                </c:pt>
                <c:pt idx="157">
                  <c:v>11.377794874526408</c:v>
                </c:pt>
                <c:pt idx="158">
                  <c:v>11.32610047895276</c:v>
                </c:pt>
                <c:pt idx="159">
                  <c:v>11.274713127171321</c:v>
                </c:pt>
                <c:pt idx="160">
                  <c:v>11.22362915831798</c:v>
                </c:pt>
                <c:pt idx="161">
                  <c:v>11.172844975961675</c:v>
                </c:pt>
                <c:pt idx="162">
                  <c:v>11.121203240727311</c:v>
                </c:pt>
                <c:pt idx="163">
                  <c:v>11.069867779947769</c:v>
                </c:pt>
                <c:pt idx="164">
                  <c:v>11.018834943905642</c:v>
                </c:pt>
                <c:pt idx="165">
                  <c:v>10.968101147137602</c:v>
                </c:pt>
                <c:pt idx="166">
                  <c:v>10.916469737037618</c:v>
                </c:pt>
                <c:pt idx="167">
                  <c:v>10.865144320030531</c:v>
                </c:pt>
                <c:pt idx="168">
                  <c:v>10.814121249056024</c:v>
                </c:pt>
                <c:pt idx="169">
                  <c:v>10.763396941321039</c:v>
                </c:pt>
                <c:pt idx="170">
                  <c:v>10.711888918223691</c:v>
                </c:pt>
                <c:pt idx="171">
                  <c:v>10.660685260473864</c:v>
                </c:pt>
                <c:pt idx="172">
                  <c:v>10.609782347836894</c:v>
                </c:pt>
                <c:pt idx="173">
                  <c:v>10.559176623786247</c:v>
                </c:pt>
                <c:pt idx="174">
                  <c:v>10.507599988812089</c:v>
                </c:pt>
                <c:pt idx="175">
                  <c:v>10.456328344230707</c:v>
                </c:pt>
                <c:pt idx="176">
                  <c:v>10.405358056697692</c:v>
                </c:pt>
                <c:pt idx="177">
                  <c:v>10.354685556946613</c:v>
                </c:pt>
                <c:pt idx="178">
                  <c:v>10.303072207415976</c:v>
                </c:pt>
                <c:pt idx="179">
                  <c:v>10.251764084839824</c:v>
                </c:pt>
                <c:pt idx="180">
                  <c:v>10.200757549823107</c:v>
                </c:pt>
                <c:pt idx="181">
                  <c:v>10.150049027248214</c:v>
                </c:pt>
                <c:pt idx="182">
                  <c:v>10.098629704432049</c:v>
                </c:pt>
                <c:pt idx="183">
                  <c:v>10.04751311815747</c:v>
                </c:pt>
                <c:pt idx="184">
                  <c:v>9.996695671675667</c:v>
                </c:pt>
                <c:pt idx="185">
                  <c:v>9.9461738315672026</c:v>
                </c:pt>
                <c:pt idx="186">
                  <c:v>9.8945693587362822</c:v>
                </c:pt>
                <c:pt idx="187">
                  <c:v>9.8432695809956208</c:v>
                </c:pt>
                <c:pt idx="188">
                  <c:v>9.7922708651772457</c:v>
                </c:pt>
                <c:pt idx="189">
                  <c:v>9.7415696423433662</c:v>
                </c:pt>
                <c:pt idx="190">
                  <c:v>9.6902032722478335</c:v>
                </c:pt>
                <c:pt idx="191">
                  <c:v>9.6391385717484255</c:v>
                </c:pt>
                <c:pt idx="192">
                  <c:v>9.5883719600638084</c:v>
                </c:pt>
                <c:pt idx="193">
                  <c:v>9.5378999194557483</c:v>
                </c:pt>
                <c:pt idx="194">
                  <c:v>9.4864072741485312</c:v>
                </c:pt>
                <c:pt idx="195">
                  <c:v>9.4352175392612772</c:v>
                </c:pt>
                <c:pt idx="196">
                  <c:v>9.3843271106182549</c:v>
                </c:pt>
                <c:pt idx="197">
                  <c:v>9.3337324476719257</c:v>
                </c:pt>
                <c:pt idx="198">
                  <c:v>9.2823318045681891</c:v>
                </c:pt>
                <c:pt idx="199">
                  <c:v>9.2312327435844317</c:v>
                </c:pt>
                <c:pt idx="200">
                  <c:v>9.1804316828985826</c:v>
                </c:pt>
                <c:pt idx="201">
                  <c:v>9.1299251038250588</c:v>
                </c:pt>
                <c:pt idx="202">
                  <c:v>9.0786366615331051</c:v>
                </c:pt>
                <c:pt idx="203">
                  <c:v>9.0276482310003043</c:v>
                </c:pt>
                <c:pt idx="204">
                  <c:v>8.9769562570825485</c:v>
                </c:pt>
                <c:pt idx="205">
                  <c:v>8.9265572471757988</c:v>
                </c:pt>
                <c:pt idx="206">
                  <c:v>8.8752249153266192</c:v>
                </c:pt>
                <c:pt idx="207">
                  <c:v>8.8241928378317507</c:v>
                </c:pt>
                <c:pt idx="208">
                  <c:v>8.773457454120221</c:v>
                </c:pt>
                <c:pt idx="209">
                  <c:v>8.7230152663123697</c:v>
                </c:pt>
                <c:pt idx="210">
                  <c:v>8.6714975198024362</c:v>
                </c:pt>
                <c:pt idx="211">
                  <c:v>8.6202819117012215</c:v>
                </c:pt>
                <c:pt idx="212">
                  <c:v>8.5693648468736505</c:v>
                </c:pt>
                <c:pt idx="213">
                  <c:v>8.5187427937073892</c:v>
                </c:pt>
                <c:pt idx="214">
                  <c:v>8.4674119568519117</c:v>
                </c:pt>
                <c:pt idx="215">
                  <c:v>8.4163807847829197</c:v>
                </c:pt>
                <c:pt idx="216">
                  <c:v>8.3656457252371581</c:v>
                </c:pt>
                <c:pt idx="217">
                  <c:v>8.3152032884864919</c:v>
                </c:pt>
                <c:pt idx="218">
                  <c:v>8.2639098321812305</c:v>
                </c:pt>
                <c:pt idx="219">
                  <c:v>8.2129153046030829</c:v>
                </c:pt>
                <c:pt idx="220">
                  <c:v>8.1622161654946428</c:v>
                </c:pt>
                <c:pt idx="221">
                  <c:v>8.1118089368670958</c:v>
                </c:pt>
                <c:pt idx="222">
                  <c:v>8.0605761663794198</c:v>
                </c:pt>
                <c:pt idx="223">
                  <c:v>8.0096413088988339</c:v>
                </c:pt>
                <c:pt idx="224">
                  <c:v>7.9590008411186304</c:v>
                </c:pt>
                <c:pt idx="225">
                  <c:v>7.9086513016160289</c:v>
                </c:pt>
                <c:pt idx="226">
                  <c:v>7.8573452812758422</c:v>
                </c:pt>
                <c:pt idx="227">
                  <c:v>7.806337701364332</c:v>
                </c:pt>
                <c:pt idx="228">
                  <c:v>7.755625028208132</c:v>
                </c:pt>
                <c:pt idx="229">
                  <c:v>7.7052037902687971</c:v>
                </c:pt>
                <c:pt idx="230">
                  <c:v>7.602804991967246</c:v>
                </c:pt>
                <c:pt idx="231">
                  <c:v>7.5520499565872399</c:v>
                </c:pt>
                <c:pt idx="232">
                  <c:v>7.501586509195489</c:v>
                </c:pt>
                <c:pt idx="233">
                  <c:v>7.4502236048466557</c:v>
                </c:pt>
                <c:pt idx="234">
                  <c:v>7.3991591192992443</c:v>
                </c:pt>
                <c:pt idx="235">
                  <c:v>7.3483895171296885</c:v>
                </c:pt>
                <c:pt idx="236">
                  <c:v>7.2979113251009053</c:v>
                </c:pt>
                <c:pt idx="237">
                  <c:v>7.2467057364660361</c:v>
                </c:pt>
                <c:pt idx="238">
                  <c:v>7.1957963902852242</c:v>
                </c:pt>
                <c:pt idx="239">
                  <c:v>7.145179788520398</c:v>
                </c:pt>
                <c:pt idx="240">
                  <c:v>7.0948524944493823</c:v>
                </c:pt>
                <c:pt idx="241">
                  <c:v>7.0435353838962627</c:v>
                </c:pt>
                <c:pt idx="242">
                  <c:v>6.992515434229869</c:v>
                </c:pt>
                <c:pt idx="243">
                  <c:v>6.9417891300229755</c:v>
                </c:pt>
                <c:pt idx="244">
                  <c:v>6.8913530175701094</c:v>
                </c:pt>
                <c:pt idx="245">
                  <c:v>6.8400955839882354</c:v>
                </c:pt>
                <c:pt idx="246">
                  <c:v>6.7891342406133015</c:v>
                </c:pt>
                <c:pt idx="247">
                  <c:v>6.7384654897348959</c:v>
                </c:pt>
                <c:pt idx="248">
                  <c:v>6.6880858949498121</c:v>
                </c:pt>
                <c:pt idx="249">
                  <c:v>6.6367738213962255</c:v>
                </c:pt>
                <c:pt idx="250">
                  <c:v>6.5857580721144515</c:v>
                </c:pt>
                <c:pt idx="251">
                  <c:v>6.5350351439809202</c:v>
                </c:pt>
                <c:pt idx="252">
                  <c:v>6.4846015953025322</c:v>
                </c:pt>
                <c:pt idx="253">
                  <c:v>6.4333957867460168</c:v>
                </c:pt>
                <c:pt idx="254">
                  <c:v>6.3824846720808379</c:v>
                </c:pt>
                <c:pt idx="255">
                  <c:v>6.3318647756283362</c:v>
                </c:pt>
                <c:pt idx="256">
                  <c:v>6.2815326824971107</c:v>
                </c:pt>
                <c:pt idx="257">
                  <c:v>6.2301922163450119</c:v>
                </c:pt>
                <c:pt idx="258">
                  <c:v>6.1791475677093164</c:v>
                </c:pt>
                <c:pt idx="259">
                  <c:v>6.1283952396391257</c:v>
                </c:pt>
                <c:pt idx="260">
                  <c:v>6.0779317964603861</c:v>
                </c:pt>
                <c:pt idx="261">
                  <c:v>6.0266167468106424</c:v>
                </c:pt>
                <c:pt idx="262">
                  <c:v>5.9755967836008246</c:v>
                </c:pt>
                <c:pt idx="263">
                  <c:v>5.9248684212730431</c:v>
                </c:pt>
                <c:pt idx="264">
                  <c:v>5.8744282352743635</c:v>
                </c:pt>
                <c:pt idx="265">
                  <c:v>5.8231615062290585</c:v>
                </c:pt>
                <c:pt idx="266">
                  <c:v>5.7721888562419057</c:v>
                </c:pt>
                <c:pt idx="267">
                  <c:v>5.7215068159185289</c:v>
                </c:pt>
                <c:pt idx="268">
                  <c:v>5.6711119764862286</c:v>
                </c:pt>
                <c:pt idx="269">
                  <c:v>5.619794061421743</c:v>
                </c:pt>
                <c:pt idx="270">
                  <c:v>5.5687703408627867</c:v>
                </c:pt>
                <c:pt idx="271">
                  <c:v>5.518037341648836</c:v>
                </c:pt>
                <c:pt idx="272">
                  <c:v>5.4675916513201024</c:v>
                </c:pt>
                <c:pt idx="273">
                  <c:v>5.4162502574965385</c:v>
                </c:pt>
                <c:pt idx="274">
                  <c:v>5.3652028384954988</c:v>
                </c:pt>
                <c:pt idx="275">
                  <c:v>5.3144459231863728</c:v>
                </c:pt>
                <c:pt idx="276">
                  <c:v>5.2639761010828998</c:v>
                </c:pt>
                <c:pt idx="277">
                  <c:v>5.2127522752287136</c:v>
                </c:pt>
                <c:pt idx="278">
                  <c:v>5.1618205797409917</c:v>
                </c:pt>
                <c:pt idx="279">
                  <c:v>5.1111775740528289</c:v>
                </c:pt>
                <c:pt idx="280">
                  <c:v>5.0608198775230173</c:v>
                </c:pt>
                <c:pt idx="281">
                  <c:v>5.0093916072990208</c:v>
                </c:pt>
                <c:pt idx="282">
                  <c:v>4.9582572716100781</c:v>
                </c:pt>
                <c:pt idx="283">
                  <c:v>4.9074133959489181</c:v>
                </c:pt>
                <c:pt idx="284">
                  <c:v>4.8568565665106629</c:v>
                </c:pt>
                <c:pt idx="285">
                  <c:v>4.8055918538315447</c:v>
                </c:pt>
                <c:pt idx="286">
                  <c:v>4.7546186715221079</c:v>
                </c:pt>
                <c:pt idx="287">
                  <c:v>4.7039335852566877</c:v>
                </c:pt>
                <c:pt idx="288">
                  <c:v>4.6535332204696216</c:v>
                </c:pt>
                <c:pt idx="289">
                  <c:v>4.6021217846389399</c:v>
                </c:pt>
                <c:pt idx="290">
                  <c:v>4.551002980191921</c:v>
                </c:pt>
                <c:pt idx="291">
                  <c:v>4.5001733509864241</c:v>
                </c:pt>
                <c:pt idx="292">
                  <c:v>4.4496295011340523</c:v>
                </c:pt>
                <c:pt idx="293">
                  <c:v>4.3982099031659674</c:v>
                </c:pt>
                <c:pt idx="294">
                  <c:v>4.3470824411586637</c:v>
                </c:pt>
                <c:pt idx="295">
                  <c:v>4.2962436651545097</c:v>
                </c:pt>
                <c:pt idx="296">
                  <c:v>4.2456901852945306</c:v>
                </c:pt>
                <c:pt idx="297">
                  <c:v>4.1942864049375643</c:v>
                </c:pt>
                <c:pt idx="298">
                  <c:v>4.1431739712904108</c:v>
                </c:pt>
                <c:pt idx="299">
                  <c:v>4.0923494456001466</c:v>
                </c:pt>
                <c:pt idx="300">
                  <c:v>4.0418094489410166</c:v>
                </c:pt>
                <c:pt idx="301">
                  <c:v>3.990443676340512</c:v>
                </c:pt>
                <c:pt idx="302">
                  <c:v>3.9393681887974652</c:v>
                </c:pt>
                <c:pt idx="303">
                  <c:v>3.8885795633910747</c:v>
                </c:pt>
                <c:pt idx="304">
                  <c:v>3.8380744366494279</c:v>
                </c:pt>
                <c:pt idx="305">
                  <c:v>3.7865703852086745</c:v>
                </c:pt>
                <c:pt idx="306">
                  <c:v>3.7353575192807078</c:v>
                </c:pt>
                <c:pt idx="307">
                  <c:v>3.6844323969532851</c:v>
                </c:pt>
                <c:pt idx="308">
                  <c:v>3.6337916361892497</c:v>
                </c:pt>
                <c:pt idx="309">
                  <c:v>3.5823736929849193</c:v>
                </c:pt>
                <c:pt idx="310">
                  <c:v>3.5312452806707464</c:v>
                </c:pt>
                <c:pt idx="311">
                  <c:v>3.4804029832653849</c:v>
                </c:pt>
                <c:pt idx="312">
                  <c:v>3.429843444050749</c:v>
                </c:pt>
                <c:pt idx="313">
                  <c:v>3.3783404845124005</c:v>
                </c:pt>
                <c:pt idx="314">
                  <c:v>3.3271272984007609</c:v>
                </c:pt>
                <c:pt idx="315">
                  <c:v>3.2762004619593337</c:v>
                </c:pt>
                <c:pt idx="316">
                  <c:v>3.2255566108611839</c:v>
                </c:pt>
                <c:pt idx="317">
                  <c:v>3.1739966738415748</c:v>
                </c:pt>
                <c:pt idx="318">
                  <c:v>3.1227264062222408</c:v>
                </c:pt>
                <c:pt idx="319">
                  <c:v>3.0717423823620713</c:v>
                </c:pt>
                <c:pt idx="320">
                  <c:v>3.0210412360797174</c:v>
                </c:pt>
                <c:pt idx="321">
                  <c:v>2.969450364681232</c:v>
                </c:pt>
                <c:pt idx="322">
                  <c:v>2.9181487346331165</c:v>
                </c:pt>
                <c:pt idx="323">
                  <c:v>2.8671329239077625</c:v>
                </c:pt>
                <c:pt idx="324">
                  <c:v>2.8163995698404776</c:v>
                </c:pt>
                <c:pt idx="325">
                  <c:v>2.764801900068623</c:v>
                </c:pt>
                <c:pt idx="326">
                  <c:v>2.7134927415703358</c:v>
                </c:pt>
                <c:pt idx="327">
                  <c:v>2.6624686810383458</c:v>
                </c:pt>
                <c:pt idx="328">
                  <c:v>2.6117263643136637</c:v>
                </c:pt>
                <c:pt idx="329">
                  <c:v>2.5600581973748464</c:v>
                </c:pt>
                <c:pt idx="330">
                  <c:v>2.5086784875600903</c:v>
                </c:pt>
                <c:pt idx="331">
                  <c:v>2.4575838180676284</c:v>
                </c:pt>
                <c:pt idx="332">
                  <c:v>2.4067708313107516</c:v>
                </c:pt>
                <c:pt idx="333">
                  <c:v>2.3551425453101911</c:v>
                </c:pt>
                <c:pt idx="334">
                  <c:v>2.3038013987034622</c:v>
                </c:pt>
                <c:pt idx="335">
                  <c:v>2.252743993307738</c:v>
                </c:pt>
                <c:pt idx="336">
                  <c:v>2.2019669897127918</c:v>
                </c:pt>
                <c:pt idx="337">
                  <c:v>2.1502328155473411</c:v>
                </c:pt>
                <c:pt idx="338">
                  <c:v>2.0987860440013653</c:v>
                </c:pt>
                <c:pt idx="339">
                  <c:v>2.0476232672373644</c:v>
                </c:pt>
                <c:pt idx="340">
                  <c:v>1.9967411363984597</c:v>
                </c:pt>
                <c:pt idx="341">
                  <c:v>1.9449290898412843</c:v>
                </c:pt>
                <c:pt idx="342">
                  <c:v>1.8934043555214688</c:v>
                </c:pt>
                <c:pt idx="343">
                  <c:v>1.8421635218982817</c:v>
                </c:pt>
                <c:pt idx="344">
                  <c:v>1.7912032364825361</c:v>
                </c:pt>
                <c:pt idx="345">
                  <c:v>1.7394180315369963</c:v>
                </c:pt>
                <c:pt idx="346">
                  <c:v>1.6879188498174402</c:v>
                </c:pt>
                <c:pt idx="347">
                  <c:v>1.6367022970549459</c:v>
                </c:pt>
                <c:pt idx="348">
                  <c:v>1.5857650376205443</c:v>
                </c:pt>
                <c:pt idx="349">
                  <c:v>1.533871573927549</c:v>
                </c:pt>
                <c:pt idx="350">
                  <c:v>1.4822642905991432</c:v>
                </c:pt>
                <c:pt idx="351">
                  <c:v>1.430939784640276</c:v>
                </c:pt>
                <c:pt idx="352">
                  <c:v>1.3798947118816902</c:v>
                </c:pt>
                <c:pt idx="353">
                  <c:v>1.3279203407277085</c:v>
                </c:pt>
                <c:pt idx="354">
                  <c:v>1.2762319565708955</c:v>
                </c:pt>
                <c:pt idx="355">
                  <c:v>1.2248261535572844</c:v>
                </c:pt>
                <c:pt idx="356">
                  <c:v>1.1736995847093847</c:v>
                </c:pt>
                <c:pt idx="357">
                  <c:v>1.1217433480387409</c:v>
                </c:pt>
                <c:pt idx="358">
                  <c:v>1.0700717712090382</c:v>
                </c:pt>
                <c:pt idx="359">
                  <c:v>1.0186814653453022</c:v>
                </c:pt>
                <c:pt idx="360">
                  <c:v>0.9675691000439185</c:v>
                </c:pt>
                <c:pt idx="361">
                  <c:v>0.9155054152393628</c:v>
                </c:pt>
                <c:pt idx="362">
                  <c:v>0.86372638679010305</c:v>
                </c:pt>
                <c:pt idx="363">
                  <c:v>0.81222861885529607</c:v>
                </c:pt>
                <c:pt idx="364">
                  <c:v>0.76100877420971291</c:v>
                </c:pt>
                <c:pt idx="365">
                  <c:v>0.70893455193295463</c:v>
                </c:pt>
                <c:pt idx="366">
                  <c:v>0.65714387211966541</c:v>
                </c:pt>
                <c:pt idx="367">
                  <c:v>0.60563335137328178</c:v>
                </c:pt>
                <c:pt idx="368">
                  <c:v>0.55439966461150181</c:v>
                </c:pt>
                <c:pt idx="369">
                  <c:v>0.50219663620349475</c:v>
                </c:pt>
                <c:pt idx="370">
                  <c:v>0.45027726526705997</c:v>
                </c:pt>
                <c:pt idx="371">
                  <c:v>0.39863815849405015</c:v>
                </c:pt>
                <c:pt idx="372">
                  <c:v>0.3472759811013677</c:v>
                </c:pt>
                <c:pt idx="373">
                  <c:v>0.29503872152479355</c:v>
                </c:pt>
                <c:pt idx="374">
                  <c:v>0.24308414886571522</c:v>
                </c:pt>
                <c:pt idx="375">
                  <c:v>0.19140887887143962</c:v>
                </c:pt>
                <c:pt idx="376">
                  <c:v>0.14000958558986912</c:v>
                </c:pt>
                <c:pt idx="377">
                  <c:v>8.7626486732201456E-2</c:v>
                </c:pt>
                <c:pt idx="378">
                  <c:v>3.5526246242364112E-2</c:v>
                </c:pt>
                <c:pt idx="379">
                  <c:v>-1.6294532004010865E-2</c:v>
                </c:pt>
                <c:pt idx="380">
                  <c:v>-6.7839185576173119E-2</c:v>
                </c:pt>
                <c:pt idx="381">
                  <c:v>-0.12021133738691291</c:v>
                </c:pt>
                <c:pt idx="382">
                  <c:v>-0.1723022121518317</c:v>
                </c:pt>
                <c:pt idx="383">
                  <c:v>-0.22411518689727863</c:v>
                </c:pt>
                <c:pt idx="384">
                  <c:v>-0.27565358054993655</c:v>
                </c:pt>
                <c:pt idx="385">
                  <c:v>-0.32818779694554817</c:v>
                </c:pt>
                <c:pt idx="386">
                  <c:v>-0.38044052956967345</c:v>
                </c:pt>
                <c:pt idx="387">
                  <c:v>-0.43241516898237986</c:v>
                </c:pt>
                <c:pt idx="388">
                  <c:v>-0.48411504735319105</c:v>
                </c:pt>
                <c:pt idx="389">
                  <c:v>-0.53672182223104814</c:v>
                </c:pt>
                <c:pt idx="390">
                  <c:v>-0.58904793881569195</c:v>
                </c:pt>
                <c:pt idx="391">
                  <c:v>-0.64109678318703045</c:v>
                </c:pt>
                <c:pt idx="392">
                  <c:v>-0.69287168315669412</c:v>
                </c:pt>
                <c:pt idx="393">
                  <c:v>-0.74552954115784709</c:v>
                </c:pt>
                <c:pt idx="394">
                  <c:v>-0.79790786709585892</c:v>
                </c:pt>
                <c:pt idx="395">
                  <c:v>-0.85001003768905936</c:v>
                </c:pt>
                <c:pt idx="396">
                  <c:v>-0.90183937162209582</c:v>
                </c:pt>
                <c:pt idx="397">
                  <c:v>-0.95464754597005386</c:v>
                </c:pt>
                <c:pt idx="398">
                  <c:v>-1.0071763424496298</c:v>
                </c:pt>
                <c:pt idx="399">
                  <c:v>-1.0594291465883572</c:v>
                </c:pt>
                <c:pt idx="400">
                  <c:v>-1.1114092857003375</c:v>
                </c:pt>
                <c:pt idx="401">
                  <c:v>-1.1642842315604556</c:v>
                </c:pt>
                <c:pt idx="402">
                  <c:v>-1.2168809199021526</c:v>
                </c:pt>
                <c:pt idx="403">
                  <c:v>-1.2692027282053537</c:v>
                </c:pt>
                <c:pt idx="404">
                  <c:v>-1.3212529759430989</c:v>
                </c:pt>
                <c:pt idx="405">
                  <c:v>-1.374232014053832</c:v>
                </c:pt>
                <c:pt idx="406">
                  <c:v>-1.4269336073450178</c:v>
                </c:pt>
                <c:pt idx="407">
                  <c:v>-1.4793611314814357</c:v>
                </c:pt>
                <c:pt idx="408">
                  <c:v>-1.5315179041863225</c:v>
                </c:pt>
                <c:pt idx="409">
                  <c:v>-1.5846354243676077</c:v>
                </c:pt>
                <c:pt idx="410">
                  <c:v>-1.6374760457108253</c:v>
                </c:pt>
                <c:pt idx="411">
                  <c:v>-1.6900431476390796</c:v>
                </c:pt>
                <c:pt idx="412">
                  <c:v>-1.7423400515734113</c:v>
                </c:pt>
                <c:pt idx="413">
                  <c:v>-1.7955730564857642</c:v>
                </c:pt>
                <c:pt idx="414">
                  <c:v>-1.8485300453169788</c:v>
                </c:pt>
                <c:pt idx="415">
                  <c:v>-1.9012143958665444</c:v>
                </c:pt>
                <c:pt idx="416">
                  <c:v>-1.9536294279957112</c:v>
                </c:pt>
                <c:pt idx="417">
                  <c:v>-2.0070104543263807</c:v>
                </c:pt>
                <c:pt idx="418">
                  <c:v>-2.0601161125538545</c:v>
                </c:pt>
                <c:pt idx="419">
                  <c:v>-2.1129497839569793</c:v>
                </c:pt>
                <c:pt idx="420">
                  <c:v>-2.1655147918254332</c:v>
                </c:pt>
                <c:pt idx="421">
                  <c:v>-2.2189689620402926</c:v>
                </c:pt>
                <c:pt idx="422">
                  <c:v>-2.2721492857590331</c:v>
                </c:pt>
                <c:pt idx="423">
                  <c:v>-2.3250591325215022</c:v>
                </c:pt>
                <c:pt idx="424">
                  <c:v>-2.3777018141759902</c:v>
                </c:pt>
                <c:pt idx="425">
                  <c:v>-2.4313661344581119</c:v>
                </c:pt>
                <c:pt idx="426">
                  <c:v>-2.4847568391741168</c:v>
                </c:pt>
                <c:pt idx="427">
                  <c:v>-2.5378773107830881</c:v>
                </c:pt>
                <c:pt idx="428">
                  <c:v>-2.5907308737904531</c:v>
                </c:pt>
                <c:pt idx="429">
                  <c:v>-2.6445301603513824</c:v>
                </c:pt>
                <c:pt idx="430">
                  <c:v>-2.6980569487078783</c:v>
                </c:pt>
                <c:pt idx="431">
                  <c:v>-2.7513146188571795</c:v>
                </c:pt>
                <c:pt idx="432">
                  <c:v>-2.8043064929332173</c:v>
                </c:pt>
                <c:pt idx="433">
                  <c:v>-2.8582211037153393</c:v>
                </c:pt>
                <c:pt idx="434">
                  <c:v>-2.9118646497651075</c:v>
                </c:pt>
                <c:pt idx="435">
                  <c:v>-2.9652405037181433</c:v>
                </c:pt>
                <c:pt idx="436">
                  <c:v>-3.0183519805506438</c:v>
                </c:pt>
                <c:pt idx="437">
                  <c:v>-3.0724609822537525</c:v>
                </c:pt>
                <c:pt idx="438">
                  <c:v>-3.1262996857837466</c:v>
                </c:pt>
                <c:pt idx="439">
                  <c:v>-3.1798714698813191</c:v>
                </c:pt>
                <c:pt idx="440">
                  <c:v>-3.23317965552787</c:v>
                </c:pt>
                <c:pt idx="441">
                  <c:v>-3.2874614174000505</c:v>
                </c:pt>
                <c:pt idx="442">
                  <c:v>-3.3414740009439612</c:v>
                </c:pt>
                <c:pt idx="443">
                  <c:v>-3.3952207855674121</c:v>
                </c:pt>
                <c:pt idx="444">
                  <c:v>-3.4487050929452732</c:v>
                </c:pt>
                <c:pt idx="445">
                  <c:v>-3.5031400348196935</c:v>
                </c:pt>
                <c:pt idx="446">
                  <c:v>-3.5573072505051839</c:v>
                </c:pt>
                <c:pt idx="447">
                  <c:v>-3.6112101150157643</c:v>
                </c:pt>
                <c:pt idx="448">
                  <c:v>-3.6648519457764723</c:v>
                </c:pt>
                <c:pt idx="449">
                  <c:v>-3.7195137154737261</c:v>
                </c:pt>
                <c:pt idx="450">
                  <c:v>-3.7739086362129601</c:v>
                </c:pt>
                <c:pt idx="451">
                  <c:v>-3.8280400907386403</c:v>
                </c:pt>
                <c:pt idx="452">
                  <c:v>-3.8819114040780445</c:v>
                </c:pt>
                <c:pt idx="453">
                  <c:v>-3.9367342748193455</c:v>
                </c:pt>
                <c:pt idx="454">
                  <c:v>-3.9912919696556211</c:v>
                </c:pt>
                <c:pt idx="455">
                  <c:v>-4.0455878653404822</c:v>
                </c:pt>
                <c:pt idx="456">
                  <c:v>-4.0996252810963476</c:v>
                </c:pt>
                <c:pt idx="457">
                  <c:v>-4.1546807430647972</c:v>
                </c:pt>
                <c:pt idx="458">
                  <c:v>-4.2094721719726271</c:v>
                </c:pt>
                <c:pt idx="459">
                  <c:v>-4.2640029501002301</c:v>
                </c:pt>
                <c:pt idx="460">
                  <c:v>-4.3182764021249982</c:v>
                </c:pt>
                <c:pt idx="461">
                  <c:v>-4.3735450574147592</c:v>
                </c:pt>
                <c:pt idx="462">
                  <c:v>-4.4285511807866689</c:v>
                </c:pt>
                <c:pt idx="463">
                  <c:v>-4.4832981547401758</c:v>
                </c:pt>
                <c:pt idx="464">
                  <c:v>-4.5377893042234643</c:v>
                </c:pt>
                <c:pt idx="465">
                  <c:v>-4.5932961120860281</c:v>
                </c:pt>
                <c:pt idx="466">
                  <c:v>-4.6485418310513342</c:v>
                </c:pt>
                <c:pt idx="467">
                  <c:v>-4.7035298465852371</c:v>
                </c:pt>
                <c:pt idx="468">
                  <c:v>-4.7582634865952489</c:v>
                </c:pt>
                <c:pt idx="469">
                  <c:v>-4.813990798839888</c:v>
                </c:pt>
                <c:pt idx="470">
                  <c:v>-4.8694588164965849</c:v>
                </c:pt>
                <c:pt idx="471">
                  <c:v>-4.9246709228975947</c:v>
                </c:pt>
                <c:pt idx="472">
                  <c:v>-4.9796304439283601</c:v>
                </c:pt>
                <c:pt idx="473">
                  <c:v>-5.0356441403355126</c:v>
                </c:pt>
                <c:pt idx="474">
                  <c:v>-5.0913999211553609</c:v>
                </c:pt>
                <c:pt idx="475">
                  <c:v>-5.1469011775398412</c:v>
                </c:pt>
                <c:pt idx="476">
                  <c:v>-5.2021512430843044</c:v>
                </c:pt>
                <c:pt idx="477">
                  <c:v>-5.2584333116586324</c:v>
                </c:pt>
                <c:pt idx="478">
                  <c:v>-5.3144592196590867</c:v>
                </c:pt>
                <c:pt idx="479">
                  <c:v>-5.3702323606765434</c:v>
                </c:pt>
                <c:pt idx="480">
                  <c:v>-5.4257560707603645</c:v>
                </c:pt>
                <c:pt idx="481">
                  <c:v>-5.4822906734861228</c:v>
                </c:pt>
                <c:pt idx="482">
                  <c:v>-5.53857122621808</c:v>
                </c:pt>
                <c:pt idx="483">
                  <c:v>-5.5946011199753451</c:v>
                </c:pt>
                <c:pt idx="484">
                  <c:v>-5.6503836883664436</c:v>
                </c:pt>
                <c:pt idx="485">
                  <c:v>-5.7071956689806012</c:v>
                </c:pt>
                <c:pt idx="486">
                  <c:v>-5.7637557052765764</c:v>
                </c:pt>
                <c:pt idx="487">
                  <c:v>-5.8200671879175534</c:v>
                </c:pt>
                <c:pt idx="488">
                  <c:v>-5.8761334502396689</c:v>
                </c:pt>
                <c:pt idx="489">
                  <c:v>-5.9332849005329962</c:v>
                </c:pt>
                <c:pt idx="490">
                  <c:v>-5.9901861990522036</c:v>
                </c:pt>
                <c:pt idx="491">
                  <c:v>-6.0468407447604449</c:v>
                </c:pt>
                <c:pt idx="492">
                  <c:v>-6.1032518791851542</c:v>
                </c:pt>
                <c:pt idx="493">
                  <c:v>-6.1607272258094046</c:v>
                </c:pt>
                <c:pt idx="494">
                  <c:v>-6.2179546009041653</c:v>
                </c:pt>
                <c:pt idx="495">
                  <c:v>-6.274937406397763</c:v>
                </c:pt>
                <c:pt idx="496">
                  <c:v>-6.3316789867957324</c:v>
                </c:pt>
                <c:pt idx="497">
                  <c:v>-6.3895015313736909</c:v>
                </c:pt>
                <c:pt idx="498">
                  <c:v>-6.4470783424107214</c:v>
                </c:pt>
                <c:pt idx="499">
                  <c:v>-6.5044128262521816</c:v>
                </c:pt>
                <c:pt idx="500">
                  <c:v>-6.5615083318019174</c:v>
                </c:pt>
                <c:pt idx="501">
                  <c:v>-6.619701099286476</c:v>
                </c:pt>
                <c:pt idx="502">
                  <c:v>-6.6776504482871504</c:v>
                </c:pt>
                <c:pt idx="503">
                  <c:v>-6.7353597907913629</c:v>
                </c:pt>
                <c:pt idx="504">
                  <c:v>-6.7928324812986896</c:v>
                </c:pt>
                <c:pt idx="505">
                  <c:v>-6.8513829104876178</c:v>
                </c:pt>
                <c:pt idx="506">
                  <c:v>-6.9096926218074657</c:v>
                </c:pt>
                <c:pt idx="507">
                  <c:v>-6.9677650277387446</c:v>
                </c:pt>
                <c:pt idx="508">
                  <c:v>-7.0256034833414205</c:v>
                </c:pt>
                <c:pt idx="509">
                  <c:v>-7.0845361243594986</c:v>
                </c:pt>
                <c:pt idx="510">
                  <c:v>-7.1432308337946315</c:v>
                </c:pt>
                <c:pt idx="511">
                  <c:v>-7.2016910258281879</c:v>
                </c:pt>
                <c:pt idx="512">
                  <c:v>-7.2599200572577338</c:v>
                </c:pt>
                <c:pt idx="513">
                  <c:v>-7.319293740127792</c:v>
                </c:pt>
                <c:pt idx="514">
                  <c:v>-7.3784321109278617</c:v>
                </c:pt>
                <c:pt idx="515">
                  <c:v>-7.4373385924210647</c:v>
                </c:pt>
                <c:pt idx="516">
                  <c:v>-7.4960165498642484</c:v>
                </c:pt>
                <c:pt idx="517">
                  <c:v>-7.5558205060631138</c:v>
                </c:pt>
                <c:pt idx="518">
                  <c:v>-7.6153921783772081</c:v>
                </c:pt>
                <c:pt idx="519">
                  <c:v>-7.6747349927763668</c:v>
                </c:pt>
                <c:pt idx="520">
                  <c:v>-7.7338523177135841</c:v>
                </c:pt>
                <c:pt idx="521">
                  <c:v>-7.7941114082625731</c:v>
                </c:pt>
                <c:pt idx="522">
                  <c:v>-7.8541413799385085</c:v>
                </c:pt>
                <c:pt idx="523">
                  <c:v>-7.913945662494335</c:v>
                </c:pt>
                <c:pt idx="524">
                  <c:v>-7.9735276281313023</c:v>
                </c:pt>
                <c:pt idx="525">
                  <c:v>-8.0342670231585753</c:v>
                </c:pt>
                <c:pt idx="526">
                  <c:v>-8.0947806168141092</c:v>
                </c:pt>
                <c:pt idx="527">
                  <c:v>-8.1550718430004885</c:v>
                </c:pt>
                <c:pt idx="528">
                  <c:v>-8.215144078010244</c:v>
                </c:pt>
                <c:pt idx="529">
                  <c:v>-8.2763893640686614</c:v>
                </c:pt>
                <c:pt idx="530">
                  <c:v>-8.3374123336003461</c:v>
                </c:pt>
                <c:pt idx="531">
                  <c:v>-8.3982164248107871</c:v>
                </c:pt>
                <c:pt idx="532">
                  <c:v>-8.4588050182137273</c:v>
                </c:pt>
                <c:pt idx="533">
                  <c:v>-8.5206141386524017</c:v>
                </c:pt>
                <c:pt idx="534">
                  <c:v>-8.582204384727703</c:v>
                </c:pt>
                <c:pt idx="535">
                  <c:v>-8.6435792041701731</c:v>
                </c:pt>
                <c:pt idx="536">
                  <c:v>-8.7047419867948417</c:v>
                </c:pt>
                <c:pt idx="537">
                  <c:v>-8.7670775589096586</c:v>
                </c:pt>
                <c:pt idx="538">
                  <c:v>-8.82919834834866</c:v>
                </c:pt>
                <c:pt idx="539">
                  <c:v>-8.8911078013724811</c:v>
                </c:pt>
                <c:pt idx="540">
                  <c:v>-8.9528093063159346</c:v>
                </c:pt>
                <c:pt idx="541">
                  <c:v>-9.0157620397849954</c:v>
                </c:pt>
                <c:pt idx="542">
                  <c:v>-9.0785038514812229</c:v>
                </c:pt>
                <c:pt idx="543">
                  <c:v>-9.1410381961223877</c:v>
                </c:pt>
                <c:pt idx="544">
                  <c:v>-9.203368470228579</c:v>
                </c:pt>
                <c:pt idx="545">
                  <c:v>-9.2669348372240936</c:v>
                </c:pt>
                <c:pt idx="546">
                  <c:v>-9.3302945825967445</c:v>
                </c:pt>
                <c:pt idx="547">
                  <c:v>-9.3934511634230198</c:v>
                </c:pt>
                <c:pt idx="548">
                  <c:v>-9.4564079783976034</c:v>
                </c:pt>
                <c:pt idx="549">
                  <c:v>-9.5206171794104169</c:v>
                </c:pt>
                <c:pt idx="550">
                  <c:v>-9.5846242859484914</c:v>
                </c:pt>
                <c:pt idx="551">
                  <c:v>-9.6484327563502603</c:v>
                </c:pt>
                <c:pt idx="552">
                  <c:v>-9.7120459903539551</c:v>
                </c:pt>
                <c:pt idx="553">
                  <c:v>-9.7769580147607051</c:v>
                </c:pt>
                <c:pt idx="554">
                  <c:v>-9.8416725272136265</c:v>
                </c:pt>
                <c:pt idx="555">
                  <c:v>-9.9061929906306894</c:v>
                </c:pt>
                <c:pt idx="556">
                  <c:v>-9.9705228089654891</c:v>
                </c:pt>
                <c:pt idx="557">
                  <c:v>-10.10162018735838</c:v>
                </c:pt>
                <c:pt idx="558">
                  <c:v>-10.2319607127823</c:v>
                </c:pt>
                <c:pt idx="559">
                  <c:v>-10.364533907274364</c:v>
                </c:pt>
                <c:pt idx="560">
                  <c:v>-10.496371355878154</c:v>
                </c:pt>
                <c:pt idx="561">
                  <c:v>-10.630602781630405</c:v>
                </c:pt>
                <c:pt idx="562">
                  <c:v>-10.764119353820723</c:v>
                </c:pt>
                <c:pt idx="563">
                  <c:v>-10.899791113099898</c:v>
                </c:pt>
                <c:pt idx="564">
                  <c:v>-11.034772921919163</c:v>
                </c:pt>
                <c:pt idx="565">
                  <c:v>-11.172469416218238</c:v>
                </c:pt>
                <c:pt idx="566">
                  <c:v>-11.309496749744575</c:v>
                </c:pt>
                <c:pt idx="567">
                  <c:v>-11.449227656441632</c:v>
                </c:pt>
                <c:pt idx="568">
                  <c:v>-11.588312166714388</c:v>
                </c:pt>
                <c:pt idx="569">
                  <c:v>-11.729540309885438</c:v>
                </c:pt>
                <c:pt idx="570">
                  <c:v>-11.870151373885793</c:v>
                </c:pt>
                <c:pt idx="571">
                  <c:v>-12.01400744978147</c:v>
                </c:pt>
                <c:pt idx="572">
                  <c:v>-12.15726770095859</c:v>
                </c:pt>
                <c:pt idx="573">
                  <c:v>-12.302676489873152</c:v>
                </c:pt>
                <c:pt idx="574">
                  <c:v>-12.447521237563912</c:v>
                </c:pt>
                <c:pt idx="575">
                  <c:v>-12.595604325356531</c:v>
                </c:pt>
                <c:pt idx="576">
                  <c:v>-12.743147927605703</c:v>
                </c:pt>
                <c:pt idx="577">
                  <c:v>-13.362388111787329</c:v>
                </c:pt>
                <c:pt idx="578">
                  <c:v>-13.974177867289994</c:v>
                </c:pt>
                <c:pt idx="579">
                  <c:v>-15.295701487704218</c:v>
                </c:pt>
                <c:pt idx="580">
                  <c:v>-16.726549488364675</c:v>
                </c:pt>
                <c:pt idx="581">
                  <c:v>-18.281679634154777</c:v>
                </c:pt>
                <c:pt idx="582">
                  <c:v>-19.977621140679677</c:v>
                </c:pt>
                <c:pt idx="583">
                  <c:v>-21.825159451805703</c:v>
                </c:pt>
                <c:pt idx="584">
                  <c:v>-23.832258571566783</c:v>
                </c:pt>
                <c:pt idx="585">
                  <c:v>-25.997628985287484</c:v>
                </c:pt>
                <c:pt idx="586">
                  <c:v>-28.314539631537375</c:v>
                </c:pt>
                <c:pt idx="587">
                  <c:v>-30.771705092642417</c:v>
                </c:pt>
                <c:pt idx="588">
                  <c:v>-33.350521630945792</c:v>
                </c:pt>
                <c:pt idx="589">
                  <c:v>-36.035248107850137</c:v>
                </c:pt>
                <c:pt idx="590">
                  <c:v>-38.807340616432874</c:v>
                </c:pt>
                <c:pt idx="591">
                  <c:v>-41.65081131875057</c:v>
                </c:pt>
                <c:pt idx="592">
                  <c:v>-44.550935311329447</c:v>
                </c:pt>
                <c:pt idx="593">
                  <c:v>-47.496253236403803</c:v>
                </c:pt>
                <c:pt idx="594">
                  <c:v>-50.475537511788289</c:v>
                </c:pt>
                <c:pt idx="595">
                  <c:v>-53.480539445677721</c:v>
                </c:pt>
                <c:pt idx="596">
                  <c:v>-56.503106437249585</c:v>
                </c:pt>
                <c:pt idx="597">
                  <c:v>-59.537363387321271</c:v>
                </c:pt>
                <c:pt idx="598">
                  <c:v>-62.576814133928657</c:v>
                </c:pt>
                <c:pt idx="599">
                  <c:v>-65.617061658882065</c:v>
                </c:pt>
                <c:pt idx="600">
                  <c:v>-68.65288699108558</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3372.6413069242708</c:v>
                </c:pt>
              </c:numCache>
            </c:numRef>
          </c:xVal>
          <c:yVal>
            <c:numRef>
              <c:f>'Ch2 Stability Calculations'!$D$635</c:f>
              <c:numCache>
                <c:formatCode>0.00</c:formatCode>
                <c:ptCount val="1"/>
                <c:pt idx="0">
                  <c:v>20.824459399499808</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0.5513822714634995</c:v>
                </c:pt>
              </c:numCache>
            </c:numRef>
          </c:xVal>
          <c:yVal>
            <c:numRef>
              <c:f>'Ch2 Stability Calculations'!$Q$624</c:f>
              <c:numCache>
                <c:formatCode>0.00</c:formatCode>
                <c:ptCount val="1"/>
                <c:pt idx="0">
                  <c:v>94.113631700888305</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2981.8965866605963</c:v>
                </c:pt>
              </c:numCache>
            </c:numRef>
          </c:xVal>
          <c:yVal>
            <c:numRef>
              <c:f>'Ch2 Stability Calculations'!$D$632</c:f>
              <c:numCache>
                <c:formatCode>0.00</c:formatCode>
                <c:ptCount val="1"/>
                <c:pt idx="0">
                  <c:v>21.96002462573983</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2411438.5344508542</c:v>
                </c:pt>
              </c:numCache>
            </c:numRef>
          </c:xVal>
          <c:yVal>
            <c:numRef>
              <c:f>'Ch2 Stability Calculations'!$Q$623</c:f>
              <c:numCache>
                <c:formatCode>0.00</c:formatCode>
                <c:ptCount val="1"/>
                <c:pt idx="0">
                  <c:v>-96.690537068258138</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-61.1313155481499</c:v>
                </c:pt>
                <c:pt idx="1">
                  <c:v>-63.307317631873943</c:v>
                </c:pt>
                <c:pt idx="2">
                  <c:v>-65.366976068041566</c:v>
                </c:pt>
                <c:pt idx="3">
                  <c:v>-67.306553049332479</c:v>
                </c:pt>
                <c:pt idx="4">
                  <c:v>-69.1236168919759</c:v>
                </c:pt>
                <c:pt idx="5">
                  <c:v>-70.821919688582327</c:v>
                </c:pt>
                <c:pt idx="6">
                  <c:v>-72.401418637956738</c:v>
                </c:pt>
                <c:pt idx="7">
                  <c:v>-73.866968205705618</c:v>
                </c:pt>
                <c:pt idx="8">
                  <c:v>-75.222282846282397</c:v>
                </c:pt>
                <c:pt idx="9">
                  <c:v>-76.473827854948496</c:v>
                </c:pt>
                <c:pt idx="10">
                  <c:v>-77.626700431038543</c:v>
                </c:pt>
                <c:pt idx="11">
                  <c:v>-78.687149188070961</c:v>
                </c:pt>
                <c:pt idx="12">
                  <c:v>-79.661771677444932</c:v>
                </c:pt>
                <c:pt idx="13">
                  <c:v>-80.55564553486299</c:v>
                </c:pt>
                <c:pt idx="14">
                  <c:v>-81.375350918970312</c:v>
                </c:pt>
                <c:pt idx="15">
                  <c:v>-82.126159573877601</c:v>
                </c:pt>
                <c:pt idx="16">
                  <c:v>-82.813479468177277</c:v>
                </c:pt>
                <c:pt idx="17">
                  <c:v>-83.442266052937867</c:v>
                </c:pt>
                <c:pt idx="18">
                  <c:v>-84.017431627371479</c:v>
                </c:pt>
                <c:pt idx="19">
                  <c:v>-84.543236141045583</c:v>
                </c:pt>
                <c:pt idx="20">
                  <c:v>-85.023896065646511</c:v>
                </c:pt>
                <c:pt idx="21">
                  <c:v>-85.463124826988519</c:v>
                </c:pt>
                <c:pt idx="22">
                  <c:v>-85.864540263314765</c:v>
                </c:pt>
                <c:pt idx="23">
                  <c:v>-86.231295720614582</c:v>
                </c:pt>
                <c:pt idx="24">
                  <c:v>-86.566480496754664</c:v>
                </c:pt>
                <c:pt idx="25">
                  <c:v>-86.872793705491475</c:v>
                </c:pt>
                <c:pt idx="26">
                  <c:v>-87.152832113139311</c:v>
                </c:pt>
                <c:pt idx="27">
                  <c:v>-87.408828562646576</c:v>
                </c:pt>
                <c:pt idx="28">
                  <c:v>-87.642933548609889</c:v>
                </c:pt>
                <c:pt idx="29">
                  <c:v>-87.856981704478926</c:v>
                </c:pt>
                <c:pt idx="30">
                  <c:v>-88.053121328186023</c:v>
                </c:pt>
                <c:pt idx="31">
                  <c:v>-88.232708955544339</c:v>
                </c:pt>
                <c:pt idx="32">
                  <c:v>-88.397381338996098</c:v>
                </c:pt>
                <c:pt idx="33">
                  <c:v>-88.54841166713318</c:v>
                </c:pt>
                <c:pt idx="34">
                  <c:v>-88.687193061359437</c:v>
                </c:pt>
                <c:pt idx="35">
                  <c:v>-88.814817122223957</c:v>
                </c:pt>
                <c:pt idx="36">
                  <c:v>-88.932386869137787</c:v>
                </c:pt>
                <c:pt idx="37">
                  <c:v>-89.040954704644889</c:v>
                </c:pt>
                <c:pt idx="38">
                  <c:v>-89.141335993483381</c:v>
                </c:pt>
                <c:pt idx="39">
                  <c:v>-89.23446398817488</c:v>
                </c:pt>
                <c:pt idx="40">
                  <c:v>-89.321089576640702</c:v>
                </c:pt>
                <c:pt idx="41">
                  <c:v>-89.401954744920829</c:v>
                </c:pt>
                <c:pt idx="42">
                  <c:v>-89.477734465153262</c:v>
                </c:pt>
                <c:pt idx="43">
                  <c:v>-89.549093043403587</c:v>
                </c:pt>
                <c:pt idx="44">
                  <c:v>-89.616615779233044</c:v>
                </c:pt>
                <c:pt idx="45">
                  <c:v>-89.680888563729766</c:v>
                </c:pt>
                <c:pt idx="46">
                  <c:v>-89.742442847060914</c:v>
                </c:pt>
                <c:pt idx="47">
                  <c:v>-89.801813097834042</c:v>
                </c:pt>
                <c:pt idx="48">
                  <c:v>-89.859487007915561</c:v>
                </c:pt>
                <c:pt idx="49">
                  <c:v>-89.915966850106955</c:v>
                </c:pt>
                <c:pt idx="50">
                  <c:v>-89.971720433192104</c:v>
                </c:pt>
                <c:pt idx="51">
                  <c:v>-90.027230437161435</c:v>
                </c:pt>
                <c:pt idx="52">
                  <c:v>-90.082945693763477</c:v>
                </c:pt>
                <c:pt idx="53">
                  <c:v>-90.139335046779294</c:v>
                </c:pt>
                <c:pt idx="54">
                  <c:v>-90.196832528232861</c:v>
                </c:pt>
                <c:pt idx="55">
                  <c:v>-90.256013404890268</c:v>
                </c:pt>
                <c:pt idx="56">
                  <c:v>-90.317284207529539</c:v>
                </c:pt>
                <c:pt idx="57">
                  <c:v>-90.381187505040728</c:v>
                </c:pt>
                <c:pt idx="58">
                  <c:v>-90.448194381621065</c:v>
                </c:pt>
                <c:pt idx="59">
                  <c:v>-90.518892174903996</c:v>
                </c:pt>
                <c:pt idx="60">
                  <c:v>-90.593798489494077</c:v>
                </c:pt>
                <c:pt idx="61">
                  <c:v>-90.673501917914621</c:v>
                </c:pt>
                <c:pt idx="62">
                  <c:v>-90.758650804160425</c:v>
                </c:pt>
                <c:pt idx="63">
                  <c:v>-90.849789073901832</c:v>
                </c:pt>
                <c:pt idx="64">
                  <c:v>-90.94763536051299</c:v>
                </c:pt>
                <c:pt idx="65">
                  <c:v>-91.052819957376855</c:v>
                </c:pt>
                <c:pt idx="66">
                  <c:v>-91.166028635882583</c:v>
                </c:pt>
                <c:pt idx="67">
                  <c:v>-91.287925418524509</c:v>
                </c:pt>
                <c:pt idx="68">
                  <c:v>-91.419219219769857</c:v>
                </c:pt>
                <c:pt idx="69">
                  <c:v>-91.560523053228437</c:v>
                </c:pt>
                <c:pt idx="70">
                  <c:v>-91.712464501543749</c:v>
                </c:pt>
                <c:pt idx="71">
                  <c:v>-91.875534843684406</c:v>
                </c:pt>
                <c:pt idx="72">
                  <c:v>-92.050178144220624</c:v>
                </c:pt>
                <c:pt idx="73">
                  <c:v>-92.236602487547842</c:v>
                </c:pt>
                <c:pt idx="74">
                  <c:v>-92.434897901215493</c:v>
                </c:pt>
                <c:pt idx="75">
                  <c:v>-92.644811340250968</c:v>
                </c:pt>
                <c:pt idx="76">
                  <c:v>-92.865842527365203</c:v>
                </c:pt>
                <c:pt idx="77">
                  <c:v>-93.096982651804041</c:v>
                </c:pt>
                <c:pt idx="78">
                  <c:v>-93.336859983813284</c:v>
                </c:pt>
                <c:pt idx="79">
                  <c:v>-93.583471400872213</c:v>
                </c:pt>
                <c:pt idx="80">
                  <c:v>-93.834923936573759</c:v>
                </c:pt>
                <c:pt idx="81">
                  <c:v>-94.088139026679741</c:v>
                </c:pt>
                <c:pt idx="82">
                  <c:v>-94.340243794201356</c:v>
                </c:pt>
                <c:pt idx="83">
                  <c:v>-94.587878561594081</c:v>
                </c:pt>
                <c:pt idx="84">
                  <c:v>-94.828153205363321</c:v>
                </c:pt>
                <c:pt idx="85">
                  <c:v>-95.058238025661225</c:v>
                </c:pt>
                <c:pt idx="86">
                  <c:v>-95.27617774040155</c:v>
                </c:pt>
                <c:pt idx="87">
                  <c:v>-95.481077937351245</c:v>
                </c:pt>
                <c:pt idx="88">
                  <c:v>-95.672964783387627</c:v>
                </c:pt>
                <c:pt idx="89">
                  <c:v>-95.853579165100129</c:v>
                </c:pt>
                <c:pt idx="90">
                  <c:v>-96.025810961508427</c:v>
                </c:pt>
                <c:pt idx="91">
                  <c:v>-96.193915554850733</c:v>
                </c:pt>
                <c:pt idx="92">
                  <c:v>-96.3631856276495</c:v>
                </c:pt>
                <c:pt idx="93">
                  <c:v>-96.539801268265236</c:v>
                </c:pt>
                <c:pt idx="94">
                  <c:v>-96.585852808758887</c:v>
                </c:pt>
                <c:pt idx="95">
                  <c:v>-96.60938470285214</c:v>
                </c:pt>
                <c:pt idx="96">
                  <c:v>-96.632904355997411</c:v>
                </c:pt>
                <c:pt idx="97">
                  <c:v>-96.656967515682894</c:v>
                </c:pt>
                <c:pt idx="98">
                  <c:v>-96.681039366357552</c:v>
                </c:pt>
                <c:pt idx="99">
                  <c:v>-96.705694614178029</c:v>
                </c:pt>
                <c:pt idx="100">
                  <c:v>-96.730378985052752</c:v>
                </c:pt>
                <c:pt idx="101">
                  <c:v>-96.755668229025872</c:v>
                </c:pt>
                <c:pt idx="102">
                  <c:v>-96.781006429895129</c:v>
                </c:pt>
                <c:pt idx="103">
                  <c:v>-96.807009135199465</c:v>
                </c:pt>
                <c:pt idx="104">
                  <c:v>-96.833080133080401</c:v>
                </c:pt>
                <c:pt idx="105">
                  <c:v>-96.859837820303269</c:v>
                </c:pt>
                <c:pt idx="106">
                  <c:v>-96.886682447837586</c:v>
                </c:pt>
                <c:pt idx="107">
                  <c:v>-96.914235987732155</c:v>
                </c:pt>
                <c:pt idx="108">
                  <c:v>-96.941894329122647</c:v>
                </c:pt>
                <c:pt idx="109">
                  <c:v>-96.970303063770757</c:v>
                </c:pt>
                <c:pt idx="110">
                  <c:v>-96.998833762293643</c:v>
                </c:pt>
                <c:pt idx="111">
                  <c:v>-97.028176162331349</c:v>
                </c:pt>
                <c:pt idx="112">
                  <c:v>-97.057657170068168</c:v>
                </c:pt>
                <c:pt idx="113">
                  <c:v>-97.087972537294064</c:v>
                </c:pt>
                <c:pt idx="114">
                  <c:v>-97.118442275899696</c:v>
                </c:pt>
                <c:pt idx="115">
                  <c:v>-97.149788644803948</c:v>
                </c:pt>
                <c:pt idx="116">
                  <c:v>-97.181304423164732</c:v>
                </c:pt>
                <c:pt idx="117">
                  <c:v>-97.213739311177548</c:v>
                </c:pt>
                <c:pt idx="118">
                  <c:v>-97.24635791380075</c:v>
                </c:pt>
                <c:pt idx="119">
                  <c:v>-97.279917874665387</c:v>
                </c:pt>
                <c:pt idx="120">
                  <c:v>-97.313674875592142</c:v>
                </c:pt>
                <c:pt idx="121">
                  <c:v>-97.348415548870975</c:v>
                </c:pt>
                <c:pt idx="122">
                  <c:v>-97.383365822881757</c:v>
                </c:pt>
                <c:pt idx="123">
                  <c:v>-97.419363076313374</c:v>
                </c:pt>
                <c:pt idx="124">
                  <c:v>-97.455581985987223</c:v>
                </c:pt>
                <c:pt idx="125">
                  <c:v>-97.492869691534139</c:v>
                </c:pt>
                <c:pt idx="126">
                  <c:v>-97.530390099725594</c:v>
                </c:pt>
                <c:pt idx="127">
                  <c:v>-97.56902180408072</c:v>
                </c:pt>
                <c:pt idx="128">
                  <c:v>-97.607896501234393</c:v>
                </c:pt>
                <c:pt idx="129">
                  <c:v>-97.64792499558574</c:v>
                </c:pt>
                <c:pt idx="130">
                  <c:v>-97.688206023117004</c:v>
                </c:pt>
                <c:pt idx="131">
                  <c:v>-97.72968332154538</c:v>
                </c:pt>
                <c:pt idx="132">
                  <c:v>-97.750520083743908</c:v>
                </c:pt>
                <c:pt idx="133">
                  <c:v>-97.771421951729337</c:v>
                </c:pt>
                <c:pt idx="134">
                  <c:v>-97.792887886018818</c:v>
                </c:pt>
                <c:pt idx="135">
                  <c:v>-97.814421528772172</c:v>
                </c:pt>
                <c:pt idx="136">
                  <c:v>-97.836022593217052</c:v>
                </c:pt>
                <c:pt idx="137">
                  <c:v>-97.857690780889783</c:v>
                </c:pt>
                <c:pt idx="138">
                  <c:v>-97.879920023103423</c:v>
                </c:pt>
                <c:pt idx="139">
                  <c:v>-97.902218805343637</c:v>
                </c:pt>
                <c:pt idx="140">
                  <c:v>-97.924586775114548</c:v>
                </c:pt>
                <c:pt idx="141">
                  <c:v>-97.947023570186403</c:v>
                </c:pt>
                <c:pt idx="142">
                  <c:v>-97.97006332351485</c:v>
                </c:pt>
                <c:pt idx="143">
                  <c:v>-97.993174408448795</c:v>
                </c:pt>
                <c:pt idx="144">
                  <c:v>-98.016356409029385</c:v>
                </c:pt>
                <c:pt idx="145">
                  <c:v>-98.039608901434221</c:v>
                </c:pt>
                <c:pt idx="146">
                  <c:v>-98.063472527793351</c:v>
                </c:pt>
                <c:pt idx="147">
                  <c:v>-98.087409029389292</c:v>
                </c:pt>
                <c:pt idx="148">
                  <c:v>-98.111417930699844</c:v>
                </c:pt>
                <c:pt idx="149">
                  <c:v>-98.135498750177064</c:v>
                </c:pt>
                <c:pt idx="150">
                  <c:v>-98.160210275335487</c:v>
                </c:pt>
                <c:pt idx="151">
                  <c:v>-98.18499604612974</c:v>
                </c:pt>
                <c:pt idx="152">
                  <c:v>-98.209855530889939</c:v>
                </c:pt>
                <c:pt idx="153">
                  <c:v>-98.234788193699671</c:v>
                </c:pt>
                <c:pt idx="154">
                  <c:v>-98.260383002642669</c:v>
                </c:pt>
                <c:pt idx="155">
                  <c:v>-98.286053327957376</c:v>
                </c:pt>
                <c:pt idx="156">
                  <c:v>-98.311798584454664</c:v>
                </c:pt>
                <c:pt idx="157">
                  <c:v>-98.33761818441117</c:v>
                </c:pt>
                <c:pt idx="158">
                  <c:v>-98.364119852418668</c:v>
                </c:pt>
                <c:pt idx="159">
                  <c:v>-98.390698141019129</c:v>
                </c:pt>
                <c:pt idx="160">
                  <c:v>-98.417352414851436</c:v>
                </c:pt>
                <c:pt idx="161">
                  <c:v>-98.444082037673198</c:v>
                </c:pt>
                <c:pt idx="162">
                  <c:v>-98.471501635119907</c:v>
                </c:pt>
                <c:pt idx="163">
                  <c:v>-98.498998727523258</c:v>
                </c:pt>
                <c:pt idx="164">
                  <c:v>-98.526572633617803</c:v>
                </c:pt>
                <c:pt idx="165">
                  <c:v>-98.554222672843466</c:v>
                </c:pt>
                <c:pt idx="166">
                  <c:v>-98.582606886947275</c:v>
                </c:pt>
                <c:pt idx="167">
                  <c:v>-98.611069450078048</c:v>
                </c:pt>
                <c:pt idx="168">
                  <c:v>-98.6396096366406</c:v>
                </c:pt>
                <c:pt idx="169">
                  <c:v>-98.668226723265889</c:v>
                </c:pt>
                <c:pt idx="170">
                  <c:v>-98.697536554045158</c:v>
                </c:pt>
                <c:pt idx="171">
                  <c:v>-98.726925103442085</c:v>
                </c:pt>
                <c:pt idx="172">
                  <c:v>-98.756391609631393</c:v>
                </c:pt>
                <c:pt idx="173">
                  <c:v>-98.785935314436756</c:v>
                </c:pt>
                <c:pt idx="174">
                  <c:v>-98.816303171360246</c:v>
                </c:pt>
                <c:pt idx="175">
                  <c:v>-98.846750567327021</c:v>
                </c:pt>
                <c:pt idx="176">
                  <c:v>-98.877276698921889</c:v>
                </c:pt>
                <c:pt idx="177">
                  <c:v>-98.907880767784917</c:v>
                </c:pt>
                <c:pt idx="178">
                  <c:v>-98.939317401990593</c:v>
                </c:pt>
                <c:pt idx="179">
                  <c:v>-98.970834173913104</c:v>
                </c:pt>
                <c:pt idx="180">
                  <c:v>-99.002430242663337</c:v>
                </c:pt>
                <c:pt idx="181">
                  <c:v>-99.034104773749235</c:v>
                </c:pt>
                <c:pt idx="182">
                  <c:v>-99.066492768768995</c:v>
                </c:pt>
                <c:pt idx="183">
                  <c:v>-99.098960663233257</c:v>
                </c:pt>
                <c:pt idx="184">
                  <c:v>-99.131507593138508</c:v>
                </c:pt>
                <c:pt idx="185">
                  <c:v>-99.164132702023153</c:v>
                </c:pt>
                <c:pt idx="186">
                  <c:v>-99.197733937595004</c:v>
                </c:pt>
                <c:pt idx="187">
                  <c:v>-99.231415895126972</c:v>
                </c:pt>
                <c:pt idx="188">
                  <c:v>-99.265177671265832</c:v>
                </c:pt>
                <c:pt idx="189">
                  <c:v>-99.29901837149896</c:v>
                </c:pt>
                <c:pt idx="190">
                  <c:v>-99.333585167504737</c:v>
                </c:pt>
                <c:pt idx="191">
                  <c:v>-99.368232081347401</c:v>
                </c:pt>
                <c:pt idx="192">
                  <c:v>-99.402958195085503</c:v>
                </c:pt>
                <c:pt idx="193">
                  <c:v>-99.437762600559324</c:v>
                </c:pt>
                <c:pt idx="194">
                  <c:v>-99.473559936536631</c:v>
                </c:pt>
                <c:pt idx="195">
                  <c:v>-99.509437817123811</c:v>
                </c:pt>
                <c:pt idx="196">
                  <c:v>-99.54539529313908</c:v>
                </c:pt>
                <c:pt idx="197">
                  <c:v>-99.581431426323292</c:v>
                </c:pt>
                <c:pt idx="198">
                  <c:v>-99.618336966612318</c:v>
                </c:pt>
                <c:pt idx="199">
                  <c:v>-99.655322700413734</c:v>
                </c:pt>
                <c:pt idx="200">
                  <c:v>-99.69238766173018</c:v>
                </c:pt>
                <c:pt idx="201">
                  <c:v>-99.729530896381718</c:v>
                </c:pt>
                <c:pt idx="202">
                  <c:v>-99.767549884924065</c:v>
                </c:pt>
                <c:pt idx="203">
                  <c:v>-99.805648562449989</c:v>
                </c:pt>
                <c:pt idx="204">
                  <c:v>-99.843825949968164</c:v>
                </c:pt>
                <c:pt idx="205">
                  <c:v>-99.882081081100011</c:v>
                </c:pt>
                <c:pt idx="206">
                  <c:v>-99.921352150611739</c:v>
                </c:pt>
                <c:pt idx="207">
                  <c:v>-99.960702802814083</c:v>
                </c:pt>
                <c:pt idx="208">
                  <c:v>-100.00013203923935</c:v>
                </c:pt>
                <c:pt idx="209">
                  <c:v>-100.03963887491142</c:v>
                </c:pt>
                <c:pt idx="210">
                  <c:v>-100.08030418094633</c:v>
                </c:pt>
                <c:pt idx="211">
                  <c:v>-100.12104931744932</c:v>
                </c:pt>
                <c:pt idx="212">
                  <c:v>-100.1618732602271</c:v>
                </c:pt>
                <c:pt idx="213">
                  <c:v>-100.20277499955861</c:v>
                </c:pt>
                <c:pt idx="214">
                  <c:v>-100.24457116200587</c:v>
                </c:pt>
                <c:pt idx="215">
                  <c:v>-100.28644617707204</c:v>
                </c:pt>
                <c:pt idx="216">
                  <c:v>-100.32839901897191</c:v>
                </c:pt>
                <c:pt idx="217">
                  <c:v>-100.37042867689935</c:v>
                </c:pt>
                <c:pt idx="218">
                  <c:v>-100.41349509096878</c:v>
                </c:pt>
                <c:pt idx="219">
                  <c:v>-100.45663977224207</c:v>
                </c:pt>
                <c:pt idx="220">
                  <c:v>-100.4998616866267</c:v>
                </c:pt>
                <c:pt idx="221">
                  <c:v>-100.54315981561653</c:v>
                </c:pt>
                <c:pt idx="222">
                  <c:v>-100.5875009271036</c:v>
                </c:pt>
                <c:pt idx="223">
                  <c:v>-100.63191958554827</c:v>
                </c:pt>
                <c:pt idx="224">
                  <c:v>-100.67641475195042</c:v>
                </c:pt>
                <c:pt idx="225">
                  <c:v>-100.72098540341248</c:v>
                </c:pt>
                <c:pt idx="226">
                  <c:v>-100.76674412673482</c:v>
                </c:pt>
                <c:pt idx="227">
                  <c:v>-100.81258001954811</c:v>
                </c:pt>
                <c:pt idx="228">
                  <c:v>-100.85849203167484</c:v>
                </c:pt>
                <c:pt idx="229">
                  <c:v>-100.9044791296683</c:v>
                </c:pt>
                <c:pt idx="230">
                  <c:v>-100.99891998770298</c:v>
                </c:pt>
                <c:pt idx="231">
                  <c:v>-101.0462543182413</c:v>
                </c:pt>
                <c:pt idx="232">
                  <c:v>-101.09366319000995</c:v>
                </c:pt>
                <c:pt idx="233">
                  <c:v>-101.14227364290217</c:v>
                </c:pt>
                <c:pt idx="234">
                  <c:v>-101.19096006540491</c:v>
                </c:pt>
                <c:pt idx="235">
                  <c:v>-101.2397213955114</c:v>
                </c:pt>
                <c:pt idx="236">
                  <c:v>-101.28855658893734</c:v>
                </c:pt>
                <c:pt idx="237">
                  <c:v>-101.33845770249739</c:v>
                </c:pt>
                <c:pt idx="238">
                  <c:v>-101.38843356594083</c:v>
                </c:pt>
                <c:pt idx="239">
                  <c:v>-101.43848312518466</c:v>
                </c:pt>
                <c:pt idx="240">
                  <c:v>-101.48860534403104</c:v>
                </c:pt>
                <c:pt idx="241">
                  <c:v>-101.54008349995897</c:v>
                </c:pt>
                <c:pt idx="242">
                  <c:v>-101.5916359272765</c:v>
                </c:pt>
                <c:pt idx="243">
                  <c:v>-101.64326156475688</c:v>
                </c:pt>
                <c:pt idx="244">
                  <c:v>-101.69495936954554</c:v>
                </c:pt>
                <c:pt idx="245">
                  <c:v>-101.74787634913362</c:v>
                </c:pt>
                <c:pt idx="246">
                  <c:v>-101.80086658395436</c:v>
                </c:pt>
                <c:pt idx="247">
                  <c:v>-101.8539290175609</c:v>
                </c:pt>
                <c:pt idx="248">
                  <c:v>-101.90706261207845</c:v>
                </c:pt>
                <c:pt idx="249">
                  <c:v>-101.96156486769931</c:v>
                </c:pt>
                <c:pt idx="250">
                  <c:v>-102.01613965121852</c:v>
                </c:pt>
                <c:pt idx="251">
                  <c:v>-102.0707859052343</c:v>
                </c:pt>
                <c:pt idx="252">
                  <c:v>-102.12550259123726</c:v>
                </c:pt>
                <c:pt idx="253">
                  <c:v>-102.18144892610941</c:v>
                </c:pt>
                <c:pt idx="254">
                  <c:v>-102.23746657559514</c:v>
                </c:pt>
                <c:pt idx="255">
                  <c:v>-102.29355449241243</c:v>
                </c:pt>
                <c:pt idx="256">
                  <c:v>-102.34971164821494</c:v>
                </c:pt>
                <c:pt idx="257">
                  <c:v>-102.40739454715307</c:v>
                </c:pt>
                <c:pt idx="258">
                  <c:v>-102.46514818588604</c:v>
                </c:pt>
                <c:pt idx="259">
                  <c:v>-102.5229715136597</c:v>
                </c:pt>
                <c:pt idx="260">
                  <c:v>-102.58086349901423</c:v>
                </c:pt>
                <c:pt idx="261">
                  <c:v>-102.64014117204553</c:v>
                </c:pt>
                <c:pt idx="262">
                  <c:v>-102.69948853669135</c:v>
                </c:pt>
                <c:pt idx="263">
                  <c:v>-102.75890454956891</c:v>
                </c:pt>
                <c:pt idx="264">
                  <c:v>-102.8183881866739</c:v>
                </c:pt>
                <c:pt idx="265">
                  <c:v>-102.87926253107082</c:v>
                </c:pt>
                <c:pt idx="266">
                  <c:v>-102.94020543497727</c:v>
                </c:pt>
                <c:pt idx="267">
                  <c:v>-103.00121586471491</c:v>
                </c:pt>
                <c:pt idx="268">
                  <c:v>-103.06229280599798</c:v>
                </c:pt>
                <c:pt idx="269">
                  <c:v>-103.12491293664797</c:v>
                </c:pt>
                <c:pt idx="270">
                  <c:v>-103.18760073784352</c:v>
                </c:pt>
                <c:pt idx="271">
                  <c:v>-103.25035518052503</c:v>
                </c:pt>
                <c:pt idx="272">
                  <c:v>-103.31317525515458</c:v>
                </c:pt>
                <c:pt idx="273">
                  <c:v>-103.37754387369266</c:v>
                </c:pt>
                <c:pt idx="274">
                  <c:v>-103.44197917695</c:v>
                </c:pt>
                <c:pt idx="275">
                  <c:v>-103.50648014301385</c:v>
                </c:pt>
                <c:pt idx="276">
                  <c:v>-103.57104576954936</c:v>
                </c:pt>
                <c:pt idx="277">
                  <c:v>-103.63701597941066</c:v>
                </c:pt>
                <c:pt idx="278">
                  <c:v>-103.70305150944802</c:v>
                </c:pt>
                <c:pt idx="279">
                  <c:v>-103.76915135396273</c:v>
                </c:pt>
                <c:pt idx="280">
                  <c:v>-103.83531452664809</c:v>
                </c:pt>
                <c:pt idx="281">
                  <c:v>-103.90333483832558</c:v>
                </c:pt>
                <c:pt idx="282">
                  <c:v>-103.97141990734376</c:v>
                </c:pt>
                <c:pt idx="283">
                  <c:v>-104.03956872604806</c:v>
                </c:pt>
                <c:pt idx="284">
                  <c:v>-104.10778030644691</c:v>
                </c:pt>
                <c:pt idx="285">
                  <c:v>-104.17740475883134</c:v>
                </c:pt>
                <c:pt idx="286">
                  <c:v>-104.24709246559878</c:v>
                </c:pt>
                <c:pt idx="287">
                  <c:v>-104.31684243924202</c:v>
                </c:pt>
                <c:pt idx="288">
                  <c:v>-104.38665371160667</c:v>
                </c:pt>
                <c:pt idx="289">
                  <c:v>-104.45833315032743</c:v>
                </c:pt>
                <c:pt idx="290">
                  <c:v>-104.53007509584828</c:v>
                </c:pt>
                <c:pt idx="291">
                  <c:v>-104.60187856348659</c:v>
                </c:pt>
                <c:pt idx="292">
                  <c:v>-104.67374258804477</c:v>
                </c:pt>
                <c:pt idx="293">
                  <c:v>-104.7473290214307</c:v>
                </c:pt>
                <c:pt idx="294">
                  <c:v>-104.82097685940954</c:v>
                </c:pt>
                <c:pt idx="295">
                  <c:v>-104.89468512866186</c:v>
                </c:pt>
                <c:pt idx="296">
                  <c:v>-104.96845287525329</c:v>
                </c:pt>
                <c:pt idx="297">
                  <c:v>-105.04394736733616</c:v>
                </c:pt>
                <c:pt idx="298">
                  <c:v>-105.11950209646379</c:v>
                </c:pt>
                <c:pt idx="299">
                  <c:v>-105.19511610249697</c:v>
                </c:pt>
                <c:pt idx="300">
                  <c:v>-105.27078844452454</c:v>
                </c:pt>
                <c:pt idx="301">
                  <c:v>-105.34819158719542</c:v>
                </c:pt>
                <c:pt idx="302">
                  <c:v>-105.42565374330252</c:v>
                </c:pt>
                <c:pt idx="303">
                  <c:v>-105.50317396749206</c:v>
                </c:pt>
                <c:pt idx="304">
                  <c:v>-105.58075133342973</c:v>
                </c:pt>
                <c:pt idx="305">
                  <c:v>-105.66036844538351</c:v>
                </c:pt>
                <c:pt idx="306">
                  <c:v>-105.74004374118215</c:v>
                </c:pt>
                <c:pt idx="307">
                  <c:v>-105.81977628100668</c:v>
                </c:pt>
                <c:pt idx="308">
                  <c:v>-105.89956514408824</c:v>
                </c:pt>
                <c:pt idx="309">
                  <c:v>-105.98109256043057</c:v>
                </c:pt>
                <c:pt idx="310">
                  <c:v>-106.06267681733689</c:v>
                </c:pt>
                <c:pt idx="311">
                  <c:v>-106.144316993082</c:v>
                </c:pt>
                <c:pt idx="312">
                  <c:v>-106.22601218467602</c:v>
                </c:pt>
                <c:pt idx="313">
                  <c:v>-106.30975606221348</c:v>
                </c:pt>
                <c:pt idx="314">
                  <c:v>-106.39355581204326</c:v>
                </c:pt>
                <c:pt idx="315">
                  <c:v>-106.4774105216368</c:v>
                </c:pt>
                <c:pt idx="316">
                  <c:v>-106.56131929711802</c:v>
                </c:pt>
                <c:pt idx="317">
                  <c:v>-106.64728099842273</c:v>
                </c:pt>
                <c:pt idx="318">
                  <c:v>-106.73329753253427</c:v>
                </c:pt>
                <c:pt idx="319">
                  <c:v>-106.81936799795832</c:v>
                </c:pt>
                <c:pt idx="320">
                  <c:v>-106.90549151171314</c:v>
                </c:pt>
                <c:pt idx="321">
                  <c:v>-106.99367190890621</c:v>
                </c:pt>
                <c:pt idx="322">
                  <c:v>-107.08190603729777</c:v>
                </c:pt>
                <c:pt idx="323">
                  <c:v>-107.17019300805883</c:v>
                </c:pt>
                <c:pt idx="324">
                  <c:v>-107.25853195068119</c:v>
                </c:pt>
                <c:pt idx="325">
                  <c:v>-107.34893146508044</c:v>
                </c:pt>
                <c:pt idx="326">
                  <c:v>-107.43938355547535</c:v>
                </c:pt>
                <c:pt idx="327">
                  <c:v>-107.5298873471324</c:v>
                </c:pt>
                <c:pt idx="328">
                  <c:v>-107.62044198340018</c:v>
                </c:pt>
                <c:pt idx="329">
                  <c:v>-107.71321554731429</c:v>
                </c:pt>
                <c:pt idx="330">
                  <c:v>-107.80604065688439</c:v>
                </c:pt>
                <c:pt idx="331">
                  <c:v>-107.89891644843571</c:v>
                </c:pt>
                <c:pt idx="332">
                  <c:v>-107.99184207621281</c:v>
                </c:pt>
                <c:pt idx="333">
                  <c:v>-108.0868350626384</c:v>
                </c:pt>
                <c:pt idx="334">
                  <c:v>-108.18187834230126</c:v>
                </c:pt>
                <c:pt idx="335">
                  <c:v>-108.2769710681978</c:v>
                </c:pt>
                <c:pt idx="336">
                  <c:v>-108.37211241091823</c:v>
                </c:pt>
                <c:pt idx="337">
                  <c:v>-108.46963521895415</c:v>
                </c:pt>
                <c:pt idx="338">
                  <c:v>-108.56720734840303</c:v>
                </c:pt>
                <c:pt idx="339">
                  <c:v>-108.66482796189244</c:v>
                </c:pt>
                <c:pt idx="340">
                  <c:v>-108.76249623950547</c:v>
                </c:pt>
                <c:pt idx="341">
                  <c:v>-108.8625496284965</c:v>
                </c:pt>
                <c:pt idx="342">
                  <c:v>-108.96265130381393</c:v>
                </c:pt>
                <c:pt idx="343">
                  <c:v>-109.06280043925112</c:v>
                </c:pt>
                <c:pt idx="344">
                  <c:v>-109.16299622586878</c:v>
                </c:pt>
                <c:pt idx="345">
                  <c:v>-109.26542433150628</c:v>
                </c:pt>
                <c:pt idx="346">
                  <c:v>-109.36789949073975</c:v>
                </c:pt>
                <c:pt idx="347">
                  <c:v>-109.4704208935399</c:v>
                </c:pt>
                <c:pt idx="348">
                  <c:v>-109.57298774680994</c:v>
                </c:pt>
                <c:pt idx="349">
                  <c:v>-109.67810254576447</c:v>
                </c:pt>
                <c:pt idx="350">
                  <c:v>-109.78326340708196</c:v>
                </c:pt>
                <c:pt idx="351">
                  <c:v>-109.88846953062237</c:v>
                </c:pt>
                <c:pt idx="352">
                  <c:v>-109.99372013300972</c:v>
                </c:pt>
                <c:pt idx="353">
                  <c:v>-110.10152198123326</c:v>
                </c:pt>
                <c:pt idx="354">
                  <c:v>-110.20936884171353</c:v>
                </c:pt>
                <c:pt idx="355">
                  <c:v>-110.31725992555245</c:v>
                </c:pt>
                <c:pt idx="356">
                  <c:v>-110.42519446040252</c:v>
                </c:pt>
                <c:pt idx="357">
                  <c:v>-110.53552631472783</c:v>
                </c:pt>
                <c:pt idx="358">
                  <c:v>-110.64590195600923</c:v>
                </c:pt>
                <c:pt idx="359">
                  <c:v>-110.75632061102739</c:v>
                </c:pt>
                <c:pt idx="360">
                  <c:v>-110.86678152276789</c:v>
                </c:pt>
                <c:pt idx="361">
                  <c:v>-110.97995663618323</c:v>
                </c:pt>
                <c:pt idx="362">
                  <c:v>-111.09317451765861</c:v>
                </c:pt>
                <c:pt idx="363">
                  <c:v>-111.20643440401365</c:v>
                </c:pt>
                <c:pt idx="364">
                  <c:v>-111.31973554807577</c:v>
                </c:pt>
                <c:pt idx="365">
                  <c:v>-111.43559637681969</c:v>
                </c:pt>
                <c:pt idx="366">
                  <c:v>-111.55149878783628</c:v>
                </c:pt>
                <c:pt idx="367">
                  <c:v>-111.66744203216635</c:v>
                </c:pt>
                <c:pt idx="368">
                  <c:v>-111.78342537653629</c:v>
                </c:pt>
                <c:pt idx="369">
                  <c:v>-111.90228610264701</c:v>
                </c:pt>
                <c:pt idx="370">
                  <c:v>-112.02118740488922</c:v>
                </c:pt>
                <c:pt idx="371">
                  <c:v>-112.14012854337315</c:v>
                </c:pt>
                <c:pt idx="372">
                  <c:v>-112.2591087937065</c:v>
                </c:pt>
                <c:pt idx="373">
                  <c:v>-112.3808113282621</c:v>
                </c:pt>
                <c:pt idx="374">
                  <c:v>-112.50255327410568</c:v>
                </c:pt>
                <c:pt idx="375">
                  <c:v>-112.62433390433974</c:v>
                </c:pt>
                <c:pt idx="376">
                  <c:v>-112.74615250725748</c:v>
                </c:pt>
                <c:pt idx="377">
                  <c:v>-112.87101178416347</c:v>
                </c:pt>
                <c:pt idx="378">
                  <c:v>-112.99590946265889</c:v>
                </c:pt>
                <c:pt idx="379">
                  <c:v>-113.12084482410184</c:v>
                </c:pt>
                <c:pt idx="380">
                  <c:v>-113.24581716485594</c:v>
                </c:pt>
                <c:pt idx="381">
                  <c:v>-113.37351624887745</c:v>
                </c:pt>
                <c:pt idx="382">
                  <c:v>-113.50125248271132</c:v>
                </c:pt>
                <c:pt idx="383">
                  <c:v>-113.62902516222304</c:v>
                </c:pt>
                <c:pt idx="384">
                  <c:v>-113.75683359791455</c:v>
                </c:pt>
                <c:pt idx="385">
                  <c:v>-113.88784591903554</c:v>
                </c:pt>
                <c:pt idx="386">
                  <c:v>-114.01889436988967</c:v>
                </c:pt>
                <c:pt idx="387">
                  <c:v>-114.14997825371006</c:v>
                </c:pt>
                <c:pt idx="388">
                  <c:v>-114.28109688818311</c:v>
                </c:pt>
                <c:pt idx="389">
                  <c:v>-114.41526318248006</c:v>
                </c:pt>
                <c:pt idx="390">
                  <c:v>-114.54946444270645</c:v>
                </c:pt>
                <c:pt idx="391">
                  <c:v>-114.68369998285384</c:v>
                </c:pt>
                <c:pt idx="392">
                  <c:v>-114.81796913107786</c:v>
                </c:pt>
                <c:pt idx="393">
                  <c:v>-114.95528784358922</c:v>
                </c:pt>
                <c:pt idx="394">
                  <c:v>-115.09264031387933</c:v>
                </c:pt>
                <c:pt idx="395">
                  <c:v>-115.23002586726139</c:v>
                </c:pt>
                <c:pt idx="396">
                  <c:v>-115.36744384289599</c:v>
                </c:pt>
                <c:pt idx="397">
                  <c:v>-115.50823091349315</c:v>
                </c:pt>
                <c:pt idx="398">
                  <c:v>-115.64905063914784</c:v>
                </c:pt>
                <c:pt idx="399">
                  <c:v>-115.7899023524426</c:v>
                </c:pt>
                <c:pt idx="400">
                  <c:v>-115.93078539958719</c:v>
                </c:pt>
                <c:pt idx="401">
                  <c:v>-116.07488038645538</c:v>
                </c:pt>
                <c:pt idx="402">
                  <c:v>-116.21900679705396</c:v>
                </c:pt>
                <c:pt idx="403">
                  <c:v>-116.36316397410503</c:v>
                </c:pt>
                <c:pt idx="404">
                  <c:v>-116.50735127364439</c:v>
                </c:pt>
                <c:pt idx="405">
                  <c:v>-116.65491118269512</c:v>
                </c:pt>
                <c:pt idx="406">
                  <c:v>-116.80250130397604</c:v>
                </c:pt>
                <c:pt idx="407">
                  <c:v>-116.95012098860572</c:v>
                </c:pt>
                <c:pt idx="408">
                  <c:v>-117.0977696007343</c:v>
                </c:pt>
                <c:pt idx="409">
                  <c:v>-117.24895159402537</c:v>
                </c:pt>
                <c:pt idx="410">
                  <c:v>-117.40016259584527</c:v>
                </c:pt>
                <c:pt idx="411">
                  <c:v>-117.5514019640941</c:v>
                </c:pt>
                <c:pt idx="412">
                  <c:v>-117.70266906944717</c:v>
                </c:pt>
                <c:pt idx="413">
                  <c:v>-117.85747095947133</c:v>
                </c:pt>
                <c:pt idx="414">
                  <c:v>-118.01230059399177</c:v>
                </c:pt>
                <c:pt idx="415">
                  <c:v>-118.16715733811935</c:v>
                </c:pt>
                <c:pt idx="416">
                  <c:v>-118.32204056945245</c:v>
                </c:pt>
                <c:pt idx="417">
                  <c:v>-118.48061930630179</c:v>
                </c:pt>
                <c:pt idx="418">
                  <c:v>-118.63922451867691</c:v>
                </c:pt>
                <c:pt idx="419">
                  <c:v>-118.7978555772869</c:v>
                </c:pt>
                <c:pt idx="420">
                  <c:v>-118.95651186506181</c:v>
                </c:pt>
                <c:pt idx="421">
                  <c:v>-119.11870510316027</c:v>
                </c:pt>
                <c:pt idx="422">
                  <c:v>-119.28092343350502</c:v>
                </c:pt>
                <c:pt idx="423">
                  <c:v>-119.44316623450179</c:v>
                </c:pt>
                <c:pt idx="424">
                  <c:v>-119.60543289643458</c:v>
                </c:pt>
                <c:pt idx="425">
                  <c:v>-119.771716463803</c:v>
                </c:pt>
                <c:pt idx="426">
                  <c:v>-119.93802382165525</c:v>
                </c:pt>
                <c:pt idx="427">
                  <c:v>-120.10435435075652</c:v>
                </c:pt>
                <c:pt idx="428">
                  <c:v>-120.2707074435183</c:v>
                </c:pt>
                <c:pt idx="429">
                  <c:v>-120.44091849430714</c:v>
                </c:pt>
                <c:pt idx="430">
                  <c:v>-120.61115191051762</c:v>
                </c:pt>
                <c:pt idx="431">
                  <c:v>-120.78140707724276</c:v>
                </c:pt>
                <c:pt idx="432">
                  <c:v>-120.95168339091225</c:v>
                </c:pt>
                <c:pt idx="433">
                  <c:v>-121.12581816713966</c:v>
                </c:pt>
                <c:pt idx="434">
                  <c:v>-121.2999738126374</c:v>
                </c:pt>
                <c:pt idx="435">
                  <c:v>-121.47414971675613</c:v>
                </c:pt>
                <c:pt idx="436">
                  <c:v>-121.64834527984696</c:v>
                </c:pt>
                <c:pt idx="437">
                  <c:v>-121.82671953559209</c:v>
                </c:pt>
                <c:pt idx="438">
                  <c:v>-122.00511316192514</c:v>
                </c:pt>
                <c:pt idx="439">
                  <c:v>-122.18352554896987</c:v>
                </c:pt>
                <c:pt idx="440">
                  <c:v>-122.3619560975654</c:v>
                </c:pt>
                <c:pt idx="441">
                  <c:v>-122.54456554604491</c:v>
                </c:pt>
                <c:pt idx="442">
                  <c:v>-122.72719277645302</c:v>
                </c:pt>
                <c:pt idx="443">
                  <c:v>-122.90983717952187</c:v>
                </c:pt>
                <c:pt idx="444">
                  <c:v>-123.09249815638117</c:v>
                </c:pt>
                <c:pt idx="445">
                  <c:v>-123.27933796516444</c:v>
                </c:pt>
                <c:pt idx="446">
                  <c:v>-123.46619387640681</c:v>
                </c:pt>
                <c:pt idx="447">
                  <c:v>-123.65306528109308</c:v>
                </c:pt>
                <c:pt idx="448">
                  <c:v>-123.83995158025813</c:v>
                </c:pt>
                <c:pt idx="449">
                  <c:v>-124.03133668885327</c:v>
                </c:pt>
                <c:pt idx="450">
                  <c:v>-124.22273617502694</c:v>
                </c:pt>
                <c:pt idx="451">
                  <c:v>-124.41414942642643</c:v>
                </c:pt>
                <c:pt idx="452">
                  <c:v>-124.60557584043747</c:v>
                </c:pt>
                <c:pt idx="453">
                  <c:v>-124.80134036414491</c:v>
                </c:pt>
                <c:pt idx="454">
                  <c:v>-124.99711740730031</c:v>
                </c:pt>
                <c:pt idx="455">
                  <c:v>-125.19290635514859</c:v>
                </c:pt>
                <c:pt idx="456">
                  <c:v>-125.38870660229576</c:v>
                </c:pt>
                <c:pt idx="457">
                  <c:v>-125.58916458229884</c:v>
                </c:pt>
                <c:pt idx="458">
                  <c:v>-125.78963314904433</c:v>
                </c:pt>
                <c:pt idx="459">
                  <c:v>-125.99011168156464</c:v>
                </c:pt>
                <c:pt idx="460">
                  <c:v>-126.19059956790365</c:v>
                </c:pt>
                <c:pt idx="461">
                  <c:v>-126.39574410755782</c:v>
                </c:pt>
                <c:pt idx="462">
                  <c:v>-126.60089717118662</c:v>
                </c:pt>
                <c:pt idx="463">
                  <c:v>-126.80605813067415</c:v>
                </c:pt>
                <c:pt idx="464">
                  <c:v>-127.01122636652968</c:v>
                </c:pt>
                <c:pt idx="465">
                  <c:v>-127.22121012938425</c:v>
                </c:pt>
                <c:pt idx="466">
                  <c:v>-127.4312002271602</c:v>
                </c:pt>
                <c:pt idx="467">
                  <c:v>-127.64119602196739</c:v>
                </c:pt>
                <c:pt idx="468">
                  <c:v>-127.85119688414383</c:v>
                </c:pt>
                <c:pt idx="469">
                  <c:v>-128.06601152103272</c:v>
                </c:pt>
                <c:pt idx="470">
                  <c:v>-128.28083015241941</c:v>
                </c:pt>
                <c:pt idx="471">
                  <c:v>-128.49565212925935</c:v>
                </c:pt>
                <c:pt idx="472">
                  <c:v>-128.71047681030106</c:v>
                </c:pt>
                <c:pt idx="473">
                  <c:v>-128.93043377301359</c:v>
                </c:pt>
                <c:pt idx="474">
                  <c:v>-129.1503922339015</c:v>
                </c:pt>
                <c:pt idx="475">
                  <c:v>-129.3703515282335</c:v>
                </c:pt>
                <c:pt idx="476">
                  <c:v>-129.59031099864018</c:v>
                </c:pt>
                <c:pt idx="477">
                  <c:v>-129.81540022296014</c:v>
                </c:pt>
                <c:pt idx="478">
                  <c:v>-130.04048826123542</c:v>
                </c:pt>
                <c:pt idx="479">
                  <c:v>-130.26557443115709</c:v>
                </c:pt>
                <c:pt idx="480">
                  <c:v>-130.4906580573014</c:v>
                </c:pt>
                <c:pt idx="481">
                  <c:v>-130.72086846610489</c:v>
                </c:pt>
                <c:pt idx="482">
                  <c:v>-130.95107480548862</c:v>
                </c:pt>
                <c:pt idx="483">
                  <c:v>-131.1812763733582</c:v>
                </c:pt>
                <c:pt idx="484">
                  <c:v>-131.411472473983</c:v>
                </c:pt>
                <c:pt idx="485">
                  <c:v>-131.64695222024429</c:v>
                </c:pt>
                <c:pt idx="486">
                  <c:v>-131.88242479143449</c:v>
                </c:pt>
                <c:pt idx="487">
                  <c:v>-132.11788946166382</c:v>
                </c:pt>
                <c:pt idx="488">
                  <c:v>-132.35334551085609</c:v>
                </c:pt>
                <c:pt idx="489">
                  <c:v>-132.59440179501883</c:v>
                </c:pt>
                <c:pt idx="490">
                  <c:v>-132.83544753238067</c:v>
                </c:pt>
                <c:pt idx="491">
                  <c:v>-133.07648196735957</c:v>
                </c:pt>
                <c:pt idx="492">
                  <c:v>-133.31750434961504</c:v>
                </c:pt>
                <c:pt idx="493">
                  <c:v>-133.56412237613978</c:v>
                </c:pt>
                <c:pt idx="494">
                  <c:v>-133.81072620848903</c:v>
                </c:pt>
                <c:pt idx="495">
                  <c:v>-134.05731505803098</c:v>
                </c:pt>
                <c:pt idx="496">
                  <c:v>-134.30388814074604</c:v>
                </c:pt>
                <c:pt idx="497">
                  <c:v>-134.55621187699569</c:v>
                </c:pt>
                <c:pt idx="498">
                  <c:v>-134.80851745235984</c:v>
                </c:pt>
                <c:pt idx="499">
                  <c:v>-135.06080403980141</c:v>
                </c:pt>
                <c:pt idx="500">
                  <c:v>-135.31307081621878</c:v>
                </c:pt>
                <c:pt idx="501">
                  <c:v>-135.57124249001808</c:v>
                </c:pt>
                <c:pt idx="502">
                  <c:v>-135.82939167784815</c:v>
                </c:pt>
                <c:pt idx="503">
                  <c:v>-136.08751750834128</c:v>
                </c:pt>
                <c:pt idx="504">
                  <c:v>-136.34561911333481</c:v>
                </c:pt>
                <c:pt idx="505">
                  <c:v>-136.60961891866563</c:v>
                </c:pt>
                <c:pt idx="506">
                  <c:v>-136.8735915450016</c:v>
                </c:pt>
                <c:pt idx="507">
                  <c:v>-137.13753607175423</c:v>
                </c:pt>
                <c:pt idx="508">
                  <c:v>-137.40145158074293</c:v>
                </c:pt>
                <c:pt idx="509">
                  <c:v>-137.67141784606599</c:v>
                </c:pt>
                <c:pt idx="510">
                  <c:v>-137.94135180332978</c:v>
                </c:pt>
                <c:pt idx="511">
                  <c:v>-138.21125247557327</c:v>
                </c:pt>
                <c:pt idx="512">
                  <c:v>-138.48111888738401</c:v>
                </c:pt>
                <c:pt idx="513">
                  <c:v>-138.75734752300096</c:v>
                </c:pt>
                <c:pt idx="514">
                  <c:v>-139.03353818945752</c:v>
                </c:pt>
                <c:pt idx="515">
                  <c:v>-139.30968984370452</c:v>
                </c:pt>
                <c:pt idx="516">
                  <c:v>-139.58580144331449</c:v>
                </c:pt>
                <c:pt idx="517">
                  <c:v>-139.86826567220905</c:v>
                </c:pt>
                <c:pt idx="518">
                  <c:v>-140.15068576261427</c:v>
                </c:pt>
                <c:pt idx="519">
                  <c:v>-140.43306059838082</c:v>
                </c:pt>
                <c:pt idx="520">
                  <c:v>-140.71538906297533</c:v>
                </c:pt>
                <c:pt idx="521">
                  <c:v>-141.00421927981753</c:v>
                </c:pt>
                <c:pt idx="522">
                  <c:v>-141.29299858129261</c:v>
                </c:pt>
                <c:pt idx="523">
                  <c:v>-141.58172576848389</c:v>
                </c:pt>
                <c:pt idx="524">
                  <c:v>-141.87039964100452</c:v>
                </c:pt>
                <c:pt idx="525">
                  <c:v>-142.16572299235753</c:v>
                </c:pt>
                <c:pt idx="526">
                  <c:v>-142.46098797469764</c:v>
                </c:pt>
                <c:pt idx="527">
                  <c:v>-142.75619329567587</c:v>
                </c:pt>
                <c:pt idx="528">
                  <c:v>-143.0513376603011</c:v>
                </c:pt>
                <c:pt idx="529">
                  <c:v>-143.35327768523129</c:v>
                </c:pt>
                <c:pt idx="530">
                  <c:v>-143.65515113444314</c:v>
                </c:pt>
                <c:pt idx="531">
                  <c:v>-143.95695661040764</c:v>
                </c:pt>
                <c:pt idx="532">
                  <c:v>-144.2586927116931</c:v>
                </c:pt>
                <c:pt idx="533">
                  <c:v>-144.56752828478841</c:v>
                </c:pt>
                <c:pt idx="534">
                  <c:v>-144.87628815953238</c:v>
                </c:pt>
                <c:pt idx="535">
                  <c:v>-145.1849708179499</c:v>
                </c:pt>
                <c:pt idx="536">
                  <c:v>-145.49357473680061</c:v>
                </c:pt>
                <c:pt idx="537">
                  <c:v>-145.80910210839247</c:v>
                </c:pt>
                <c:pt idx="538">
                  <c:v>-146.12454388408167</c:v>
                </c:pt>
                <c:pt idx="539">
                  <c:v>-146.43989841597988</c:v>
                </c:pt>
                <c:pt idx="540">
                  <c:v>-146.75516404950054</c:v>
                </c:pt>
                <c:pt idx="541">
                  <c:v>-147.07781188943596</c:v>
                </c:pt>
                <c:pt idx="542">
                  <c:v>-147.40036303332104</c:v>
                </c:pt>
                <c:pt idx="543">
                  <c:v>-147.72281568286809</c:v>
                </c:pt>
                <c:pt idx="544">
                  <c:v>-148.0451680315422</c:v>
                </c:pt>
                <c:pt idx="545">
                  <c:v>-148.37488168284113</c:v>
                </c:pt>
                <c:pt idx="546">
                  <c:v>-148.70448647919108</c:v>
                </c:pt>
                <c:pt idx="547">
                  <c:v>-149.03398045750299</c:v>
                </c:pt>
                <c:pt idx="548">
                  <c:v>-149.36336164482205</c:v>
                </c:pt>
                <c:pt idx="549">
                  <c:v>-149.70023978098124</c:v>
                </c:pt>
                <c:pt idx="550">
                  <c:v>-150.03699563944059</c:v>
                </c:pt>
                <c:pt idx="551">
                  <c:v>-150.37362707397992</c:v>
                </c:pt>
                <c:pt idx="552">
                  <c:v>-150.71013192682162</c:v>
                </c:pt>
                <c:pt idx="553">
                  <c:v>-151.05442491779607</c:v>
                </c:pt>
                <c:pt idx="554">
                  <c:v>-151.39858068522136</c:v>
                </c:pt>
                <c:pt idx="555">
                  <c:v>-151.74259687668649</c:v>
                </c:pt>
                <c:pt idx="556">
                  <c:v>-152.08647112644877</c:v>
                </c:pt>
                <c:pt idx="557">
                  <c:v>-152.7899009065631</c:v>
                </c:pt>
                <c:pt idx="558">
                  <c:v>-153.49270540194561</c:v>
                </c:pt>
                <c:pt idx="559">
                  <c:v>-154.21095046337396</c:v>
                </c:pt>
                <c:pt idx="560">
                  <c:v>-154.92849689855919</c:v>
                </c:pt>
                <c:pt idx="561">
                  <c:v>-155.66232020108396</c:v>
                </c:pt>
                <c:pt idx="562">
                  <c:v>-156.39536262182469</c:v>
                </c:pt>
                <c:pt idx="563">
                  <c:v>-157.14330328184872</c:v>
                </c:pt>
                <c:pt idx="564">
                  <c:v>-157.89037594891954</c:v>
                </c:pt>
                <c:pt idx="565">
                  <c:v>-158.6553526168031</c:v>
                </c:pt>
                <c:pt idx="566">
                  <c:v>-159.41935832605776</c:v>
                </c:pt>
                <c:pt idx="567">
                  <c:v>-160.20111239433868</c:v>
                </c:pt>
                <c:pt idx="568">
                  <c:v>-160.98178255916736</c:v>
                </c:pt>
                <c:pt idx="569">
                  <c:v>-161.77691499442847</c:v>
                </c:pt>
                <c:pt idx="570">
                  <c:v>-162.5708494370671</c:v>
                </c:pt>
                <c:pt idx="571">
                  <c:v>-163.38529245416777</c:v>
                </c:pt>
                <c:pt idx="572">
                  <c:v>-164.19839315143707</c:v>
                </c:pt>
                <c:pt idx="573">
                  <c:v>-165.02558866689992</c:v>
                </c:pt>
                <c:pt idx="574">
                  <c:v>-165.85130591356486</c:v>
                </c:pt>
                <c:pt idx="575">
                  <c:v>-166.69708903714593</c:v>
                </c:pt>
                <c:pt idx="576">
                  <c:v>-167.54122291873043</c:v>
                </c:pt>
                <c:pt idx="577">
                  <c:v>-171.09555890882794</c:v>
                </c:pt>
                <c:pt idx="578">
                  <c:v>-174.61581141281792</c:v>
                </c:pt>
                <c:pt idx="579">
                  <c:v>-182.19251056097417</c:v>
                </c:pt>
                <c:pt idx="580">
                  <c:v>-190.25249175244934</c:v>
                </c:pt>
                <c:pt idx="581">
                  <c:v>-198.72276290389985</c:v>
                </c:pt>
                <c:pt idx="582">
                  <c:v>-207.51264589973911</c:v>
                </c:pt>
                <c:pt idx="583">
                  <c:v>-216.48680198182598</c:v>
                </c:pt>
                <c:pt idx="584">
                  <c:v>-225.49879476457676</c:v>
                </c:pt>
                <c:pt idx="585">
                  <c:v>-234.38076754193426</c:v>
                </c:pt>
                <c:pt idx="586">
                  <c:v>-242.97938621847612</c:v>
                </c:pt>
                <c:pt idx="587">
                  <c:v>-251.16751669429314</c:v>
                </c:pt>
                <c:pt idx="588">
                  <c:v>-258.83821532431239</c:v>
                </c:pt>
                <c:pt idx="589">
                  <c:v>-265.93295450881402</c:v>
                </c:pt>
                <c:pt idx="590">
                  <c:v>-272.41473889919632</c:v>
                </c:pt>
                <c:pt idx="591">
                  <c:v>-278.27429189782242</c:v>
                </c:pt>
                <c:pt idx="592">
                  <c:v>-283.51816692896745</c:v>
                </c:pt>
                <c:pt idx="593">
                  <c:v>-288.16607402874865</c:v>
                </c:pt>
                <c:pt idx="594">
                  <c:v>-292.2411211166592</c:v>
                </c:pt>
                <c:pt idx="595">
                  <c:v>-295.77143668260618</c:v>
                </c:pt>
                <c:pt idx="596">
                  <c:v>-298.78441922284958</c:v>
                </c:pt>
                <c:pt idx="597">
                  <c:v>-301.30844651819211</c:v>
                </c:pt>
                <c:pt idx="598">
                  <c:v>-303.36972516289785</c:v>
                </c:pt>
                <c:pt idx="599">
                  <c:v>-304.99458054167872</c:v>
                </c:pt>
                <c:pt idx="600">
                  <c:v>-306.20765050755477</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34279</c:v>
                </c:pt>
                <c:pt idx="1">
                  <c:v>34279</c:v>
                </c:pt>
              </c:numCache>
            </c:numRef>
          </c:xVal>
          <c:yVal>
            <c:numRef>
              <c:f>'Ch2 Stability Calculations'!$R$617:$R$618</c:f>
              <c:numCache>
                <c:formatCode>0.00</c:formatCode>
                <c:ptCount val="2"/>
                <c:pt idx="0">
                  <c:v>-112.99590946265889</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34279</c:v>
                </c:pt>
                <c:pt idx="1">
                  <c:v>1000000</c:v>
                </c:pt>
              </c:numCache>
            </c:numRef>
          </c:xVal>
          <c:yVal>
            <c:numRef>
              <c:f>'Ch2 Stability Calculations'!$R$619:$R$620</c:f>
              <c:numCache>
                <c:formatCode>0.00</c:formatCode>
                <c:ptCount val="2"/>
                <c:pt idx="1">
                  <c:v>-112.99590946265889</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Calculations'!$AW$9:$AW$109</c:f>
              <c:numCache>
                <c:formatCode>0.0</c:formatCode>
                <c:ptCount val="101"/>
                <c:pt idx="0">
                  <c:v>0.27486416672096264</c:v>
                </c:pt>
                <c:pt idx="1">
                  <c:v>0.55805174227517274</c:v>
                </c:pt>
                <c:pt idx="2">
                  <c:v>0.84157263433238938</c:v>
                </c:pt>
                <c:pt idx="3">
                  <c:v>1.1254276862757024</c:v>
                </c:pt>
                <c:pt idx="4">
                  <c:v>1.4096177447951843</c:v>
                </c:pt>
                <c:pt idx="5">
                  <c:v>1.6941436599067503</c:v>
                </c:pt>
                <c:pt idx="6">
                  <c:v>3.23065429077531</c:v>
                </c:pt>
                <c:pt idx="7">
                  <c:v>5.1711459305603595</c:v>
                </c:pt>
                <c:pt idx="8">
                  <c:v>7.0934714068474047</c:v>
                </c:pt>
                <c:pt idx="9">
                  <c:v>8.9976375225703347</c:v>
                </c:pt>
                <c:pt idx="10">
                  <c:v>10.883650949507594</c:v>
                </c:pt>
                <c:pt idx="11">
                  <c:v>12.751518227956737</c:v>
                </c:pt>
                <c:pt idx="12">
                  <c:v>14.601245766406512</c:v>
                </c:pt>
                <c:pt idx="13">
                  <c:v>16.432839841206704</c:v>
                </c:pt>
                <c:pt idx="14">
                  <c:v>18.246306596235325</c:v>
                </c:pt>
                <c:pt idx="15">
                  <c:v>20.041652042563623</c:v>
                </c:pt>
                <c:pt idx="16">
                  <c:v>21.81888205811839</c:v>
                </c:pt>
                <c:pt idx="17">
                  <c:v>23.578002387341936</c:v>
                </c:pt>
                <c:pt idx="18">
                  <c:v>25.319018640849567</c:v>
                </c:pt>
                <c:pt idx="19">
                  <c:v>27.041936295084351</c:v>
                </c:pt>
                <c:pt idx="20">
                  <c:v>28.448676353427061</c:v>
                </c:pt>
                <c:pt idx="21">
                  <c:v>28.752140239111185</c:v>
                </c:pt>
                <c:pt idx="22">
                  <c:v>29.055986657912914</c:v>
                </c:pt>
                <c:pt idx="23">
                  <c:v>29.360216631986017</c:v>
                </c:pt>
                <c:pt idx="24">
                  <c:v>29.664831187586401</c:v>
                </c:pt>
                <c:pt idx="25">
                  <c:v>29.969831355095423</c:v>
                </c:pt>
                <c:pt idx="26">
                  <c:v>30.275218169043544</c:v>
                </c:pt>
                <c:pt idx="27">
                  <c:v>30.58099266813392</c:v>
                </c:pt>
                <c:pt idx="28">
                  <c:v>30.887155895266247</c:v>
                </c:pt>
                <c:pt idx="29">
                  <c:v>31.193708897560754</c:v>
                </c:pt>
                <c:pt idx="30">
                  <c:v>31.500652726382238</c:v>
                </c:pt>
                <c:pt idx="31">
                  <c:v>31.807988437364337</c:v>
                </c:pt>
                <c:pt idx="32">
                  <c:v>32.115717090433897</c:v>
                </c:pt>
                <c:pt idx="33">
                  <c:v>32.423839749835516</c:v>
                </c:pt>
                <c:pt idx="34">
                  <c:v>32.732357484156196</c:v>
                </c:pt>
                <c:pt idx="35">
                  <c:v>33.041271366350131</c:v>
                </c:pt>
                <c:pt idx="36">
                  <c:v>33.350582473763716</c:v>
                </c:pt>
                <c:pt idx="37">
                  <c:v>33.6602918881606</c:v>
                </c:pt>
                <c:pt idx="38">
                  <c:v>33.97040069574701</c:v>
                </c:pt>
                <c:pt idx="39">
                  <c:v>34.280909987197106</c:v>
                </c:pt>
                <c:pt idx="40">
                  <c:v>34.591820857678528</c:v>
                </c:pt>
                <c:pt idx="41">
                  <c:v>34.903134406878181</c:v>
                </c:pt>
                <c:pt idx="42">
                  <c:v>35.214851739028013</c:v>
                </c:pt>
                <c:pt idx="43">
                  <c:v>35.526973962931081</c:v>
                </c:pt>
                <c:pt idx="44">
                  <c:v>35.839502191987705</c:v>
                </c:pt>
                <c:pt idx="45">
                  <c:v>36.152437544221833</c:v>
                </c:pt>
                <c:pt idx="46">
                  <c:v>36.465781142307499</c:v>
                </c:pt>
                <c:pt idx="47">
                  <c:v>36.779534113595481</c:v>
                </c:pt>
                <c:pt idx="48">
                  <c:v>37.093697590140103</c:v>
                </c:pt>
                <c:pt idx="49">
                  <c:v>37.408272708726265</c:v>
                </c:pt>
                <c:pt idx="50">
                  <c:v>37.723260610896475</c:v>
                </c:pt>
                <c:pt idx="51">
                  <c:v>38.038662442978264</c:v>
                </c:pt>
                <c:pt idx="52">
                  <c:v>38.354479356111554</c:v>
                </c:pt>
                <c:pt idx="53">
                  <c:v>38.670712506276367</c:v>
                </c:pt>
                <c:pt idx="54">
                  <c:v>38.987363054320625</c:v>
                </c:pt>
                <c:pt idx="55">
                  <c:v>39.304432165988032</c:v>
                </c:pt>
                <c:pt idx="56">
                  <c:v>39.621921011946327</c:v>
                </c:pt>
                <c:pt idx="57">
                  <c:v>39.93983076781555</c:v>
                </c:pt>
                <c:pt idx="58">
                  <c:v>40.258162614196536</c:v>
                </c:pt>
                <c:pt idx="59">
                  <c:v>40.576917736699599</c:v>
                </c:pt>
                <c:pt idx="60">
                  <c:v>40.896097325973329</c:v>
                </c:pt>
                <c:pt idx="61">
                  <c:v>41.215702577733673</c:v>
                </c:pt>
                <c:pt idx="62">
                  <c:v>41.535734692793099</c:v>
                </c:pt>
                <c:pt idx="63">
                  <c:v>41.856194877089962</c:v>
                </c:pt>
                <c:pt idx="64">
                  <c:v>42.177084341718128</c:v>
                </c:pt>
                <c:pt idx="65">
                  <c:v>42.498404302956601</c:v>
                </c:pt>
                <c:pt idx="66">
                  <c:v>42.820155982299632</c:v>
                </c:pt>
                <c:pt idx="67">
                  <c:v>43.142340606486677</c:v>
                </c:pt>
                <c:pt idx="68">
                  <c:v>43.464959407532746</c:v>
                </c:pt>
                <c:pt idx="69">
                  <c:v>43.788013622758974</c:v>
                </c:pt>
                <c:pt idx="70">
                  <c:v>44.11150449482318</c:v>
                </c:pt>
                <c:pt idx="71">
                  <c:v>44.435433271750831</c:v>
                </c:pt>
                <c:pt idx="72">
                  <c:v>44.759801206966152</c:v>
                </c:pt>
                <c:pt idx="73">
                  <c:v>45.084609559323248</c:v>
                </c:pt>
                <c:pt idx="74">
                  <c:v>45.409859593137725</c:v>
                </c:pt>
                <c:pt idx="75">
                  <c:v>45.73555257821824</c:v>
                </c:pt>
                <c:pt idx="76">
                  <c:v>46.061689789898452</c:v>
                </c:pt>
                <c:pt idx="77">
                  <c:v>46.388272509069004</c:v>
                </c:pt>
                <c:pt idx="78">
                  <c:v>46.715302022209841</c:v>
                </c:pt>
                <c:pt idx="79">
                  <c:v>47.04277962142271</c:v>
                </c:pt>
                <c:pt idx="80">
                  <c:v>47.370706604463763</c:v>
                </c:pt>
                <c:pt idx="81">
                  <c:v>47.699084274776503</c:v>
                </c:pt>
                <c:pt idx="82">
                  <c:v>48.027913941524865</c:v>
                </c:pt>
                <c:pt idx="83">
                  <c:v>48.357196919626517</c:v>
                </c:pt>
                <c:pt idx="84">
                  <c:v>48.686934529786399</c:v>
                </c:pt>
                <c:pt idx="85">
                  <c:v>49.017128098530449</c:v>
                </c:pt>
                <c:pt idx="86">
                  <c:v>49.34777895823958</c:v>
                </c:pt>
                <c:pt idx="87">
                  <c:v>49.678888447183795</c:v>
                </c:pt>
                <c:pt idx="88">
                  <c:v>50.010457909556663</c:v>
                </c:pt>
                <c:pt idx="89">
                  <c:v>50.342488695509843</c:v>
                </c:pt>
                <c:pt idx="90">
                  <c:v>50.674982161187984</c:v>
                </c:pt>
                <c:pt idx="91">
                  <c:v>51.00793966876379</c:v>
                </c:pt>
                <c:pt idx="92">
                  <c:v>51.341362586473274</c:v>
                </c:pt>
                <c:pt idx="93">
                  <c:v>51.675252288651301</c:v>
                </c:pt>
                <c:pt idx="94">
                  <c:v>52.009610155767319</c:v>
                </c:pt>
                <c:pt idx="95">
                  <c:v>52.344437574461367</c:v>
                </c:pt>
                <c:pt idx="96">
                  <c:v>52.679735937580297</c:v>
                </c:pt>
                <c:pt idx="97">
                  <c:v>53.01550664421417</c:v>
                </c:pt>
                <c:pt idx="98">
                  <c:v>53.351751099733058</c:v>
                </c:pt>
                <c:pt idx="99">
                  <c:v>53.68847071582384</c:v>
                </c:pt>
                <c:pt idx="100">
                  <c:v>54.025666910527491</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Calculations'!$AX$9:$AX$109</c:f>
              <c:numCache>
                <c:formatCode>0.0</c:formatCode>
                <c:ptCount val="101"/>
                <c:pt idx="0">
                  <c:v>0.27799617109560121</c:v>
                </c:pt>
                <c:pt idx="1">
                  <c:v>0.39250531820599965</c:v>
                </c:pt>
                <c:pt idx="2">
                  <c:v>0.50758434929198526</c:v>
                </c:pt>
                <c:pt idx="3">
                  <c:v>0.62323320776677527</c:v>
                </c:pt>
                <c:pt idx="4">
                  <c:v>0.73945184479225468</c:v>
                </c:pt>
                <c:pt idx="5">
                  <c:v>0.85624021927459271</c:v>
                </c:pt>
                <c:pt idx="6">
                  <c:v>0.97359829786012475</c:v>
                </c:pt>
                <c:pt idx="7">
                  <c:v>1.0915260549314985</c:v>
                </c:pt>
                <c:pt idx="8">
                  <c:v>1.2100234726040831</c:v>
                </c:pt>
                <c:pt idx="9">
                  <c:v>1.3290905407226439</c:v>
                </c:pt>
                <c:pt idx="10">
                  <c:v>1.4487272568582787</c:v>
                </c:pt>
                <c:pt idx="11">
                  <c:v>1.5689336263056184</c:v>
                </c:pt>
                <c:pt idx="12">
                  <c:v>1.6897096620802907</c:v>
                </c:pt>
                <c:pt idx="13">
                  <c:v>1.8110553849166464</c:v>
                </c:pt>
                <c:pt idx="14">
                  <c:v>1.9329708232657463</c:v>
                </c:pt>
                <c:pt idx="15">
                  <c:v>2.0554560132936133</c:v>
                </c:pt>
                <c:pt idx="16">
                  <c:v>2.1785109988797435</c:v>
                </c:pt>
                <c:pt idx="17">
                  <c:v>2.3021358316158831</c:v>
                </c:pt>
                <c:pt idx="18">
                  <c:v>2.4263305708050624</c:v>
                </c:pt>
                <c:pt idx="19">
                  <c:v>2.5510952834608931</c:v>
                </c:pt>
                <c:pt idx="20">
                  <c:v>2.6790407094076718</c:v>
                </c:pt>
                <c:pt idx="21">
                  <c:v>2.8171593679497766</c:v>
                </c:pt>
                <c:pt idx="22">
                  <c:v>2.9558494739428642</c:v>
                </c:pt>
                <c:pt idx="23">
                  <c:v>3.0951112084281576</c:v>
                </c:pt>
                <c:pt idx="24">
                  <c:v>3.2349447601623407</c:v>
                </c:pt>
                <c:pt idx="25">
                  <c:v>3.3753503256203028</c:v>
                </c:pt>
                <c:pt idx="26">
                  <c:v>3.51632810899814</c:v>
                </c:pt>
                <c:pt idx="27">
                  <c:v>3.65787832221642</c:v>
                </c:pt>
                <c:pt idx="28">
                  <c:v>3.800001184923707</c:v>
                </c:pt>
                <c:pt idx="29">
                  <c:v>3.9426969245003467</c:v>
                </c:pt>
                <c:pt idx="30">
                  <c:v>4.0859657760625137</c:v>
                </c:pt>
                <c:pt idx="31">
                  <c:v>4.2298079824665198</c:v>
                </c:pt>
                <c:pt idx="32">
                  <c:v>4.374223794313381</c:v>
                </c:pt>
                <c:pt idx="33">
                  <c:v>4.5192134699536552</c:v>
                </c:pt>
                <c:pt idx="34">
                  <c:v>4.6647772754925318</c:v>
                </c:pt>
                <c:pt idx="35">
                  <c:v>4.810915484795184</c:v>
                </c:pt>
                <c:pt idx="36">
                  <c:v>4.9576283794923874</c:v>
                </c:pt>
                <c:pt idx="37">
                  <c:v>5.1049162489864033</c:v>
                </c:pt>
                <c:pt idx="38">
                  <c:v>5.2527793904571185</c:v>
                </c:pt>
                <c:pt idx="39">
                  <c:v>5.401218108868453</c:v>
                </c:pt>
                <c:pt idx="40">
                  <c:v>5.5502327169750281</c:v>
                </c:pt>
                <c:pt idx="41">
                  <c:v>5.6998235353290916</c:v>
                </c:pt>
                <c:pt idx="42">
                  <c:v>5.8499908922877299</c:v>
                </c:pt>
                <c:pt idx="43">
                  <c:v>6.000735124020312</c:v>
                </c:pt>
                <c:pt idx="44">
                  <c:v>6.1520565745162292</c:v>
                </c:pt>
                <c:pt idx="45">
                  <c:v>6.3039555955928712</c:v>
                </c:pt>
                <c:pt idx="46">
                  <c:v>6.4564325469038994</c:v>
                </c:pt>
                <c:pt idx="47">
                  <c:v>6.6094877959477483</c:v>
                </c:pt>
                <c:pt idx="48">
                  <c:v>6.7631217180764285</c:v>
                </c:pt>
                <c:pt idx="49">
                  <c:v>6.9173346965045743</c:v>
                </c:pt>
                <c:pt idx="50">
                  <c:v>7.0721271223187676</c:v>
                </c:pt>
                <c:pt idx="51">
                  <c:v>7.2274993944871273</c:v>
                </c:pt>
                <c:pt idx="52">
                  <c:v>7.3834519198691595</c:v>
                </c:pt>
                <c:pt idx="53">
                  <c:v>7.5399851132258959</c:v>
                </c:pt>
                <c:pt idx="54">
                  <c:v>7.6970993972302804</c:v>
                </c:pt>
                <c:pt idx="55">
                  <c:v>7.8547952024778294</c:v>
                </c:pt>
                <c:pt idx="56">
                  <c:v>8.0130729674975782</c:v>
                </c:pt>
                <c:pt idx="57">
                  <c:v>8.1719331387632757</c:v>
                </c:pt>
                <c:pt idx="58">
                  <c:v>8.3313761707048712</c:v>
                </c:pt>
                <c:pt idx="59">
                  <c:v>8.4914025257202539</c:v>
                </c:pt>
                <c:pt idx="60">
                  <c:v>8.6520126741872758</c:v>
                </c:pt>
                <c:pt idx="61">
                  <c:v>8.8132070944760521</c:v>
                </c:pt>
                <c:pt idx="62">
                  <c:v>8.9749862729615337</c:v>
                </c:pt>
                <c:pt idx="63">
                  <c:v>9.1373507040363258</c:v>
                </c:pt>
                <c:pt idx="64">
                  <c:v>9.3003008901238449</c:v>
                </c:pt>
                <c:pt idx="65">
                  <c:v>9.4638373416916757</c:v>
                </c:pt>
                <c:pt idx="66">
                  <c:v>9.6279605772652701</c:v>
                </c:pt>
                <c:pt idx="67">
                  <c:v>9.7926711234418864</c:v>
                </c:pt>
                <c:pt idx="68">
                  <c:v>9.9579695149048</c:v>
                </c:pt>
                <c:pt idx="69">
                  <c:v>10.123856294437843</c:v>
                </c:pt>
                <c:pt idx="70">
                  <c:v>10.290332012940166</c:v>
                </c:pt>
                <c:pt idx="71">
                  <c:v>10.457397229441304</c:v>
                </c:pt>
                <c:pt idx="72">
                  <c:v>10.625052511116547</c:v>
                </c:pt>
                <c:pt idx="73">
                  <c:v>10.793298433302539</c:v>
                </c:pt>
                <c:pt idx="74">
                  <c:v>10.962135579513221</c:v>
                </c:pt>
                <c:pt idx="75">
                  <c:v>11.131564541456012</c:v>
                </c:pt>
                <c:pt idx="76">
                  <c:v>11.301585919048298</c:v>
                </c:pt>
                <c:pt idx="77">
                  <c:v>11.472200320434203</c:v>
                </c:pt>
                <c:pt idx="78">
                  <c:v>11.64340836200163</c:v>
                </c:pt>
                <c:pt idx="79">
                  <c:v>11.815210668399638</c:v>
                </c:pt>
                <c:pt idx="80">
                  <c:v>11.987607872556044</c:v>
                </c:pt>
                <c:pt idx="81">
                  <c:v>12.160600615695349</c:v>
                </c:pt>
                <c:pt idx="82">
                  <c:v>12.334189547356971</c:v>
                </c:pt>
                <c:pt idx="83">
                  <c:v>12.508375325413745</c:v>
                </c:pt>
                <c:pt idx="84">
                  <c:v>12.683158616090701</c:v>
                </c:pt>
                <c:pt idx="85">
                  <c:v>12.858540093984185</c:v>
                </c:pt>
                <c:pt idx="86">
                  <c:v>13.034520442081234</c:v>
                </c:pt>
                <c:pt idx="87">
                  <c:v>13.211100351779258</c:v>
                </c:pt>
                <c:pt idx="88">
                  <c:v>13.388280522906047</c:v>
                </c:pt>
                <c:pt idx="89">
                  <c:v>13.566061663739999</c:v>
                </c:pt>
                <c:pt idx="90">
                  <c:v>13.744444491030761</c:v>
                </c:pt>
                <c:pt idx="91">
                  <c:v>13.923429730020089</c:v>
                </c:pt>
                <c:pt idx="92">
                  <c:v>14.103018114463005</c:v>
                </c:pt>
                <c:pt idx="93">
                  <c:v>14.283210386649333</c:v>
                </c:pt>
                <c:pt idx="94">
                  <c:v>14.464007297425452</c:v>
                </c:pt>
                <c:pt idx="95">
                  <c:v>14.645409606216415</c:v>
                </c:pt>
                <c:pt idx="96">
                  <c:v>14.827418081048362</c:v>
                </c:pt>
                <c:pt idx="97">
                  <c:v>15.010033498571218</c:v>
                </c:pt>
                <c:pt idx="98">
                  <c:v>15.193256644081721</c:v>
                </c:pt>
                <c:pt idx="99">
                  <c:v>15.377088311546764</c:v>
                </c:pt>
                <c:pt idx="100">
                  <c:v>15.561529303627054</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Calculations'!$AC$9:$AC$109</c:f>
              <c:numCache>
                <c:formatCode>0.000</c:formatCode>
                <c:ptCount val="101"/>
                <c:pt idx="0">
                  <c:v>5.06328235973011E-4</c:v>
                </c:pt>
                <c:pt idx="1">
                  <c:v>5.1105056716044608E-4</c:v>
                </c:pt>
                <c:pt idx="2">
                  <c:v>5.2369318128877424E-4</c:v>
                </c:pt>
                <c:pt idx="3">
                  <c:v>5.4426944344522434E-4</c:v>
                </c:pt>
                <c:pt idx="4">
                  <c:v>5.727927186276238E-4</c:v>
                </c:pt>
                <c:pt idx="5">
                  <c:v>6.0927637174440865E-4</c:v>
                </c:pt>
                <c:pt idx="6">
                  <c:v>6.5373376761461617E-4</c:v>
                </c:pt>
                <c:pt idx="7">
                  <c:v>7.0617827096789028E-4</c:v>
                </c:pt>
                <c:pt idx="8">
                  <c:v>7.6662324644448149E-4</c:v>
                </c:pt>
                <c:pt idx="9">
                  <c:v>8.3508205859524694E-4</c:v>
                </c:pt>
                <c:pt idx="10">
                  <c:v>9.1156807188165284E-4</c:v>
                </c:pt>
                <c:pt idx="11">
                  <c:v>9.9609465067577161E-4</c:v>
                </c:pt>
                <c:pt idx="12">
                  <c:v>1.0886751592602893E-3</c:v>
                </c:pt>
                <c:pt idx="13">
                  <c:v>1.1893229618284982E-3</c:v>
                </c:pt>
                <c:pt idx="14">
                  <c:v>1.2980514224843051E-3</c:v>
                </c:pt>
                <c:pt idx="15">
                  <c:v>1.4148739052422285E-3</c:v>
                </c:pt>
                <c:pt idx="16">
                  <c:v>1.539803774027399E-3</c:v>
                </c:pt>
                <c:pt idx="17">
                  <c:v>1.6728543926755606E-3</c:v>
                </c:pt>
                <c:pt idx="18">
                  <c:v>1.8140391249330725E-3</c:v>
                </c:pt>
                <c:pt idx="19">
                  <c:v>1.963371334456912E-3</c:v>
                </c:pt>
                <c:pt idx="20">
                  <c:v>2.1208643848146668E-3</c:v>
                </c:pt>
                <c:pt idx="21">
                  <c:v>2.2865316394845504E-3</c:v>
                </c:pt>
                <c:pt idx="22">
                  <c:v>2.4603864618553848E-3</c:v>
                </c:pt>
                <c:pt idx="23">
                  <c:v>2.6424422152266148E-3</c:v>
                </c:pt>
                <c:pt idx="24">
                  <c:v>2.832712262808311E-3</c:v>
                </c:pt>
                <c:pt idx="25">
                  <c:v>3.0312099677211541E-3</c:v>
                </c:pt>
                <c:pt idx="26">
                  <c:v>3.2379486929964532E-3</c:v>
                </c:pt>
                <c:pt idx="27">
                  <c:v>3.4529418015761364E-3</c:v>
                </c:pt>
                <c:pt idx="28">
                  <c:v>3.676202656312755E-3</c:v>
                </c:pt>
                <c:pt idx="29">
                  <c:v>3.9077446199694893E-3</c:v>
                </c:pt>
                <c:pt idx="30">
                  <c:v>4.1475810552201358E-3</c:v>
                </c:pt>
                <c:pt idx="31">
                  <c:v>4.3957253246491223E-3</c:v>
                </c:pt>
                <c:pt idx="32">
                  <c:v>4.6521907907515012E-3</c:v>
                </c:pt>
                <c:pt idx="33">
                  <c:v>4.9169908159329501E-3</c:v>
                </c:pt>
                <c:pt idx="34">
                  <c:v>5.1901387625097823E-3</c:v>
                </c:pt>
                <c:pt idx="35">
                  <c:v>5.4716479927089312E-3</c:v>
                </c:pt>
                <c:pt idx="36">
                  <c:v>5.7615318686679634E-3</c:v>
                </c:pt>
                <c:pt idx="37">
                  <c:v>6.0598037524350733E-3</c:v>
                </c:pt>
                <c:pt idx="38">
                  <c:v>6.3664770059690965E-3</c:v>
                </c:pt>
                <c:pt idx="39">
                  <c:v>6.6815649911394865E-3</c:v>
                </c:pt>
                <c:pt idx="40">
                  <c:v>7.0050810697263417E-3</c:v>
                </c:pt>
                <c:pt idx="41">
                  <c:v>7.337038603420388E-3</c:v>
                </c:pt>
                <c:pt idx="42">
                  <c:v>7.6774509538229873E-3</c:v>
                </c:pt>
                <c:pt idx="43">
                  <c:v>8.0263314824461363E-3</c:v>
                </c:pt>
                <c:pt idx="44">
                  <c:v>8.3836935507124715E-3</c:v>
                </c:pt>
                <c:pt idx="45">
                  <c:v>8.7495505199552612E-3</c:v>
                </c:pt>
                <c:pt idx="46">
                  <c:v>9.1239157514184134E-3</c:v>
                </c:pt>
                <c:pt idx="47">
                  <c:v>9.5068026062564946E-3</c:v>
                </c:pt>
                <c:pt idx="48">
                  <c:v>9.8982244455346688E-3</c:v>
                </c:pt>
                <c:pt idx="49">
                  <c:v>1.0298194630228772E-2</c:v>
                </c:pt>
                <c:pt idx="50">
                  <c:v>1.0706726521225281E-2</c:v>
                </c:pt>
                <c:pt idx="51">
                  <c:v>1.1123833479321301E-2</c:v>
                </c:pt>
                <c:pt idx="52">
                  <c:v>1.1549528865224592E-2</c:v>
                </c:pt>
                <c:pt idx="53">
                  <c:v>1.1983826039553546E-2</c:v>
                </c:pt>
                <c:pt idx="54">
                  <c:v>1.2426738362837223E-2</c:v>
                </c:pt>
                <c:pt idx="55">
                  <c:v>1.2878279195515298E-2</c:v>
                </c:pt>
                <c:pt idx="56">
                  <c:v>1.3338461897938109E-2</c:v>
                </c:pt>
                <c:pt idx="57">
                  <c:v>1.3807299830366651E-2</c:v>
                </c:pt>
                <c:pt idx="58">
                  <c:v>1.4284806352972529E-2</c:v>
                </c:pt>
                <c:pt idx="59">
                  <c:v>1.4770994825838052E-2</c:v>
                </c:pt>
                <c:pt idx="60">
                  <c:v>1.5265878608956129E-2</c:v>
                </c:pt>
                <c:pt idx="61">
                  <c:v>1.5769471062230353E-2</c:v>
                </c:pt>
                <c:pt idx="62">
                  <c:v>1.6281785545474964E-2</c:v>
                </c:pt>
                <c:pt idx="63">
                  <c:v>1.6802835418414815E-2</c:v>
                </c:pt>
                <c:pt idx="64">
                  <c:v>1.7332634040685479E-2</c:v>
                </c:pt>
                <c:pt idx="65">
                  <c:v>1.7871194771833118E-2</c:v>
                </c:pt>
                <c:pt idx="66">
                  <c:v>1.8418530971314594E-2</c:v>
                </c:pt>
                <c:pt idx="67">
                  <c:v>1.8974655998497413E-2</c:v>
                </c:pt>
                <c:pt idx="68">
                  <c:v>1.9539583212659715E-2</c:v>
                </c:pt>
                <c:pt idx="69">
                  <c:v>2.0113325972990335E-2</c:v>
                </c:pt>
                <c:pt idx="70">
                  <c:v>2.0695897638588725E-2</c:v>
                </c:pt>
                <c:pt idx="71">
                  <c:v>2.1287311568465042E-2</c:v>
                </c:pt>
                <c:pt idx="72">
                  <c:v>2.1887581121540069E-2</c:v>
                </c:pt>
                <c:pt idx="73">
                  <c:v>2.2496719656645243E-2</c:v>
                </c:pt>
                <c:pt idx="74">
                  <c:v>2.3114740532522694E-2</c:v>
                </c:pt>
                <c:pt idx="75">
                  <c:v>2.3741657107825196E-2</c:v>
                </c:pt>
                <c:pt idx="76">
                  <c:v>2.4377482741116181E-2</c:v>
                </c:pt>
                <c:pt idx="77">
                  <c:v>2.5022230790869762E-2</c:v>
                </c:pt>
                <c:pt idx="78">
                  <c:v>2.5675914615470689E-2</c:v>
                </c:pt>
                <c:pt idx="79">
                  <c:v>2.6338547573214424E-2</c:v>
                </c:pt>
                <c:pt idx="80">
                  <c:v>2.7010143022307066E-2</c:v>
                </c:pt>
                <c:pt idx="81">
                  <c:v>2.7690714320865339E-2</c:v>
                </c:pt>
                <c:pt idx="82">
                  <c:v>2.8380274826916716E-2</c:v>
                </c:pt>
                <c:pt idx="83">
                  <c:v>2.907883789839931E-2</c:v>
                </c:pt>
                <c:pt idx="84">
                  <c:v>2.9786416893161853E-2</c:v>
                </c:pt>
                <c:pt idx="85">
                  <c:v>3.0503025168963839E-2</c:v>
                </c:pt>
                <c:pt idx="86">
                  <c:v>3.1228676083475345E-2</c:v>
                </c:pt>
                <c:pt idx="87">
                  <c:v>3.1963382994277173E-2</c:v>
                </c:pt>
                <c:pt idx="88">
                  <c:v>3.2707159258860807E-2</c:v>
                </c:pt>
                <c:pt idx="89">
                  <c:v>3.3460018234628353E-2</c:v>
                </c:pt>
                <c:pt idx="90">
                  <c:v>3.4221973278892634E-2</c:v>
                </c:pt>
                <c:pt idx="91">
                  <c:v>3.4993037748877118E-2</c:v>
                </c:pt>
                <c:pt idx="92">
                  <c:v>3.5773225001715994E-2</c:v>
                </c:pt>
                <c:pt idx="93">
                  <c:v>3.6562548394454088E-2</c:v>
                </c:pt>
                <c:pt idx="94">
                  <c:v>3.7361021284046926E-2</c:v>
                </c:pt>
                <c:pt idx="95">
                  <c:v>3.8168657027360685E-2</c:v>
                </c:pt>
                <c:pt idx="96">
                  <c:v>3.8985468981172264E-2</c:v>
                </c:pt>
                <c:pt idx="97">
                  <c:v>3.981147050216919E-2</c:v>
                </c:pt>
                <c:pt idx="98">
                  <c:v>4.0646674946949748E-2</c:v>
                </c:pt>
                <c:pt idx="99">
                  <c:v>4.1491095672022825E-2</c:v>
                </c:pt>
                <c:pt idx="100">
                  <c:v>4.2344746033808021E-2</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Calculations'!$AD$9:$AD$109</c:f>
              <c:numCache>
                <c:formatCode>0.000</c:formatCode>
                <c:ptCount val="101"/>
                <c:pt idx="0">
                  <c:v>0</c:v>
                </c:pt>
                <c:pt idx="1">
                  <c:v>1.9550142857142861E-3</c:v>
                </c:pt>
                <c:pt idx="2">
                  <c:v>3.9100285714285723E-3</c:v>
                </c:pt>
                <c:pt idx="3">
                  <c:v>5.8650428571428567E-3</c:v>
                </c:pt>
                <c:pt idx="4">
                  <c:v>7.8200571428571446E-3</c:v>
                </c:pt>
                <c:pt idx="5">
                  <c:v>9.7750714285714281E-3</c:v>
                </c:pt>
                <c:pt idx="6">
                  <c:v>1.1730085714285713E-2</c:v>
                </c:pt>
                <c:pt idx="7">
                  <c:v>1.3685099999999999E-2</c:v>
                </c:pt>
                <c:pt idx="8">
                  <c:v>1.5640114285714289E-2</c:v>
                </c:pt>
                <c:pt idx="9">
                  <c:v>1.7595128571428573E-2</c:v>
                </c:pt>
                <c:pt idx="10">
                  <c:v>1.9550142857142856E-2</c:v>
                </c:pt>
                <c:pt idx="11">
                  <c:v>2.1505157142857147E-2</c:v>
                </c:pt>
                <c:pt idx="12">
                  <c:v>2.3460171428571427E-2</c:v>
                </c:pt>
                <c:pt idx="13">
                  <c:v>2.5415185714285717E-2</c:v>
                </c:pt>
                <c:pt idx="14">
                  <c:v>2.7370199999999997E-2</c:v>
                </c:pt>
                <c:pt idx="15">
                  <c:v>2.9325214285714284E-2</c:v>
                </c:pt>
                <c:pt idx="16">
                  <c:v>3.1280228571428578E-2</c:v>
                </c:pt>
                <c:pt idx="17">
                  <c:v>3.3235242857142855E-2</c:v>
                </c:pt>
                <c:pt idx="18">
                  <c:v>3.5190257142857145E-2</c:v>
                </c:pt>
                <c:pt idx="19">
                  <c:v>3.7145271428571422E-2</c:v>
                </c:pt>
                <c:pt idx="20">
                  <c:v>3.9100285714285712E-2</c:v>
                </c:pt>
                <c:pt idx="21">
                  <c:v>4.105530000000001E-2</c:v>
                </c:pt>
                <c:pt idx="22">
                  <c:v>4.3010314285714293E-2</c:v>
                </c:pt>
                <c:pt idx="23">
                  <c:v>4.4965328571428563E-2</c:v>
                </c:pt>
                <c:pt idx="24">
                  <c:v>4.6920342857142854E-2</c:v>
                </c:pt>
                <c:pt idx="25">
                  <c:v>4.8875357142857144E-2</c:v>
                </c:pt>
                <c:pt idx="26">
                  <c:v>5.0830371428571434E-2</c:v>
                </c:pt>
                <c:pt idx="27">
                  <c:v>5.2785385714285718E-2</c:v>
                </c:pt>
                <c:pt idx="28">
                  <c:v>5.4740399999999995E-2</c:v>
                </c:pt>
                <c:pt idx="29">
                  <c:v>5.6695414285714278E-2</c:v>
                </c:pt>
                <c:pt idx="30">
                  <c:v>5.8650428571428569E-2</c:v>
                </c:pt>
                <c:pt idx="31">
                  <c:v>6.0605442857142866E-2</c:v>
                </c:pt>
                <c:pt idx="32">
                  <c:v>6.2560457142857157E-2</c:v>
                </c:pt>
                <c:pt idx="33">
                  <c:v>6.4515471428571419E-2</c:v>
                </c:pt>
                <c:pt idx="34">
                  <c:v>6.647048571428571E-2</c:v>
                </c:pt>
                <c:pt idx="35">
                  <c:v>6.84255E-2</c:v>
                </c:pt>
                <c:pt idx="36">
                  <c:v>7.0380514285714291E-2</c:v>
                </c:pt>
                <c:pt idx="37">
                  <c:v>7.2335528571428581E-2</c:v>
                </c:pt>
                <c:pt idx="38">
                  <c:v>7.4290542857142844E-2</c:v>
                </c:pt>
                <c:pt idx="39">
                  <c:v>7.6245557142857148E-2</c:v>
                </c:pt>
                <c:pt idx="40">
                  <c:v>7.8200571428571425E-2</c:v>
                </c:pt>
                <c:pt idx="41">
                  <c:v>8.0155585714285701E-2</c:v>
                </c:pt>
                <c:pt idx="42">
                  <c:v>8.211060000000002E-2</c:v>
                </c:pt>
                <c:pt idx="43">
                  <c:v>8.4065614285714269E-2</c:v>
                </c:pt>
                <c:pt idx="44">
                  <c:v>8.6020628571428587E-2</c:v>
                </c:pt>
                <c:pt idx="45">
                  <c:v>8.7975642857142863E-2</c:v>
                </c:pt>
                <c:pt idx="46">
                  <c:v>8.9930657142857126E-2</c:v>
                </c:pt>
                <c:pt idx="47">
                  <c:v>9.1885671428571444E-2</c:v>
                </c:pt>
                <c:pt idx="48">
                  <c:v>9.3840685714285707E-2</c:v>
                </c:pt>
                <c:pt idx="49">
                  <c:v>9.5795700000000011E-2</c:v>
                </c:pt>
                <c:pt idx="50">
                  <c:v>9.7750714285714288E-2</c:v>
                </c:pt>
                <c:pt idx="51">
                  <c:v>9.9705728571428565E-2</c:v>
                </c:pt>
                <c:pt idx="52">
                  <c:v>0.10166074285714287</c:v>
                </c:pt>
                <c:pt idx="53">
                  <c:v>0.10361575714285713</c:v>
                </c:pt>
                <c:pt idx="54">
                  <c:v>0.10557077142857144</c:v>
                </c:pt>
                <c:pt idx="55">
                  <c:v>0.10752578571428571</c:v>
                </c:pt>
                <c:pt idx="56">
                  <c:v>0.10948079999999999</c:v>
                </c:pt>
                <c:pt idx="57">
                  <c:v>0.11143581428571429</c:v>
                </c:pt>
                <c:pt idx="58">
                  <c:v>0.11339082857142856</c:v>
                </c:pt>
                <c:pt idx="59">
                  <c:v>0.11534584285714287</c:v>
                </c:pt>
                <c:pt idx="60">
                  <c:v>0.11730085714285714</c:v>
                </c:pt>
                <c:pt idx="61">
                  <c:v>0.11925587142857141</c:v>
                </c:pt>
                <c:pt idx="62">
                  <c:v>0.12121088571428573</c:v>
                </c:pt>
                <c:pt idx="63">
                  <c:v>0.12316589999999998</c:v>
                </c:pt>
                <c:pt idx="64">
                  <c:v>0.12512091428571431</c:v>
                </c:pt>
                <c:pt idx="65">
                  <c:v>0.12707592857142858</c:v>
                </c:pt>
                <c:pt idx="66">
                  <c:v>0.12903094285714284</c:v>
                </c:pt>
                <c:pt idx="67">
                  <c:v>0.13098595714285716</c:v>
                </c:pt>
                <c:pt idx="68">
                  <c:v>0.13294097142857142</c:v>
                </c:pt>
                <c:pt idx="69">
                  <c:v>0.13489598571428574</c:v>
                </c:pt>
                <c:pt idx="70">
                  <c:v>0.136851</c:v>
                </c:pt>
                <c:pt idx="71">
                  <c:v>0.13880601428571426</c:v>
                </c:pt>
                <c:pt idx="72">
                  <c:v>0.14076102857142858</c:v>
                </c:pt>
                <c:pt idx="73">
                  <c:v>0.14271604285714284</c:v>
                </c:pt>
                <c:pt idx="74">
                  <c:v>0.14467105714285716</c:v>
                </c:pt>
                <c:pt idx="75">
                  <c:v>0.14662607142857143</c:v>
                </c:pt>
                <c:pt idx="76">
                  <c:v>0.14858108571428569</c:v>
                </c:pt>
                <c:pt idx="77">
                  <c:v>0.15053610000000001</c:v>
                </c:pt>
                <c:pt idx="78">
                  <c:v>0.1524911142857143</c:v>
                </c:pt>
                <c:pt idx="79">
                  <c:v>0.15444612857142859</c:v>
                </c:pt>
                <c:pt idx="80">
                  <c:v>0.15640114285714285</c:v>
                </c:pt>
                <c:pt idx="81">
                  <c:v>0.15835615714285711</c:v>
                </c:pt>
                <c:pt idx="82">
                  <c:v>0.1603111714285714</c:v>
                </c:pt>
                <c:pt idx="83">
                  <c:v>0.16226618571428575</c:v>
                </c:pt>
                <c:pt idx="84">
                  <c:v>0.16422120000000004</c:v>
                </c:pt>
                <c:pt idx="85">
                  <c:v>0.16617621428571427</c:v>
                </c:pt>
                <c:pt idx="86">
                  <c:v>0.16813122857142854</c:v>
                </c:pt>
                <c:pt idx="87">
                  <c:v>0.17008624285714283</c:v>
                </c:pt>
                <c:pt idx="88">
                  <c:v>0.17204125714285717</c:v>
                </c:pt>
                <c:pt idx="89">
                  <c:v>0.17399627142857146</c:v>
                </c:pt>
                <c:pt idx="90">
                  <c:v>0.17595128571428573</c:v>
                </c:pt>
                <c:pt idx="91">
                  <c:v>0.17790629999999996</c:v>
                </c:pt>
                <c:pt idx="92">
                  <c:v>0.17986131428571425</c:v>
                </c:pt>
                <c:pt idx="93">
                  <c:v>0.1818163285714286</c:v>
                </c:pt>
                <c:pt idx="94">
                  <c:v>0.18377134285714289</c:v>
                </c:pt>
                <c:pt idx="95">
                  <c:v>0.18572635714285715</c:v>
                </c:pt>
                <c:pt idx="96">
                  <c:v>0.18768137142857141</c:v>
                </c:pt>
                <c:pt idx="97">
                  <c:v>0.18963638571428568</c:v>
                </c:pt>
                <c:pt idx="98">
                  <c:v>0.19159140000000002</c:v>
                </c:pt>
                <c:pt idx="99">
                  <c:v>0.19354641428571431</c:v>
                </c:pt>
                <c:pt idx="100">
                  <c:v>0.19550142857142858</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Calculations'!$AE$9:$AE$109</c:f>
              <c:numCache>
                <c:formatCode>0.000</c:formatCode>
                <c:ptCount val="101"/>
                <c:pt idx="0">
                  <c:v>0</c:v>
                </c:pt>
                <c:pt idx="1">
                  <c:v>0</c:v>
                </c:pt>
                <c:pt idx="2">
                  <c:v>0</c:v>
                </c:pt>
                <c:pt idx="3">
                  <c:v>0</c:v>
                </c:pt>
                <c:pt idx="4">
                  <c:v>0</c:v>
                </c:pt>
                <c:pt idx="5">
                  <c:v>0</c:v>
                </c:pt>
                <c:pt idx="6">
                  <c:v>2.9797870017071494E-2</c:v>
                </c:pt>
                <c:pt idx="7">
                  <c:v>6.9204632869315552E-2</c:v>
                </c:pt>
                <c:pt idx="8">
                  <c:v>0.10817002649531757</c:v>
                </c:pt>
                <c:pt idx="9">
                  <c:v>0.14669404824198462</c:v>
                </c:pt>
                <c:pt idx="10">
                  <c:v>0.18477669545623646</c:v>
                </c:pt>
                <c:pt idx="11">
                  <c:v>0.2224179654850052</c:v>
                </c:pt>
                <c:pt idx="12">
                  <c:v>0.25961785567523493</c:v>
                </c:pt>
                <c:pt idx="13">
                  <c:v>0.29637636337388318</c:v>
                </c:pt>
                <c:pt idx="14">
                  <c:v>0.33269348592791831</c:v>
                </c:pt>
                <c:pt idx="15">
                  <c:v>0.36856922068432241</c:v>
                </c:pt>
                <c:pt idx="16">
                  <c:v>0.4040035649900891</c:v>
                </c:pt>
                <c:pt idx="17">
                  <c:v>0.43899651619222446</c:v>
                </c:pt>
                <c:pt idx="18">
                  <c:v>0.47354807163774765</c:v>
                </c:pt>
                <c:pt idx="19">
                  <c:v>0.50765822867368915</c:v>
                </c:pt>
                <c:pt idx="20">
                  <c:v>0.53416704000000004</c:v>
                </c:pt>
                <c:pt idx="21">
                  <c:v>0.53416704000000004</c:v>
                </c:pt>
                <c:pt idx="22">
                  <c:v>0.53416704000000004</c:v>
                </c:pt>
                <c:pt idx="23">
                  <c:v>0.53416704000000004</c:v>
                </c:pt>
                <c:pt idx="24">
                  <c:v>0.53416704000000004</c:v>
                </c:pt>
                <c:pt idx="25">
                  <c:v>0.53416704000000004</c:v>
                </c:pt>
                <c:pt idx="26">
                  <c:v>0.53416704000000004</c:v>
                </c:pt>
                <c:pt idx="27">
                  <c:v>0.53416704000000004</c:v>
                </c:pt>
                <c:pt idx="28">
                  <c:v>0.53416704000000004</c:v>
                </c:pt>
                <c:pt idx="29">
                  <c:v>0.53416704000000004</c:v>
                </c:pt>
                <c:pt idx="30">
                  <c:v>0.53416704000000004</c:v>
                </c:pt>
                <c:pt idx="31">
                  <c:v>0.53416704000000004</c:v>
                </c:pt>
                <c:pt idx="32">
                  <c:v>0.53416704000000004</c:v>
                </c:pt>
                <c:pt idx="33">
                  <c:v>0.53416704000000004</c:v>
                </c:pt>
                <c:pt idx="34">
                  <c:v>0.53416704000000004</c:v>
                </c:pt>
                <c:pt idx="35">
                  <c:v>0.53416704000000004</c:v>
                </c:pt>
                <c:pt idx="36">
                  <c:v>0.53416704000000004</c:v>
                </c:pt>
                <c:pt idx="37">
                  <c:v>0.53416704000000004</c:v>
                </c:pt>
                <c:pt idx="38">
                  <c:v>0.53416704000000004</c:v>
                </c:pt>
                <c:pt idx="39">
                  <c:v>0.53416704000000004</c:v>
                </c:pt>
                <c:pt idx="40">
                  <c:v>0.53416704000000004</c:v>
                </c:pt>
                <c:pt idx="41">
                  <c:v>0.53416704000000004</c:v>
                </c:pt>
                <c:pt idx="42">
                  <c:v>0.53416704000000004</c:v>
                </c:pt>
                <c:pt idx="43">
                  <c:v>0.53416704000000004</c:v>
                </c:pt>
                <c:pt idx="44">
                  <c:v>0.53416704000000004</c:v>
                </c:pt>
                <c:pt idx="45">
                  <c:v>0.53416704000000004</c:v>
                </c:pt>
                <c:pt idx="46">
                  <c:v>0.53416704000000004</c:v>
                </c:pt>
                <c:pt idx="47">
                  <c:v>0.53416704000000004</c:v>
                </c:pt>
                <c:pt idx="48">
                  <c:v>0.53416704000000004</c:v>
                </c:pt>
                <c:pt idx="49">
                  <c:v>0.53416704000000004</c:v>
                </c:pt>
                <c:pt idx="50">
                  <c:v>0.53416704000000004</c:v>
                </c:pt>
                <c:pt idx="51">
                  <c:v>0.53416704000000004</c:v>
                </c:pt>
                <c:pt idx="52">
                  <c:v>0.53416704000000004</c:v>
                </c:pt>
                <c:pt idx="53">
                  <c:v>0.53416704000000004</c:v>
                </c:pt>
                <c:pt idx="54">
                  <c:v>0.53416704000000004</c:v>
                </c:pt>
                <c:pt idx="55">
                  <c:v>0.53416704000000004</c:v>
                </c:pt>
                <c:pt idx="56">
                  <c:v>0.53416704000000004</c:v>
                </c:pt>
                <c:pt idx="57">
                  <c:v>0.53416704000000004</c:v>
                </c:pt>
                <c:pt idx="58">
                  <c:v>0.53416704000000004</c:v>
                </c:pt>
                <c:pt idx="59">
                  <c:v>0.53416704000000004</c:v>
                </c:pt>
                <c:pt idx="60">
                  <c:v>0.53416704000000004</c:v>
                </c:pt>
                <c:pt idx="61">
                  <c:v>0.53416704000000004</c:v>
                </c:pt>
                <c:pt idx="62">
                  <c:v>0.53416704000000004</c:v>
                </c:pt>
                <c:pt idx="63">
                  <c:v>0.53416704000000004</c:v>
                </c:pt>
                <c:pt idx="64">
                  <c:v>0.53416704000000004</c:v>
                </c:pt>
                <c:pt idx="65">
                  <c:v>0.53416704000000004</c:v>
                </c:pt>
                <c:pt idx="66">
                  <c:v>0.53416704000000004</c:v>
                </c:pt>
                <c:pt idx="67">
                  <c:v>0.53416704000000004</c:v>
                </c:pt>
                <c:pt idx="68">
                  <c:v>0.53416704000000004</c:v>
                </c:pt>
                <c:pt idx="69">
                  <c:v>0.53416704000000004</c:v>
                </c:pt>
                <c:pt idx="70">
                  <c:v>0.53416704000000004</c:v>
                </c:pt>
                <c:pt idx="71">
                  <c:v>0.53416704000000004</c:v>
                </c:pt>
                <c:pt idx="72">
                  <c:v>0.53416704000000004</c:v>
                </c:pt>
                <c:pt idx="73">
                  <c:v>0.53416704000000004</c:v>
                </c:pt>
                <c:pt idx="74">
                  <c:v>0.53416704000000004</c:v>
                </c:pt>
                <c:pt idx="75">
                  <c:v>0.53416704000000004</c:v>
                </c:pt>
                <c:pt idx="76">
                  <c:v>0.53416704000000004</c:v>
                </c:pt>
                <c:pt idx="77">
                  <c:v>0.53416704000000004</c:v>
                </c:pt>
                <c:pt idx="78">
                  <c:v>0.53416704000000004</c:v>
                </c:pt>
                <c:pt idx="79">
                  <c:v>0.53416704000000004</c:v>
                </c:pt>
                <c:pt idx="80">
                  <c:v>0.53416704000000004</c:v>
                </c:pt>
                <c:pt idx="81">
                  <c:v>0.53416704000000004</c:v>
                </c:pt>
                <c:pt idx="82">
                  <c:v>0.53416704000000004</c:v>
                </c:pt>
                <c:pt idx="83">
                  <c:v>0.53416704000000004</c:v>
                </c:pt>
                <c:pt idx="84">
                  <c:v>0.53416704000000004</c:v>
                </c:pt>
                <c:pt idx="85">
                  <c:v>0.53416704000000004</c:v>
                </c:pt>
                <c:pt idx="86">
                  <c:v>0.53416704000000004</c:v>
                </c:pt>
                <c:pt idx="87">
                  <c:v>0.53416704000000004</c:v>
                </c:pt>
                <c:pt idx="88">
                  <c:v>0.53416704000000004</c:v>
                </c:pt>
                <c:pt idx="89">
                  <c:v>0.53416704000000004</c:v>
                </c:pt>
                <c:pt idx="90">
                  <c:v>0.53416704000000004</c:v>
                </c:pt>
                <c:pt idx="91">
                  <c:v>0.53416704000000004</c:v>
                </c:pt>
                <c:pt idx="92">
                  <c:v>0.53416704000000004</c:v>
                </c:pt>
                <c:pt idx="93">
                  <c:v>0.53416704000000004</c:v>
                </c:pt>
                <c:pt idx="94">
                  <c:v>0.53416704000000004</c:v>
                </c:pt>
                <c:pt idx="95">
                  <c:v>0.53416704000000004</c:v>
                </c:pt>
                <c:pt idx="96">
                  <c:v>0.53416704000000004</c:v>
                </c:pt>
                <c:pt idx="97">
                  <c:v>0.53416704000000004</c:v>
                </c:pt>
                <c:pt idx="98">
                  <c:v>0.53416704000000004</c:v>
                </c:pt>
                <c:pt idx="99">
                  <c:v>0.53416704000000004</c:v>
                </c:pt>
                <c:pt idx="100">
                  <c:v>0.53416704000000004</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Calculations'!$AM$9:$AM$109</c:f>
              <c:numCache>
                <c:formatCode>0.000</c:formatCode>
                <c:ptCount val="101"/>
                <c:pt idx="0">
                  <c:v>0</c:v>
                </c:pt>
                <c:pt idx="1">
                  <c:v>7.7088E-3</c:v>
                </c:pt>
                <c:pt idx="2">
                  <c:v>1.54176E-2</c:v>
                </c:pt>
                <c:pt idx="3">
                  <c:v>2.3126399999999998E-2</c:v>
                </c:pt>
                <c:pt idx="4">
                  <c:v>3.08352E-2</c:v>
                </c:pt>
                <c:pt idx="5">
                  <c:v>3.8544000000000009E-2</c:v>
                </c:pt>
                <c:pt idx="6">
                  <c:v>4.6252799999999997E-2</c:v>
                </c:pt>
                <c:pt idx="7">
                  <c:v>5.3961599999999998E-2</c:v>
                </c:pt>
                <c:pt idx="8">
                  <c:v>6.16704E-2</c:v>
                </c:pt>
                <c:pt idx="9">
                  <c:v>6.9379200000000016E-2</c:v>
                </c:pt>
                <c:pt idx="10">
                  <c:v>7.7088000000000018E-2</c:v>
                </c:pt>
                <c:pt idx="11">
                  <c:v>8.4796800000000019E-2</c:v>
                </c:pt>
                <c:pt idx="12">
                  <c:v>9.2505599999999993E-2</c:v>
                </c:pt>
                <c:pt idx="13">
                  <c:v>0.10021440000000001</c:v>
                </c:pt>
                <c:pt idx="14">
                  <c:v>0.1079232</c:v>
                </c:pt>
                <c:pt idx="15">
                  <c:v>0.11563200000000001</c:v>
                </c:pt>
                <c:pt idx="16">
                  <c:v>0.1233408</c:v>
                </c:pt>
                <c:pt idx="17">
                  <c:v>0.13104959999999999</c:v>
                </c:pt>
                <c:pt idx="18">
                  <c:v>0.13875840000000003</c:v>
                </c:pt>
                <c:pt idx="19">
                  <c:v>0.14646719999999999</c:v>
                </c:pt>
                <c:pt idx="20">
                  <c:v>0.15417600000000004</c:v>
                </c:pt>
                <c:pt idx="21">
                  <c:v>0.16188480000000002</c:v>
                </c:pt>
                <c:pt idx="22">
                  <c:v>0.16959360000000004</c:v>
                </c:pt>
                <c:pt idx="23">
                  <c:v>0.1773024</c:v>
                </c:pt>
                <c:pt idx="24">
                  <c:v>0.18501119999999999</c:v>
                </c:pt>
                <c:pt idx="25">
                  <c:v>0.19272</c:v>
                </c:pt>
                <c:pt idx="26">
                  <c:v>0.20042880000000002</c:v>
                </c:pt>
                <c:pt idx="27">
                  <c:v>0.20813760000000001</c:v>
                </c:pt>
                <c:pt idx="28">
                  <c:v>0.21584639999999999</c:v>
                </c:pt>
                <c:pt idx="29">
                  <c:v>0.22355520000000001</c:v>
                </c:pt>
                <c:pt idx="30">
                  <c:v>0.23126400000000003</c:v>
                </c:pt>
                <c:pt idx="31">
                  <c:v>0.23897280000000007</c:v>
                </c:pt>
                <c:pt idx="32">
                  <c:v>0.2466816</c:v>
                </c:pt>
                <c:pt idx="33">
                  <c:v>0.25439039999999996</c:v>
                </c:pt>
                <c:pt idx="34">
                  <c:v>0.26209919999999998</c:v>
                </c:pt>
                <c:pt idx="35">
                  <c:v>0.26980800000000005</c:v>
                </c:pt>
                <c:pt idx="36">
                  <c:v>0.27751680000000006</c:v>
                </c:pt>
                <c:pt idx="37">
                  <c:v>0.28522560000000002</c:v>
                </c:pt>
                <c:pt idx="38">
                  <c:v>0.29293439999999998</c:v>
                </c:pt>
                <c:pt idx="39">
                  <c:v>0.3006432</c:v>
                </c:pt>
                <c:pt idx="40">
                  <c:v>0.30835200000000007</c:v>
                </c:pt>
                <c:pt idx="41">
                  <c:v>0.31606079999999998</c:v>
                </c:pt>
                <c:pt idx="42">
                  <c:v>0.32376960000000005</c:v>
                </c:pt>
                <c:pt idx="43">
                  <c:v>0.33147840000000006</c:v>
                </c:pt>
                <c:pt idx="44">
                  <c:v>0.33918720000000008</c:v>
                </c:pt>
                <c:pt idx="45">
                  <c:v>0.34689599999999998</c:v>
                </c:pt>
                <c:pt idx="46">
                  <c:v>0.3546048</c:v>
                </c:pt>
                <c:pt idx="47">
                  <c:v>0.36231360000000007</c:v>
                </c:pt>
                <c:pt idx="48">
                  <c:v>0.37002239999999997</c:v>
                </c:pt>
                <c:pt idx="49">
                  <c:v>0.37773120000000004</c:v>
                </c:pt>
                <c:pt idx="50">
                  <c:v>0.38544</c:v>
                </c:pt>
                <c:pt idx="51">
                  <c:v>0.39314880000000008</c:v>
                </c:pt>
                <c:pt idx="52">
                  <c:v>0.40085760000000004</c:v>
                </c:pt>
                <c:pt idx="53">
                  <c:v>0.4085664</c:v>
                </c:pt>
                <c:pt idx="54">
                  <c:v>0.41627520000000001</c:v>
                </c:pt>
                <c:pt idx="55">
                  <c:v>0.42398400000000003</c:v>
                </c:pt>
                <c:pt idx="56">
                  <c:v>0.43169279999999999</c:v>
                </c:pt>
                <c:pt idx="57">
                  <c:v>0.43940159999999995</c:v>
                </c:pt>
                <c:pt idx="58">
                  <c:v>0.44711040000000002</c:v>
                </c:pt>
                <c:pt idx="59">
                  <c:v>0.45481920000000009</c:v>
                </c:pt>
                <c:pt idx="60">
                  <c:v>0.46252800000000005</c:v>
                </c:pt>
                <c:pt idx="61">
                  <c:v>0.47023680000000001</c:v>
                </c:pt>
                <c:pt idx="62">
                  <c:v>0.47794560000000014</c:v>
                </c:pt>
                <c:pt idx="63">
                  <c:v>0.48565440000000004</c:v>
                </c:pt>
                <c:pt idx="64">
                  <c:v>0.4933632</c:v>
                </c:pt>
                <c:pt idx="65">
                  <c:v>0.50107199999999996</c:v>
                </c:pt>
                <c:pt idx="66">
                  <c:v>0.50878079999999992</c:v>
                </c:pt>
                <c:pt idx="67">
                  <c:v>0.51648959999999999</c:v>
                </c:pt>
                <c:pt idx="68">
                  <c:v>0.52419839999999995</c:v>
                </c:pt>
                <c:pt idx="69">
                  <c:v>0.53190720000000002</c:v>
                </c:pt>
                <c:pt idx="70">
                  <c:v>0.5396160000000001</c:v>
                </c:pt>
                <c:pt idx="71">
                  <c:v>0.54732479999999994</c:v>
                </c:pt>
                <c:pt idx="72">
                  <c:v>0.55503360000000013</c:v>
                </c:pt>
                <c:pt idx="73">
                  <c:v>0.56274240000000009</c:v>
                </c:pt>
                <c:pt idx="74">
                  <c:v>0.57045120000000005</c:v>
                </c:pt>
                <c:pt idx="75">
                  <c:v>0.57816000000000001</c:v>
                </c:pt>
                <c:pt idx="76">
                  <c:v>0.58586879999999997</c:v>
                </c:pt>
                <c:pt idx="77">
                  <c:v>0.59357760000000015</c:v>
                </c:pt>
                <c:pt idx="78">
                  <c:v>0.6012864</c:v>
                </c:pt>
                <c:pt idx="79">
                  <c:v>0.60899519999999996</c:v>
                </c:pt>
                <c:pt idx="80">
                  <c:v>0.61670400000000014</c:v>
                </c:pt>
                <c:pt idx="81">
                  <c:v>0.6244128000000001</c:v>
                </c:pt>
                <c:pt idx="82">
                  <c:v>0.63212159999999995</c:v>
                </c:pt>
                <c:pt idx="83">
                  <c:v>0.63983040000000013</c:v>
                </c:pt>
                <c:pt idx="84">
                  <c:v>0.64753920000000009</c:v>
                </c:pt>
                <c:pt idx="85">
                  <c:v>0.65524800000000005</c:v>
                </c:pt>
                <c:pt idx="86">
                  <c:v>0.66295680000000012</c:v>
                </c:pt>
                <c:pt idx="87">
                  <c:v>0.67066559999999997</c:v>
                </c:pt>
                <c:pt idx="88">
                  <c:v>0.67837440000000016</c:v>
                </c:pt>
                <c:pt idx="89">
                  <c:v>0.68608320000000012</c:v>
                </c:pt>
                <c:pt idx="90">
                  <c:v>0.69379199999999996</c:v>
                </c:pt>
                <c:pt idx="91">
                  <c:v>0.70150080000000004</c:v>
                </c:pt>
                <c:pt idx="92">
                  <c:v>0.7092096</c:v>
                </c:pt>
                <c:pt idx="93">
                  <c:v>0.71691840000000018</c:v>
                </c:pt>
                <c:pt idx="94">
                  <c:v>0.72462720000000014</c:v>
                </c:pt>
                <c:pt idx="95">
                  <c:v>0.73233599999999999</c:v>
                </c:pt>
                <c:pt idx="96">
                  <c:v>0.74004479999999995</c:v>
                </c:pt>
                <c:pt idx="97">
                  <c:v>0.74775360000000013</c:v>
                </c:pt>
                <c:pt idx="98">
                  <c:v>0.75546240000000009</c:v>
                </c:pt>
                <c:pt idx="99">
                  <c:v>0.76317120000000005</c:v>
                </c:pt>
                <c:pt idx="100">
                  <c:v>0.77088000000000001</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Calculations'!$AV$9:$AV$109</c:f>
              <c:numCache>
                <c:formatCode>0.0%</c:formatCode>
                <c:ptCount val="101"/>
                <c:pt idx="0">
                  <c:v>0</c:v>
                </c:pt>
                <c:pt idx="1">
                  <c:v>0.1306165801726806</c:v>
                </c:pt>
                <c:pt idx="2">
                  <c:v>0.22935191624103252</c:v>
                </c:pt>
                <c:pt idx="3">
                  <c:v>0.30657103172240074</c:v>
                </c:pt>
                <c:pt idx="4">
                  <c:v>0.36858524439849305</c:v>
                </c:pt>
                <c:pt idx="5">
                  <c:v>0.41945738948102007</c:v>
                </c:pt>
                <c:pt idx="6">
                  <c:v>0.45558638936697082</c:v>
                </c:pt>
                <c:pt idx="7">
                  <c:v>0.48345964380706069</c:v>
                </c:pt>
                <c:pt idx="8">
                  <c:v>0.50675729885534049</c:v>
                </c:pt>
                <c:pt idx="9">
                  <c:v>0.52653543782263634</c:v>
                </c:pt>
                <c:pt idx="10">
                  <c:v>0.5435483712627015</c:v>
                </c:pt>
                <c:pt idx="11">
                  <c:v>0.55834923827426064</c:v>
                </c:pt>
                <c:pt idx="12">
                  <c:v>0.57135287866138251</c:v>
                </c:pt>
                <c:pt idx="13">
                  <c:v>0.58287651289697995</c:v>
                </c:pt>
                <c:pt idx="14">
                  <c:v>0.59316686093106286</c:v>
                </c:pt>
                <c:pt idx="15">
                  <c:v>0.60241869646624235</c:v>
                </c:pt>
                <c:pt idx="16">
                  <c:v>0.61078783451915775</c:v>
                </c:pt>
                <c:pt idx="17">
                  <c:v>0.61840040797608287</c:v>
                </c:pt>
                <c:pt idx="18">
                  <c:v>0.62535961400043949</c:v>
                </c:pt>
                <c:pt idx="19">
                  <c:v>0.63175070038916381</c:v>
                </c:pt>
                <c:pt idx="20">
                  <c:v>0.63851228954328709</c:v>
                </c:pt>
                <c:pt idx="21">
                  <c:v>0.64787038937075725</c:v>
                </c:pt>
                <c:pt idx="22">
                  <c:v>0.65659495809038348</c:v>
                </c:pt>
                <c:pt idx="23">
                  <c:v>0.66474504537862367</c:v>
                </c:pt>
                <c:pt idx="24">
                  <c:v>0.67237258527111876</c:v>
                </c:pt>
                <c:pt idx="25">
                  <c:v>0.6795234364495083</c:v>
                </c:pt>
                <c:pt idx="26">
                  <c:v>0.68623824520889154</c:v>
                </c:pt>
                <c:pt idx="27">
                  <c:v>0.69255316539374601</c:v>
                </c:pt>
                <c:pt idx="28">
                  <c:v>0.69850046221649165</c:v>
                </c:pt>
                <c:pt idx="29">
                  <c:v>0.704109021236479</c:v>
                </c:pt>
                <c:pt idx="30">
                  <c:v>0.70940477943483071</c:v>
                </c:pt>
                <c:pt idx="31">
                  <c:v>0.71441109195037056</c:v>
                </c:pt>
                <c:pt idx="32">
                  <c:v>0.71914904540788249</c:v>
                </c:pt>
                <c:pt idx="33">
                  <c:v>0.72363772669768767</c:v>
                </c:pt>
                <c:pt idx="34">
                  <c:v>0.72789445442499623</c:v>
                </c:pt>
                <c:pt idx="35">
                  <c:v>0.73193497894099646</c:v>
                </c:pt>
                <c:pt idx="36">
                  <c:v>0.73577365582128718</c:v>
                </c:pt>
                <c:pt idx="37">
                  <c:v>0.73942359681474401</c:v>
                </c:pt>
                <c:pt idx="38">
                  <c:v>0.74289680160403193</c:v>
                </c:pt>
                <c:pt idx="39">
                  <c:v>0.74620427316442772</c:v>
                </c:pt>
                <c:pt idx="40">
                  <c:v>0.74935611905450406</c:v>
                </c:pt>
                <c:pt idx="41">
                  <c:v>0.75236164060034572</c:v>
                </c:pt>
                <c:pt idx="42">
                  <c:v>0.75522941162846802</c:v>
                </c:pt>
                <c:pt idx="43">
                  <c:v>0.75796734814893507</c:v>
                </c:pt>
                <c:pt idx="44">
                  <c:v>0.76058277017943265</c:v>
                </c:pt>
                <c:pt idx="45">
                  <c:v>0.76308245672529207</c:v>
                </c:pt>
                <c:pt idx="46">
                  <c:v>0.76547269478336066</c:v>
                </c:pt>
                <c:pt idx="47">
                  <c:v>0.76775932311407558</c:v>
                </c:pt>
                <c:pt idx="48">
                  <c:v>0.76994777142198723</c:v>
                </c:pt>
                <c:pt idx="49">
                  <c:v>0.77204309549697792</c:v>
                </c:pt>
                <c:pt idx="50">
                  <c:v>0.77405000879379149</c:v>
                </c:pt>
                <c:pt idx="51">
                  <c:v>0.77597291086402009</c:v>
                </c:pt>
                <c:pt idx="52">
                  <c:v>0.77781591300055819</c:v>
                </c:pt>
                <c:pt idx="53">
                  <c:v>0.77958286140822997</c:v>
                </c:pt>
                <c:pt idx="54">
                  <c:v>0.78127735817458854</c:v>
                </c:pt>
                <c:pt idx="55">
                  <c:v>0.78290278028074101</c:v>
                </c:pt>
                <c:pt idx="56">
                  <c:v>0.78446229686262348</c:v>
                </c:pt>
                <c:pt idx="57">
                  <c:v>0.78595888490772248</c:v>
                </c:pt>
                <c:pt idx="58">
                  <c:v>0.78739534355021645</c:v>
                </c:pt>
                <c:pt idx="59">
                  <c:v>0.78877430710839103</c:v>
                </c:pt>
                <c:pt idx="60">
                  <c:v>0.79009825699155556</c:v>
                </c:pt>
                <c:pt idx="61">
                  <c:v>0.79136953258918508</c:v>
                </c:pt>
                <c:pt idx="62">
                  <c:v>0.79259034124235184</c:v>
                </c:pt>
                <c:pt idx="63">
                  <c:v>0.79376276738641571</c:v>
                </c:pt>
                <c:pt idx="64">
                  <c:v>0.79488878094422832</c:v>
                </c:pt>
                <c:pt idx="65">
                  <c:v>0.79597024504055225</c:v>
                </c:pt>
                <c:pt idx="66">
                  <c:v>0.79700892310088067</c:v>
                </c:pt>
                <c:pt idx="67">
                  <c:v>0.79800648539120844</c:v>
                </c:pt>
                <c:pt idx="68">
                  <c:v>0.79896451504944366</c:v>
                </c:pt>
                <c:pt idx="69">
                  <c:v>0.79988451365396229</c:v>
                </c:pt>
                <c:pt idx="70">
                  <c:v>0.80076790637021922</c:v>
                </c:pt>
                <c:pt idx="71">
                  <c:v>0.80161604671223652</c:v>
                </c:pt>
                <c:pt idx="72">
                  <c:v>0.80243022095217331</c:v>
                </c:pt>
                <c:pt idx="73">
                  <c:v>0.80321165220794155</c:v>
                </c:pt>
                <c:pt idx="74">
                  <c:v>0.80396150423595736</c:v>
                </c:pt>
                <c:pt idx="75">
                  <c:v>0.80468088495353762</c:v>
                </c:pt>
                <c:pt idx="76">
                  <c:v>0.80537084971315631</c:v>
                </c:pt>
                <c:pt idx="77">
                  <c:v>0.80603240434870704</c:v>
                </c:pt>
                <c:pt idx="78">
                  <c:v>0.80666650801207618</c:v>
                </c:pt>
                <c:pt idx="79">
                  <c:v>0.80727407581666566</c:v>
                </c:pt>
                <c:pt idx="80">
                  <c:v>0.80785598130301495</c:v>
                </c:pt>
                <c:pt idx="81">
                  <c:v>0.80841305874032743</c:v>
                </c:pt>
                <c:pt idx="82">
                  <c:v>0.80894610527649458</c:v>
                </c:pt>
                <c:pt idx="83">
                  <c:v>0.80945588294812132</c:v>
                </c:pt>
                <c:pt idx="84">
                  <c:v>0.80994312056106255</c:v>
                </c:pt>
                <c:pt idx="85">
                  <c:v>0.81040851545109782</c:v>
                </c:pt>
                <c:pt idx="86">
                  <c:v>0.81085273513355072</c:v>
                </c:pt>
                <c:pt idx="87">
                  <c:v>0.8112764188499374</c:v>
                </c:pt>
                <c:pt idx="88">
                  <c:v>0.81168017901905554</c:v>
                </c:pt>
                <c:pt idx="89">
                  <c:v>0.81206460259932878</c:v>
                </c:pt>
                <c:pt idx="90">
                  <c:v>0.81243025236866095</c:v>
                </c:pt>
                <c:pt idx="91">
                  <c:v>0.81277766812756946</c:v>
                </c:pt>
                <c:pt idx="92">
                  <c:v>0.81310736783089865</c:v>
                </c:pt>
                <c:pt idx="93">
                  <c:v>0.81341984865300465</c:v>
                </c:pt>
                <c:pt idx="94">
                  <c:v>0.81371558799092436</c:v>
                </c:pt>
                <c:pt idx="95">
                  <c:v>0.81399504440969317</c:v>
                </c:pt>
                <c:pt idx="96">
                  <c:v>0.81425865853365853</c:v>
                </c:pt>
                <c:pt idx="97">
                  <c:v>0.81450685388734978</c:v>
                </c:pt>
                <c:pt idx="98">
                  <c:v>0.81474003768919445</c:v>
                </c:pt>
                <c:pt idx="99">
                  <c:v>0.81495860160113387</c:v>
                </c:pt>
                <c:pt idx="100">
                  <c:v>0.81516292243695998</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Calculations'!$BC$9:$BC$109</c:f>
              <c:numCache>
                <c:formatCode>0.000</c:formatCode>
                <c:ptCount val="101"/>
                <c:pt idx="0">
                  <c:v>6.5443849219276821E-3</c:v>
                </c:pt>
                <c:pt idx="1">
                  <c:v>1.328694624464697E-2</c:v>
                </c:pt>
                <c:pt idx="2">
                  <c:v>2.0037443674580699E-2</c:v>
                </c:pt>
                <c:pt idx="3">
                  <c:v>2.6795897292278631E-2</c:v>
                </c:pt>
                <c:pt idx="4">
                  <c:v>3.35623272570282E-2</c:v>
                </c:pt>
                <c:pt idx="5">
                  <c:v>4.0336753807303581E-2</c:v>
                </c:pt>
                <c:pt idx="6">
                  <c:v>7.6920340256555003E-2</c:v>
                </c:pt>
                <c:pt idx="7">
                  <c:v>0.12312252215619904</c:v>
                </c:pt>
                <c:pt idx="8">
                  <c:v>0.16889217635350964</c:v>
                </c:pt>
                <c:pt idx="9">
                  <c:v>0.21422946482310321</c:v>
                </c:pt>
                <c:pt idx="10">
                  <c:v>0.25913454641684747</c:v>
                </c:pt>
                <c:pt idx="11">
                  <c:v>0.30360757685611278</c:v>
                </c:pt>
                <c:pt idx="12">
                  <c:v>0.34764870872396458</c:v>
                </c:pt>
                <c:pt idx="13">
                  <c:v>0.39125809145730245</c:v>
                </c:pt>
                <c:pt idx="14">
                  <c:v>0.4344358713389363</c:v>
                </c:pt>
                <c:pt idx="15">
                  <c:v>0.47718219148961011</c:v>
                </c:pt>
                <c:pt idx="16">
                  <c:v>0.51949719185996168</c:v>
                </c:pt>
                <c:pt idx="17">
                  <c:v>0.56138100922242706</c:v>
                </c:pt>
                <c:pt idx="18">
                  <c:v>0.60283377716308495</c:v>
                </c:pt>
                <c:pt idx="19">
                  <c:v>0.64385562607343694</c:v>
                </c:pt>
                <c:pt idx="20">
                  <c:v>0.67734943698635863</c:v>
                </c:pt>
                <c:pt idx="21">
                  <c:v>0.68457476759788538</c:v>
                </c:pt>
                <c:pt idx="22">
                  <c:v>0.69180920614078367</c:v>
                </c:pt>
                <c:pt idx="23">
                  <c:v>0.69905277695204804</c:v>
                </c:pt>
                <c:pt idx="24">
                  <c:v>0.70630550446634288</c:v>
                </c:pt>
                <c:pt idx="25">
                  <c:v>0.7135674132165577</c:v>
                </c:pt>
                <c:pt idx="26">
                  <c:v>0.72083852783437008</c:v>
                </c:pt>
                <c:pt idx="27">
                  <c:v>0.72811887305080758</c:v>
                </c:pt>
                <c:pt idx="28">
                  <c:v>0.73540847369681539</c:v>
                </c:pt>
                <c:pt idx="29">
                  <c:v>0.74270735470382743</c:v>
                </c:pt>
                <c:pt idx="30">
                  <c:v>0.75001554110433899</c:v>
                </c:pt>
                <c:pt idx="31">
                  <c:v>0.75733305803248419</c:v>
                </c:pt>
                <c:pt idx="32">
                  <c:v>0.76465993072461658</c:v>
                </c:pt>
                <c:pt idx="33">
                  <c:v>0.77199618451989327</c:v>
                </c:pt>
                <c:pt idx="34">
                  <c:v>0.77934184486086178</c:v>
                </c:pt>
                <c:pt idx="35">
                  <c:v>0.78669693729405066</c:v>
                </c:pt>
                <c:pt idx="36">
                  <c:v>0.7940614874705646</c:v>
                </c:pt>
                <c:pt idx="37">
                  <c:v>0.80143552114668093</c:v>
                </c:pt>
                <c:pt idx="38">
                  <c:v>0.8088190641844526</c:v>
                </c:pt>
                <c:pt idx="39">
                  <c:v>0.816212142552312</c:v>
                </c:pt>
                <c:pt idx="40">
                  <c:v>0.82361478232567931</c:v>
                </c:pt>
                <c:pt idx="41">
                  <c:v>0.83102700968757581</c:v>
                </c:pt>
                <c:pt idx="42">
                  <c:v>0.83844885092923849</c:v>
                </c:pt>
                <c:pt idx="43">
                  <c:v>0.84588033245074001</c:v>
                </c:pt>
                <c:pt idx="44">
                  <c:v>0.85332148076161207</c:v>
                </c:pt>
                <c:pt idx="45">
                  <c:v>0.86077232248147229</c:v>
                </c:pt>
                <c:pt idx="46">
                  <c:v>0.86823288434065471</c:v>
                </c:pt>
                <c:pt idx="47">
                  <c:v>0.87570319318084477</c:v>
                </c:pt>
                <c:pt idx="48">
                  <c:v>0.88318327595571677</c:v>
                </c:pt>
                <c:pt idx="49">
                  <c:v>0.89067315973157768</c:v>
                </c:pt>
                <c:pt idx="50">
                  <c:v>0.8981728716880113</c:v>
                </c:pt>
                <c:pt idx="51">
                  <c:v>0.90568243911853008</c:v>
                </c:pt>
                <c:pt idx="52">
                  <c:v>0.91320188943122749</c:v>
                </c:pt>
                <c:pt idx="53">
                  <c:v>0.92073125014943735</c:v>
                </c:pt>
                <c:pt idx="54">
                  <c:v>0.9282705489123958</c:v>
                </c:pt>
                <c:pt idx="55">
                  <c:v>0.93581981347590548</c:v>
                </c:pt>
                <c:pt idx="56">
                  <c:v>0.94337907171300772</c:v>
                </c:pt>
                <c:pt idx="57">
                  <c:v>0.95094835161465596</c:v>
                </c:pt>
                <c:pt idx="58">
                  <c:v>0.95852768129039378</c:v>
                </c:pt>
                <c:pt idx="59">
                  <c:v>0.96611708896903814</c:v>
                </c:pt>
                <c:pt idx="60">
                  <c:v>0.97371660299936491</c:v>
                </c:pt>
                <c:pt idx="61">
                  <c:v>0.9813262518508018</c:v>
                </c:pt>
                <c:pt idx="62">
                  <c:v>0.98894606411412145</c:v>
                </c:pt>
                <c:pt idx="63">
                  <c:v>0.99657606850214187</c:v>
                </c:pt>
                <c:pt idx="64">
                  <c:v>1.0042162938504315</c:v>
                </c:pt>
                <c:pt idx="65">
                  <c:v>1.0118667691180143</c:v>
                </c:pt>
                <c:pt idx="66">
                  <c:v>1.0195275233880865</c:v>
                </c:pt>
                <c:pt idx="67">
                  <c:v>1.0271985858687305</c:v>
                </c:pt>
                <c:pt idx="68">
                  <c:v>1.0348799858936368</c:v>
                </c:pt>
                <c:pt idx="69">
                  <c:v>1.0425717529228327</c:v>
                </c:pt>
                <c:pt idx="70">
                  <c:v>1.050273916543409</c:v>
                </c:pt>
                <c:pt idx="71">
                  <c:v>1.0579865064702578</c:v>
                </c:pt>
                <c:pt idx="72">
                  <c:v>1.0657095525468132</c:v>
                </c:pt>
                <c:pt idx="73">
                  <c:v>1.0734430847457916</c:v>
                </c:pt>
                <c:pt idx="74">
                  <c:v>1.0811871331699459</c:v>
                </c:pt>
                <c:pt idx="75">
                  <c:v>1.0889417280528153</c:v>
                </c:pt>
                <c:pt idx="76">
                  <c:v>1.0967068997594869</c:v>
                </c:pt>
                <c:pt idx="77">
                  <c:v>1.1044826787873572</c:v>
                </c:pt>
                <c:pt idx="78">
                  <c:v>1.112269095766901</c:v>
                </c:pt>
                <c:pt idx="79">
                  <c:v>1.1200661814624455</c:v>
                </c:pt>
                <c:pt idx="80">
                  <c:v>1.1278739667729467</c:v>
                </c:pt>
                <c:pt idx="81">
                  <c:v>1.1356924827327739</c:v>
                </c:pt>
                <c:pt idx="82">
                  <c:v>1.1435217605124968</c:v>
                </c:pt>
                <c:pt idx="83">
                  <c:v>1.151361831419679</c:v>
                </c:pt>
                <c:pt idx="84">
                  <c:v>1.1592127268996761</c:v>
                </c:pt>
                <c:pt idx="85">
                  <c:v>1.1670744785364393</c:v>
                </c:pt>
                <c:pt idx="86">
                  <c:v>1.1749471180533233</c:v>
                </c:pt>
                <c:pt idx="87">
                  <c:v>1.1828306773138999</c:v>
                </c:pt>
                <c:pt idx="88">
                  <c:v>1.1907251883227776</c:v>
                </c:pt>
                <c:pt idx="89">
                  <c:v>1.1986306832264249</c:v>
                </c:pt>
                <c:pt idx="90">
                  <c:v>1.2065471943139996</c:v>
                </c:pt>
                <c:pt idx="91">
                  <c:v>1.2144747540181855</c:v>
                </c:pt>
                <c:pt idx="92">
                  <c:v>1.2224133949160303</c:v>
                </c:pt>
                <c:pt idx="93">
                  <c:v>1.2303631497297929</c:v>
                </c:pt>
                <c:pt idx="94">
                  <c:v>1.2383240513277933</c:v>
                </c:pt>
                <c:pt idx="95">
                  <c:v>1.2462961327252706</c:v>
                </c:pt>
                <c:pt idx="96">
                  <c:v>1.2542794270852451</c:v>
                </c:pt>
                <c:pt idx="97">
                  <c:v>1.262273967719385</c:v>
                </c:pt>
                <c:pt idx="98">
                  <c:v>1.2702797880888823</c:v>
                </c:pt>
                <c:pt idx="99">
                  <c:v>1.2782969218053295</c:v>
                </c:pt>
                <c:pt idx="100">
                  <c:v>1.2863254026316069</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Calculations'!$BD$9:$BD$109</c:f>
              <c:numCache>
                <c:formatCode>0.000</c:formatCode>
                <c:ptCount val="101"/>
                <c:pt idx="0">
                  <c:v>6.94990427739003E-3</c:v>
                </c:pt>
                <c:pt idx="1">
                  <c:v>9.812632955149992E-3</c:v>
                </c:pt>
                <c:pt idx="2">
                  <c:v>1.2689608732299632E-2</c:v>
                </c:pt>
                <c:pt idx="3">
                  <c:v>1.5580830194169382E-2</c:v>
                </c:pt>
                <c:pt idx="4">
                  <c:v>1.8486296119806366E-2</c:v>
                </c:pt>
                <c:pt idx="5">
                  <c:v>2.1406005481864818E-2</c:v>
                </c:pt>
                <c:pt idx="6">
                  <c:v>2.4339957446503118E-2</c:v>
                </c:pt>
                <c:pt idx="7">
                  <c:v>2.728815137328746E-2</c:v>
                </c:pt>
                <c:pt idx="8">
                  <c:v>3.0250586815102079E-2</c:v>
                </c:pt>
                <c:pt idx="9">
                  <c:v>3.3227263518066097E-2</c:v>
                </c:pt>
                <c:pt idx="10">
                  <c:v>3.6218181421456969E-2</c:v>
                </c:pt>
                <c:pt idx="11">
                  <c:v>3.9223340657640458E-2</c:v>
                </c:pt>
                <c:pt idx="12">
                  <c:v>4.2242741552007267E-2</c:v>
                </c:pt>
                <c:pt idx="13">
                  <c:v>4.5276384622916159E-2</c:v>
                </c:pt>
                <c:pt idx="14">
                  <c:v>4.8324270581643659E-2</c:v>
                </c:pt>
                <c:pt idx="15">
                  <c:v>5.1386400332340335E-2</c:v>
                </c:pt>
                <c:pt idx="16">
                  <c:v>5.4462774971993588E-2</c:v>
                </c:pt>
                <c:pt idx="17">
                  <c:v>5.7553395790397081E-2</c:v>
                </c:pt>
                <c:pt idx="18">
                  <c:v>6.0658264270126563E-2</c:v>
                </c:pt>
                <c:pt idx="19">
                  <c:v>6.3777382086522325E-2</c:v>
                </c:pt>
                <c:pt idx="20">
                  <c:v>6.6976017735191795E-2</c:v>
                </c:pt>
                <c:pt idx="21">
                  <c:v>7.042898419874441E-2</c:v>
                </c:pt>
                <c:pt idx="22">
                  <c:v>7.3896236848571606E-2</c:v>
                </c:pt>
                <c:pt idx="23">
                  <c:v>7.7377780210703934E-2</c:v>
                </c:pt>
                <c:pt idx="24">
                  <c:v>8.0873619004058511E-2</c:v>
                </c:pt>
                <c:pt idx="25">
                  <c:v>8.4383758140507567E-2</c:v>
                </c:pt>
                <c:pt idx="26">
                  <c:v>8.7908202724953505E-2</c:v>
                </c:pt>
                <c:pt idx="27">
                  <c:v>9.1446958055410504E-2</c:v>
                </c:pt>
                <c:pt idx="28">
                  <c:v>9.5000029623092674E-2</c:v>
                </c:pt>
                <c:pt idx="29">
                  <c:v>9.856742311250867E-2</c:v>
                </c:pt>
                <c:pt idx="30">
                  <c:v>0.10214914440156285</c:v>
                </c:pt>
                <c:pt idx="31">
                  <c:v>0.10574519956166299</c:v>
                </c:pt>
                <c:pt idx="32">
                  <c:v>0.10935559485783453</c:v>
                </c:pt>
                <c:pt idx="33">
                  <c:v>0.11298033674884139</c:v>
                </c:pt>
                <c:pt idx="34">
                  <c:v>0.1166194318873133</c:v>
                </c:pt>
                <c:pt idx="35">
                  <c:v>0.1202728871198796</c:v>
                </c:pt>
                <c:pt idx="36">
                  <c:v>0.12394070948730967</c:v>
                </c:pt>
                <c:pt idx="37">
                  <c:v>0.12762290622466008</c:v>
                </c:pt>
                <c:pt idx="38">
                  <c:v>0.13131948476142796</c:v>
                </c:pt>
                <c:pt idx="39">
                  <c:v>0.13503045272171132</c:v>
                </c:pt>
                <c:pt idx="40">
                  <c:v>0.13875581792437569</c:v>
                </c:pt>
                <c:pt idx="41">
                  <c:v>0.14249558838322729</c:v>
                </c:pt>
                <c:pt idx="42">
                  <c:v>0.14624977230719324</c:v>
                </c:pt>
                <c:pt idx="43">
                  <c:v>0.1500183781005078</c:v>
                </c:pt>
                <c:pt idx="44">
                  <c:v>0.15380141436290573</c:v>
                </c:pt>
                <c:pt idx="45">
                  <c:v>0.15759888988982179</c:v>
                </c:pt>
                <c:pt idx="46">
                  <c:v>0.16141081367259749</c:v>
                </c:pt>
                <c:pt idx="47">
                  <c:v>0.16523719489869371</c:v>
                </c:pt>
                <c:pt idx="48">
                  <c:v>0.1690780429519107</c:v>
                </c:pt>
                <c:pt idx="49">
                  <c:v>0.17293336741261436</c:v>
                </c:pt>
                <c:pt idx="50">
                  <c:v>0.17680317805796919</c:v>
                </c:pt>
                <c:pt idx="51">
                  <c:v>0.18068748486217817</c:v>
                </c:pt>
                <c:pt idx="52">
                  <c:v>0.18458629799672899</c:v>
                </c:pt>
                <c:pt idx="53">
                  <c:v>0.18849962783064739</c:v>
                </c:pt>
                <c:pt idx="54">
                  <c:v>0.19242748493075701</c:v>
                </c:pt>
                <c:pt idx="55">
                  <c:v>0.19636988006194572</c:v>
                </c:pt>
                <c:pt idx="56">
                  <c:v>0.20032682418743944</c:v>
                </c:pt>
                <c:pt idx="57">
                  <c:v>0.20429832846908189</c:v>
                </c:pt>
                <c:pt idx="58">
                  <c:v>0.20828440426762176</c:v>
                </c:pt>
                <c:pt idx="59">
                  <c:v>0.21228506314300633</c:v>
                </c:pt>
                <c:pt idx="60">
                  <c:v>0.21630031685468187</c:v>
                </c:pt>
                <c:pt idx="61">
                  <c:v>0.2203301773619013</c:v>
                </c:pt>
                <c:pt idx="62">
                  <c:v>0.22437465682403834</c:v>
                </c:pt>
                <c:pt idx="63">
                  <c:v>0.22843376760090817</c:v>
                </c:pt>
                <c:pt idx="64">
                  <c:v>0.23250752225309612</c:v>
                </c:pt>
                <c:pt idx="65">
                  <c:v>0.23659593354229191</c:v>
                </c:pt>
                <c:pt idx="66">
                  <c:v>0.24069901443163177</c:v>
                </c:pt>
                <c:pt idx="67">
                  <c:v>0.24481677808604715</c:v>
                </c:pt>
                <c:pt idx="68">
                  <c:v>0.24894923787262002</c:v>
                </c:pt>
                <c:pt idx="69">
                  <c:v>0.25309640736094607</c:v>
                </c:pt>
                <c:pt idx="70">
                  <c:v>0.25725830032350416</c:v>
                </c:pt>
                <c:pt idx="71">
                  <c:v>0.26143493073603258</c:v>
                </c:pt>
                <c:pt idx="72">
                  <c:v>0.26562631277791365</c:v>
                </c:pt>
                <c:pt idx="73">
                  <c:v>0.26983246083256346</c:v>
                </c:pt>
                <c:pt idx="74">
                  <c:v>0.27405338948783053</c:v>
                </c:pt>
                <c:pt idx="75">
                  <c:v>0.27828911353640029</c:v>
                </c:pt>
                <c:pt idx="76">
                  <c:v>0.28253964797620745</c:v>
                </c:pt>
                <c:pt idx="77">
                  <c:v>0.28680500801085507</c:v>
                </c:pt>
                <c:pt idx="78">
                  <c:v>0.29108520905004076</c:v>
                </c:pt>
                <c:pt idx="79">
                  <c:v>0.29538026670999096</c:v>
                </c:pt>
                <c:pt idx="80">
                  <c:v>0.29969019681390108</c:v>
                </c:pt>
                <c:pt idx="81">
                  <c:v>0.30401501539238374</c:v>
                </c:pt>
                <c:pt idx="82">
                  <c:v>0.30835473868392427</c:v>
                </c:pt>
                <c:pt idx="83">
                  <c:v>0.31270938313534363</c:v>
                </c:pt>
                <c:pt idx="84">
                  <c:v>0.31707896540226754</c:v>
                </c:pt>
                <c:pt idx="85">
                  <c:v>0.32146350234960464</c:v>
                </c:pt>
                <c:pt idx="86">
                  <c:v>0.32586301105203086</c:v>
                </c:pt>
                <c:pt idx="87">
                  <c:v>0.33027750879448148</c:v>
                </c:pt>
                <c:pt idx="88">
                  <c:v>0.33470701307265116</c:v>
                </c:pt>
                <c:pt idx="89">
                  <c:v>0.33915154159349997</c:v>
                </c:pt>
                <c:pt idx="90">
                  <c:v>0.34361111227576902</c:v>
                </c:pt>
                <c:pt idx="91">
                  <c:v>0.34808574325050223</c:v>
                </c:pt>
                <c:pt idx="92">
                  <c:v>0.3525754528615751</c:v>
                </c:pt>
                <c:pt idx="93">
                  <c:v>0.35708025966623336</c:v>
                </c:pt>
                <c:pt idx="94">
                  <c:v>0.3616001824356363</c:v>
                </c:pt>
                <c:pt idx="95">
                  <c:v>0.36613524015541038</c:v>
                </c:pt>
                <c:pt idx="96">
                  <c:v>0.37068545202620906</c:v>
                </c:pt>
                <c:pt idx="97">
                  <c:v>0.37525083746428045</c:v>
                </c:pt>
                <c:pt idx="98">
                  <c:v>0.37983141610204302</c:v>
                </c:pt>
                <c:pt idx="99">
                  <c:v>0.38442720778866912</c:v>
                </c:pt>
                <c:pt idx="100">
                  <c:v>0.38903823259067638</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Calculations'!$U$9:$U$109</c:f>
              <c:numCache>
                <c:formatCode>0.000</c:formatCode>
                <c:ptCount val="101"/>
                <c:pt idx="0">
                  <c:v>0.65842685604199169</c:v>
                </c:pt>
                <c:pt idx="1">
                  <c:v>0.65850070785317727</c:v>
                </c:pt>
                <c:pt idx="2">
                  <c:v>0.65870623545861295</c:v>
                </c:pt>
                <c:pt idx="3">
                  <c:v>0.65904345119628105</c:v>
                </c:pt>
                <c:pt idx="4">
                  <c:v>0.65951237531231055</c:v>
                </c:pt>
                <c:pt idx="5">
                  <c:v>0.6601130359640186</c:v>
                </c:pt>
                <c:pt idx="6">
                  <c:v>0.66084546922413601</c:v>
                </c:pt>
                <c:pt idx="7">
                  <c:v>0.66170971908622578</c:v>
                </c:pt>
                <c:pt idx="8">
                  <c:v>0.66270583747129019</c:v>
                </c:pt>
                <c:pt idx="9">
                  <c:v>0.66383388423557199</c:v>
                </c:pt>
                <c:pt idx="10">
                  <c:v>0.66509392717954974</c:v>
                </c:pt>
                <c:pt idx="11">
                  <c:v>0.66648604205813122</c:v>
                </c:pt>
                <c:pt idx="12">
                  <c:v>0.66801031259204713</c:v>
                </c:pt>
                <c:pt idx="13">
                  <c:v>0.66966683048044795</c:v>
                </c:pt>
                <c:pt idx="14">
                  <c:v>0.67145569541470829</c:v>
                </c:pt>
                <c:pt idx="15">
                  <c:v>0.67337701509344239</c:v>
                </c:pt>
                <c:pt idx="16">
                  <c:v>0.67543090523873417</c:v>
                </c:pt>
                <c:pt idx="17">
                  <c:v>0.67761748961358759</c:v>
                </c:pt>
                <c:pt idx="18">
                  <c:v>0.67993690004060214</c:v>
                </c:pt>
                <c:pt idx="19">
                  <c:v>0.68238927642187686</c:v>
                </c:pt>
                <c:pt idx="20">
                  <c:v>0.68497476676015145</c:v>
                </c:pt>
                <c:pt idx="21">
                  <c:v>0.6876935271811887</c:v>
                </c:pt>
                <c:pt idx="22">
                  <c:v>0.6905457219574036</c:v>
                </c:pt>
                <c:pt idx="23">
                  <c:v>0.69353152353274827</c:v>
                </c:pt>
                <c:pt idx="24">
                  <c:v>0.69665111254885903</c:v>
                </c:pt>
                <c:pt idx="25">
                  <c:v>0.69990467787247046</c:v>
                </c:pt>
                <c:pt idx="26">
                  <c:v>0.70329241662410857</c:v>
                </c:pt>
                <c:pt idx="27">
                  <c:v>0.70681453420806772</c:v>
                </c:pt>
                <c:pt idx="28">
                  <c:v>0.71047124434368114</c:v>
                </c:pt>
                <c:pt idx="29">
                  <c:v>0.7142627690978951</c:v>
                </c:pt>
                <c:pt idx="30">
                  <c:v>0.71818933891915293</c:v>
                </c:pt>
                <c:pt idx="31">
                  <c:v>0.72225119267260307</c:v>
                </c:pt>
                <c:pt idx="32">
                  <c:v>0.72644857767663562</c:v>
                </c:pt>
                <c:pt idx="33">
                  <c:v>0.7307817497407646</c:v>
                </c:pt>
                <c:pt idx="34">
                  <c:v>0.73525097320485988</c:v>
                </c:pt>
                <c:pt idx="35">
                  <c:v>0.73985652097974575</c:v>
                </c:pt>
                <c:pt idx="36">
                  <c:v>0.74459867458917384</c:v>
                </c:pt>
                <c:pt idx="37">
                  <c:v>0.74947772421318615</c:v>
                </c:pt>
                <c:pt idx="38">
                  <c:v>0.75449396873287611</c:v>
                </c:pt>
                <c:pt idx="39">
                  <c:v>0.75964771577656642</c:v>
                </c:pt>
                <c:pt idx="40">
                  <c:v>0.76493928176741155</c:v>
                </c:pt>
                <c:pt idx="41">
                  <c:v>0.77036899197244235</c:v>
                </c:pt>
                <c:pt idx="42">
                  <c:v>0.77593718055306649</c:v>
                </c:pt>
                <c:pt idx="43">
                  <c:v>0.7816441906170376</c:v>
                </c:pt>
                <c:pt idx="44">
                  <c:v>0.78749037427191126</c:v>
                </c:pt>
                <c:pt idx="45">
                  <c:v>0.79347609268000119</c:v>
                </c:pt>
                <c:pt idx="46">
                  <c:v>0.79960171611485298</c:v>
                </c:pt>
                <c:pt idx="47">
                  <c:v>0.80586762401925172</c:v>
                </c:pt>
                <c:pt idx="48">
                  <c:v>0.81227420506478154</c:v>
                </c:pt>
                <c:pt idx="49">
                  <c:v>0.8188218572129522</c:v>
                </c:pt>
                <c:pt idx="50">
                  <c:v>0.82551098777791465</c:v>
                </c:pt>
                <c:pt idx="51">
                  <c:v>0.83234201349078107</c:v>
                </c:pt>
                <c:pt idx="52">
                  <c:v>0.83931536056557066</c:v>
                </c:pt>
                <c:pt idx="53">
                  <c:v>0.84643146476679898</c:v>
                </c:pt>
                <c:pt idx="54">
                  <c:v>0.8536907714787344</c:v>
                </c:pt>
                <c:pt idx="55">
                  <c:v>0.86109373577633808</c:v>
                </c:pt>
                <c:pt idx="56">
                  <c:v>0.86864082249791319</c:v>
                </c:pt>
                <c:pt idx="57">
                  <c:v>0.87633250631948301</c:v>
                </c:pt>
                <c:pt idx="58">
                  <c:v>0.8841692718309202</c:v>
                </c:pt>
                <c:pt idx="59">
                  <c:v>0.89215161361385331</c:v>
                </c:pt>
                <c:pt idx="60">
                  <c:v>0.90028003632136999</c:v>
                </c:pt>
                <c:pt idx="61">
                  <c:v>0.90855505475954634</c:v>
                </c:pt>
                <c:pt idx="62">
                  <c:v>0.91697719397082222</c:v>
                </c:pt>
                <c:pt idx="63">
                  <c:v>0.9255469893192535</c:v>
                </c:pt>
                <c:pt idx="64">
                  <c:v>0.93426498657766333</c:v>
                </c:pt>
                <c:pt idx="65">
                  <c:v>0.94313174201672201</c:v>
                </c:pt>
                <c:pt idx="66">
                  <c:v>0.95214782249598273</c:v>
                </c:pt>
                <c:pt idx="67">
                  <c:v>0.96131380555690138</c:v>
                </c:pt>
                <c:pt idx="68">
                  <c:v>0.9706302795178684</c:v>
                </c:pt>
                <c:pt idx="69">
                  <c:v>0.98009784357128737</c:v>
                </c:pt>
                <c:pt idx="70">
                  <c:v>0.98971710788272227</c:v>
                </c:pt>
                <c:pt idx="71">
                  <c:v>0.99948869369215598</c:v>
                </c:pt>
                <c:pt idx="72">
                  <c:v>1.0094132334173813</c:v>
                </c:pt>
                <c:pt idx="73">
                  <c:v>1.0194913707595665</c:v>
                </c:pt>
                <c:pt idx="74">
                  <c:v>1.0297237608110228</c:v>
                </c:pt>
                <c:pt idx="75">
                  <c:v>1.0401110701652123</c:v>
                </c:pt>
                <c:pt idx="76">
                  <c:v>1.0506539770290311</c:v>
                </c:pt>
                <c:pt idx="77">
                  <c:v>1.0613531713374</c:v>
                </c:pt>
                <c:pt idx="78">
                  <c:v>1.0722093548702096</c:v>
                </c:pt>
                <c:pt idx="79">
                  <c:v>1.0832232413716474</c:v>
                </c:pt>
                <c:pt idx="80">
                  <c:v>1.0943955566719501</c:v>
                </c:pt>
                <c:pt idx="81">
                  <c:v>1.1057270388116263</c:v>
                </c:pt>
                <c:pt idx="82">
                  <c:v>1.1172184381681804</c:v>
                </c:pt>
                <c:pt idx="83">
                  <c:v>1.1288705175853917</c:v>
                </c:pt>
                <c:pt idx="84">
                  <c:v>1.1406840525051776</c:v>
                </c:pt>
                <c:pt idx="85">
                  <c:v>1.1526598311021001</c:v>
                </c:pt>
                <c:pt idx="86">
                  <c:v>1.1647986544205513</c:v>
                </c:pt>
                <c:pt idx="87">
                  <c:v>1.1771013365146623</c:v>
                </c:pt>
                <c:pt idx="88">
                  <c:v>1.1895687045909944</c:v>
                </c:pt>
                <c:pt idx="89">
                  <c:v>1.2022015991540471</c:v>
                </c:pt>
                <c:pt idx="90">
                  <c:v>1.2150008741546434</c:v>
                </c:pt>
                <c:pt idx="91">
                  <c:v>1.2279673971412395</c:v>
                </c:pt>
                <c:pt idx="92">
                  <c:v>1.2411020494142055</c:v>
                </c:pt>
                <c:pt idx="93">
                  <c:v>1.2544057261831416</c:v>
                </c:pt>
                <c:pt idx="94">
                  <c:v>1.2678793367272772</c:v>
                </c:pt>
                <c:pt idx="95">
                  <c:v>1.2815238045590074</c:v>
                </c:pt>
                <c:pt idx="96">
                  <c:v>1.2953400675906324</c:v>
                </c:pt>
                <c:pt idx="97">
                  <c:v>1.3093290783043472</c:v>
                </c:pt>
                <c:pt idx="98">
                  <c:v>1.3234918039255545</c:v>
                </c:pt>
                <c:pt idx="99">
                  <c:v>1.3378292265995506</c:v>
                </c:pt>
                <c:pt idx="100">
                  <c:v>1.3523423435716551</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Calculations'!$AW$9:$AW$109</c:f>
              <c:numCache>
                <c:formatCode>0.0</c:formatCode>
                <c:ptCount val="101"/>
                <c:pt idx="0">
                  <c:v>0.27836087777184337</c:v>
                </c:pt>
                <c:pt idx="1">
                  <c:v>0.56158046641061954</c:v>
                </c:pt>
                <c:pt idx="2">
                  <c:v>0.84530474613905748</c:v>
                </c:pt>
                <c:pt idx="3">
                  <c:v>1.1295346862831817</c:v>
                </c:pt>
                <c:pt idx="4">
                  <c:v>1.4142712626099354</c:v>
                </c:pt>
                <c:pt idx="5">
                  <c:v>2.093200786858282</c:v>
                </c:pt>
                <c:pt idx="6">
                  <c:v>4.0505387808721052</c:v>
                </c:pt>
                <c:pt idx="7">
                  <c:v>5.9897370364990401</c:v>
                </c:pt>
                <c:pt idx="8">
                  <c:v>7.9108053538447267</c:v>
                </c:pt>
                <c:pt idx="9">
                  <c:v>9.813753338038957</c:v>
                </c:pt>
                <c:pt idx="10">
                  <c:v>11.698590399019889</c:v>
                </c:pt>
                <c:pt idx="11">
                  <c:v>13.565325751313189</c:v>
                </c:pt>
                <c:pt idx="12">
                  <c:v>15.413968413805673</c:v>
                </c:pt>
                <c:pt idx="13">
                  <c:v>17.24452720951383</c:v>
                </c:pt>
                <c:pt idx="14">
                  <c:v>19.057010765346785</c:v>
                </c:pt>
                <c:pt idx="15">
                  <c:v>20.851427511864085</c:v>
                </c:pt>
                <c:pt idx="16">
                  <c:v>22.627785683027973</c:v>
                </c:pt>
                <c:pt idx="17">
                  <c:v>24.386093315950227</c:v>
                </c:pt>
                <c:pt idx="18">
                  <c:v>26.12635825063369</c:v>
                </c:pt>
                <c:pt idx="19">
                  <c:v>27.848588129708109</c:v>
                </c:pt>
                <c:pt idx="20">
                  <c:v>28.495892857855345</c:v>
                </c:pt>
                <c:pt idx="21">
                  <c:v>28.803168181855135</c:v>
                </c:pt>
                <c:pt idx="22">
                  <c:v>29.111014086850044</c:v>
                </c:pt>
                <c:pt idx="23">
                  <c:v>29.419431811989682</c:v>
                </c:pt>
                <c:pt idx="24">
                  <c:v>29.728422604180714</c:v>
                </c:pt>
                <c:pt idx="25">
                  <c:v>30.037987718125219</c:v>
                </c:pt>
                <c:pt idx="26">
                  <c:v>30.348128416359462</c:v>
                </c:pt>
                <c:pt idx="27">
                  <c:v>30.65884596929293</c:v>
                </c:pt>
                <c:pt idx="28">
                  <c:v>30.970141655247659</c:v>
                </c:pt>
                <c:pt idx="29">
                  <c:v>31.282016760497822</c:v>
                </c:pt>
                <c:pt idx="30">
                  <c:v>31.594472579309709</c:v>
                </c:pt>
                <c:pt idx="31">
                  <c:v>31.907510413981946</c:v>
                </c:pt>
                <c:pt idx="32">
                  <c:v>32.221131574886009</c:v>
                </c:pt>
                <c:pt idx="33">
                  <c:v>32.535337380507102</c:v>
                </c:pt>
                <c:pt idx="34">
                  <c:v>32.850129157485355</c:v>
                </c:pt>
                <c:pt idx="35">
                  <c:v>33.165508240657239</c:v>
                </c:pt>
                <c:pt idx="36">
                  <c:v>33.48147597309741</c:v>
                </c:pt>
                <c:pt idx="37">
                  <c:v>33.798033706160787</c:v>
                </c:pt>
                <c:pt idx="38">
                  <c:v>34.115182799525051</c:v>
                </c:pt>
                <c:pt idx="39">
                  <c:v>34.432924621233376</c:v>
                </c:pt>
                <c:pt idx="40">
                  <c:v>34.751260547737495</c:v>
                </c:pt>
                <c:pt idx="41">
                  <c:v>35.070191963941184</c:v>
                </c:pt>
                <c:pt idx="42">
                  <c:v>35.38972026324398</c:v>
                </c:pt>
                <c:pt idx="43">
                  <c:v>35.709846847585254</c:v>
                </c:pt>
                <c:pt idx="44">
                  <c:v>36.030573127488722</c:v>
                </c:pt>
                <c:pt idx="45">
                  <c:v>36.351900522107123</c:v>
                </c:pt>
                <c:pt idx="46">
                  <c:v>36.673830459267364</c:v>
                </c:pt>
                <c:pt idx="47">
                  <c:v>36.996364375516038</c:v>
                </c:pt>
                <c:pt idx="48">
                  <c:v>37.319503716165151</c:v>
                </c:pt>
                <c:pt idx="49">
                  <c:v>37.643249935338346</c:v>
                </c:pt>
                <c:pt idx="50">
                  <c:v>37.967604496017358</c:v>
                </c:pt>
                <c:pt idx="51">
                  <c:v>38.292568870088971</c:v>
                </c:pt>
                <c:pt idx="52">
                  <c:v>38.618144538392194</c:v>
                </c:pt>
                <c:pt idx="53">
                  <c:v>38.944332990765879</c:v>
                </c:pt>
                <c:pt idx="54">
                  <c:v>39.271135726096695</c:v>
                </c:pt>
                <c:pt idx="55">
                  <c:v>39.598554252367435</c:v>
                </c:pt>
                <c:pt idx="56">
                  <c:v>39.926590086705779</c:v>
                </c:pt>
                <c:pt idx="57">
                  <c:v>40.255244755433296</c:v>
                </c:pt>
                <c:pt idx="58">
                  <c:v>40.584519794115025</c:v>
                </c:pt>
                <c:pt idx="59">
                  <c:v>40.914416747609181</c:v>
                </c:pt>
                <c:pt idx="60">
                  <c:v>41.244937170117474</c:v>
                </c:pt>
                <c:pt idx="61">
                  <c:v>41.576082625235742</c:v>
                </c:pt>
                <c:pt idx="62">
                  <c:v>41.907854686004875</c:v>
                </c:pt>
                <c:pt idx="63">
                  <c:v>42.240254934962287</c:v>
                </c:pt>
                <c:pt idx="64">
                  <c:v>42.573284964193711</c:v>
                </c:pt>
                <c:pt idx="65">
                  <c:v>42.90694637538536</c:v>
                </c:pt>
                <c:pt idx="66">
                  <c:v>43.241240779876577</c:v>
                </c:pt>
                <c:pt idx="67">
                  <c:v>43.576169798712833</c:v>
                </c:pt>
                <c:pt idx="68">
                  <c:v>43.911735062699158</c:v>
                </c:pt>
                <c:pt idx="69">
                  <c:v>44.247938212453946</c:v>
                </c:pt>
                <c:pt idx="70">
                  <c:v>44.584780898463286</c:v>
                </c:pt>
                <c:pt idx="71">
                  <c:v>44.922264781135553</c:v>
                </c:pt>
                <c:pt idx="72">
                  <c:v>45.260391530856594</c:v>
                </c:pt>
                <c:pt idx="73">
                  <c:v>45.599162828045202</c:v>
                </c:pt>
                <c:pt idx="74">
                  <c:v>45.93858036320912</c:v>
                </c:pt>
                <c:pt idx="75">
                  <c:v>46.278645837001413</c:v>
                </c:pt>
                <c:pt idx="76">
                  <c:v>46.619360960277312</c:v>
                </c:pt>
                <c:pt idx="77">
                  <c:v>46.960727454151545</c:v>
                </c:pt>
                <c:pt idx="78">
                  <c:v>47.30274705005597</c:v>
                </c:pt>
                <c:pt idx="79">
                  <c:v>47.645421489797869</c:v>
                </c:pt>
                <c:pt idx="80">
                  <c:v>47.988752525618537</c:v>
                </c:pt>
                <c:pt idx="81">
                  <c:v>48.332741920252325</c:v>
                </c:pt>
                <c:pt idx="82">
                  <c:v>48.67739144698627</c:v>
                </c:pt>
                <c:pt idx="83">
                  <c:v>49.02270288972008</c:v>
                </c:pt>
                <c:pt idx="84">
                  <c:v>49.368678043026662</c:v>
                </c:pt>
                <c:pt idx="85">
                  <c:v>49.715318712213019</c:v>
                </c:pt>
                <c:pt idx="86">
                  <c:v>50.062626713381803</c:v>
                </c:pt>
                <c:pt idx="87">
                  <c:v>50.41060387349313</c:v>
                </c:pt>
                <c:pt idx="88">
                  <c:v>50.759252030427092</c:v>
                </c:pt>
                <c:pt idx="89">
                  <c:v>51.108573033046589</c:v>
                </c:pt>
                <c:pt idx="90">
                  <c:v>51.458568741260748</c:v>
                </c:pt>
                <c:pt idx="91">
                  <c:v>51.80924102608887</c:v>
                </c:pt>
                <c:pt idx="92">
                  <c:v>52.160591769724782</c:v>
                </c:pt>
                <c:pt idx="93">
                  <c:v>52.512622865601749</c:v>
                </c:pt>
                <c:pt idx="94">
                  <c:v>52.865336218457912</c:v>
                </c:pt>
                <c:pt idx="95">
                  <c:v>53.21873374440225</c:v>
                </c:pt>
                <c:pt idx="96">
                  <c:v>53.572817370980992</c:v>
                </c:pt>
                <c:pt idx="97">
                  <c:v>53.927589037244644</c:v>
                </c:pt>
                <c:pt idx="98">
                  <c:v>54.283050693815511</c:v>
                </c:pt>
                <c:pt idx="99">
                  <c:v>54.639204302955683</c:v>
                </c:pt>
                <c:pt idx="100">
                  <c:v>54.996051838635715</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Calculations'!$AX$9:$AX$109</c:f>
              <c:numCache>
                <c:formatCode>0.0</c:formatCode>
                <c:ptCount val="101"/>
                <c:pt idx="0">
                  <c:v>0.26775647907142758</c:v>
                </c:pt>
                <c:pt idx="1">
                  <c:v>0.38217563281889988</c:v>
                </c:pt>
                <c:pt idx="2">
                  <c:v>0.49711785813924214</c:v>
                </c:pt>
                <c:pt idx="3">
                  <c:v>0.61258309369320707</c:v>
                </c:pt>
                <c:pt idx="4">
                  <c:v>0.72857128499031165</c:v>
                </c:pt>
                <c:pt idx="5">
                  <c:v>0.8450823843844677</c:v>
                </c:pt>
                <c:pt idx="6">
                  <c:v>0.96211635106983606</c:v>
                </c:pt>
                <c:pt idx="7">
                  <c:v>1.0796731510769093</c:v>
                </c:pt>
                <c:pt idx="8">
                  <c:v>1.197752757268816</c:v>
                </c:pt>
                <c:pt idx="9">
                  <c:v>1.3163551493378534</c:v>
                </c:pt>
                <c:pt idx="10">
                  <c:v>1.4354803138022398</c:v>
                </c:pt>
                <c:pt idx="11">
                  <c:v>1.5551282440030969</c:v>
                </c:pt>
                <c:pt idx="12">
                  <c:v>1.67529894010165</c:v>
                </c:pt>
                <c:pt idx="13">
                  <c:v>1.7959924090766568</c:v>
                </c:pt>
                <c:pt idx="14">
                  <c:v>1.9172086647220565</c:v>
                </c:pt>
                <c:pt idx="15">
                  <c:v>2.0389477276448429</c:v>
                </c:pt>
                <c:pt idx="16">
                  <c:v>2.1612096252631599</c:v>
                </c:pt>
                <c:pt idx="17">
                  <c:v>2.2839943918046242</c:v>
                </c:pt>
                <c:pt idx="18">
                  <c:v>2.4073020683048614</c:v>
                </c:pt>
                <c:pt idx="19">
                  <c:v>2.5311327026062722</c:v>
                </c:pt>
                <c:pt idx="20">
                  <c:v>2.6647749325014263</c:v>
                </c:pt>
                <c:pt idx="21">
                  <c:v>2.8019147713959622</c:v>
                </c:pt>
                <c:pt idx="22">
                  <c:v>2.9395789454173094</c:v>
                </c:pt>
                <c:pt idx="23">
                  <c:v>3.0777676100679074</c:v>
                </c:pt>
                <c:pt idx="24">
                  <c:v>3.2164809276547297</c:v>
                </c:pt>
                <c:pt idx="25">
                  <c:v>3.3557190672911212</c:v>
                </c:pt>
                <c:pt idx="26">
                  <c:v>3.4954822048988667</c:v>
                </c:pt>
                <c:pt idx="27">
                  <c:v>3.6357705232104722</c:v>
                </c:pt>
                <c:pt idx="28">
                  <c:v>3.7765842117716746</c:v>
                </c:pt>
                <c:pt idx="29">
                  <c:v>3.9179234669441687</c:v>
                </c:pt>
                <c:pt idx="30">
                  <c:v>4.0597884919085541</c:v>
                </c:pt>
                <c:pt idx="31">
                  <c:v>4.2021794966675055</c:v>
                </c:pt>
                <c:pt idx="32">
                  <c:v>4.3450966980491668</c:v>
                </c:pt>
                <c:pt idx="33">
                  <c:v>4.4885403197107667</c:v>
                </c:pt>
                <c:pt idx="34">
                  <c:v>4.632510592142447</c:v>
                </c:pt>
                <c:pt idx="35">
                  <c:v>4.7770077526713264</c:v>
                </c:pt>
                <c:pt idx="36">
                  <c:v>4.9220320454657758</c:v>
                </c:pt>
                <c:pt idx="37">
                  <c:v>5.0675837215399184</c:v>
                </c:pt>
                <c:pt idx="38">
                  <c:v>5.2136630387583605</c:v>
                </c:pt>
                <c:pt idx="39">
                  <c:v>5.36027026184113</c:v>
                </c:pt>
                <c:pt idx="40">
                  <c:v>5.5074056623688508</c:v>
                </c:pt>
                <c:pt idx="41">
                  <c:v>5.6550695187881228</c:v>
                </c:pt>
                <c:pt idx="42">
                  <c:v>5.8032621164171614</c:v>
                </c:pt>
                <c:pt idx="43">
                  <c:v>5.9519837474516031</c:v>
                </c:pt>
                <c:pt idx="44">
                  <c:v>6.1012347109705987</c:v>
                </c:pt>
                <c:pt idx="45">
                  <c:v>6.251015312943073</c:v>
                </c:pt>
                <c:pt idx="46">
                  <c:v>6.4013258662342576</c:v>
                </c:pt>
                <c:pt idx="47">
                  <c:v>6.5521666906124061</c:v>
                </c:pt>
                <c:pt idx="48">
                  <c:v>6.7035381127557612</c:v>
                </c:pt>
                <c:pt idx="49">
                  <c:v>6.8554404662597479</c:v>
                </c:pt>
                <c:pt idx="50">
                  <c:v>7.0078740916443625</c:v>
                </c:pt>
                <c:pt idx="51">
                  <c:v>7.1608393363618301</c:v>
                </c:pt>
                <c:pt idx="52">
                  <c:v>7.3143365548044486</c:v>
                </c:pt>
                <c:pt idx="53">
                  <c:v>7.4683661083126847</c:v>
                </c:pt>
                <c:pt idx="54">
                  <c:v>7.6229283651834958</c:v>
                </c:pt>
                <c:pt idx="55">
                  <c:v>7.7780237006788546</c:v>
                </c:pt>
                <c:pt idx="56">
                  <c:v>7.9336524970345303</c:v>
                </c:pt>
                <c:pt idx="57">
                  <c:v>8.0898151434690906</c:v>
                </c:pt>
                <c:pt idx="58">
                  <c:v>8.246512036193117</c:v>
                </c:pt>
                <c:pt idx="59">
                  <c:v>8.4037435784186716</c:v>
                </c:pt>
                <c:pt idx="60">
                  <c:v>8.5615101803689679</c:v>
                </c:pt>
                <c:pt idx="61">
                  <c:v>8.7198122592882967</c:v>
                </c:pt>
                <c:pt idx="62">
                  <c:v>8.8786502394521811</c:v>
                </c:pt>
                <c:pt idx="63">
                  <c:v>9.0380245521777187</c:v>
                </c:pt>
                <c:pt idx="64">
                  <c:v>9.1979356358342343</c:v>
                </c:pt>
                <c:pt idx="65">
                  <c:v>9.3583839358540786</c:v>
                </c:pt>
                <c:pt idx="66">
                  <c:v>9.5193699047437335</c:v>
                </c:pt>
                <c:pt idx="67">
                  <c:v>9.6808940020950978</c:v>
                </c:pt>
                <c:pt idx="68">
                  <c:v>9.8429566945970279</c:v>
                </c:pt>
                <c:pt idx="69">
                  <c:v>10.005558456047128</c:v>
                </c:pt>
                <c:pt idx="70">
                  <c:v>10.168699767363741</c:v>
                </c:pt>
                <c:pt idx="71">
                  <c:v>10.332381116598196</c:v>
                </c:pt>
                <c:pt idx="72">
                  <c:v>10.496602998947298</c:v>
                </c:pt>
                <c:pt idx="73">
                  <c:v>10.661365916766034</c:v>
                </c:pt>
                <c:pt idx="74">
                  <c:v>10.826670379580545</c:v>
                </c:pt>
                <c:pt idx="75">
                  <c:v>10.992516904101297</c:v>
                </c:pt>
                <c:pt idx="76">
                  <c:v>11.158906014236528</c:v>
                </c:pt>
                <c:pt idx="77">
                  <c:v>11.325838241105926</c:v>
                </c:pt>
                <c:pt idx="78">
                  <c:v>11.49331412305451</c:v>
                </c:pt>
                <c:pt idx="79">
                  <c:v>11.661334205666831</c:v>
                </c:pt>
                <c:pt idx="80">
                  <c:v>11.829899041781328</c:v>
                </c:pt>
                <c:pt idx="81">
                  <c:v>11.999009191504978</c:v>
                </c:pt>
                <c:pt idx="82">
                  <c:v>12.168665222228189</c:v>
                </c:pt>
                <c:pt idx="83">
                  <c:v>12.338867708639913</c:v>
                </c:pt>
                <c:pt idx="84">
                  <c:v>12.509617232743018</c:v>
                </c:pt>
                <c:pt idx="85">
                  <c:v>12.680914383869908</c:v>
                </c:pt>
                <c:pt idx="86">
                  <c:v>12.85275975869839</c:v>
                </c:pt>
                <c:pt idx="87">
                  <c:v>13.02515396126778</c:v>
                </c:pt>
                <c:pt idx="88">
                  <c:v>13.198097602995267</c:v>
                </c:pt>
                <c:pt idx="89">
                  <c:v>13.37159130269251</c:v>
                </c:pt>
                <c:pt idx="90">
                  <c:v>13.545635686582514</c:v>
                </c:pt>
                <c:pt idx="91">
                  <c:v>13.720231388316744</c:v>
                </c:pt>
                <c:pt idx="92">
                  <c:v>13.89537904899246</c:v>
                </c:pt>
                <c:pt idx="93">
                  <c:v>14.071079317170375</c:v>
                </c:pt>
                <c:pt idx="94">
                  <c:v>14.247332848892471</c:v>
                </c:pt>
                <c:pt idx="95">
                  <c:v>14.424140307700185</c:v>
                </c:pt>
                <c:pt idx="96">
                  <c:v>14.601502364652754</c:v>
                </c:pt>
                <c:pt idx="97">
                  <c:v>14.779419698345862</c:v>
                </c:pt>
                <c:pt idx="98">
                  <c:v>14.957892994930532</c:v>
                </c:pt>
                <c:pt idx="99">
                  <c:v>15.136922948132291</c:v>
                </c:pt>
                <c:pt idx="100">
                  <c:v>15.316510259270599</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Calculations'!$BC$9:$BC$109</c:f>
              <c:numCache>
                <c:formatCode>0.000</c:formatCode>
                <c:ptCount val="101"/>
                <c:pt idx="0">
                  <c:v>6.6276399469486517E-3</c:v>
                </c:pt>
                <c:pt idx="1">
                  <c:v>1.3370963485967131E-2</c:v>
                </c:pt>
                <c:pt idx="2">
                  <c:v>2.0126303479501367E-2</c:v>
                </c:pt>
                <c:pt idx="3">
                  <c:v>2.6893683006742421E-2</c:v>
                </c:pt>
                <c:pt idx="4">
                  <c:v>3.3673125300236556E-2</c:v>
                </c:pt>
                <c:pt idx="5">
                  <c:v>4.9838113972816234E-2</c:v>
                </c:pt>
                <c:pt idx="6">
                  <c:v>9.6441399544573939E-2</c:v>
                </c:pt>
                <c:pt idx="7">
                  <c:v>0.14261278658331047</c:v>
                </c:pt>
                <c:pt idx="8">
                  <c:v>0.18835250842487444</c:v>
                </c:pt>
                <c:pt idx="9">
                  <c:v>0.23366079376283233</c:v>
                </c:pt>
                <c:pt idx="10">
                  <c:v>0.27853786664333069</c:v>
                </c:pt>
                <c:pt idx="11">
                  <c:v>0.32298394645983786</c:v>
                </c:pt>
                <c:pt idx="12">
                  <c:v>0.36699924794775413</c:v>
                </c:pt>
                <c:pt idx="13">
                  <c:v>0.41058398117890071</c:v>
                </c:pt>
                <c:pt idx="14">
                  <c:v>0.45373835155587583</c:v>
                </c:pt>
                <c:pt idx="15">
                  <c:v>0.49646255980628773</c:v>
                </c:pt>
                <c:pt idx="16">
                  <c:v>0.53875680197685649</c:v>
                </c:pt>
                <c:pt idx="17">
                  <c:v>0.58062126942738634</c:v>
                </c:pt>
                <c:pt idx="18">
                  <c:v>0.62205614882461169</c:v>
                </c:pt>
                <c:pt idx="19">
                  <c:v>0.66306162213590736</c:v>
                </c:pt>
                <c:pt idx="20">
                  <c:v>0.6784736394727463</c:v>
                </c:pt>
                <c:pt idx="21">
                  <c:v>0.68578971861559845</c:v>
                </c:pt>
                <c:pt idx="22">
                  <c:v>0.69311938302023912</c:v>
                </c:pt>
                <c:pt idx="23">
                  <c:v>0.70046266219023057</c:v>
                </c:pt>
                <c:pt idx="24">
                  <c:v>0.70781958581382654</c:v>
                </c:pt>
                <c:pt idx="25">
                  <c:v>0.71519018376488619</c:v>
                </c:pt>
                <c:pt idx="26">
                  <c:v>0.72257448610379671</c:v>
                </c:pt>
                <c:pt idx="27">
                  <c:v>0.7299725230784031</c:v>
                </c:pt>
                <c:pt idx="28">
                  <c:v>0.73738432512494423</c:v>
                </c:pt>
                <c:pt idx="29">
                  <c:v>0.74480992286899572</c:v>
                </c:pt>
                <c:pt idx="30">
                  <c:v>0.75224934712642166</c:v>
                </c:pt>
                <c:pt idx="31">
                  <c:v>0.75970262890433204</c:v>
                </c:pt>
                <c:pt idx="32">
                  <c:v>0.76716979940204777</c:v>
                </c:pt>
                <c:pt idx="33">
                  <c:v>0.77465089001207388</c:v>
                </c:pt>
                <c:pt idx="34">
                  <c:v>0.78214593232107987</c:v>
                </c:pt>
                <c:pt idx="35">
                  <c:v>0.78965495811088671</c:v>
                </c:pt>
                <c:pt idx="36">
                  <c:v>0.79717799935946221</c:v>
                </c:pt>
                <c:pt idx="37">
                  <c:v>0.8047150882419235</c:v>
                </c:pt>
                <c:pt idx="38">
                  <c:v>0.81226625713154887</c:v>
                </c:pt>
                <c:pt idx="39">
                  <c:v>0.81983153860079461</c:v>
                </c:pt>
                <c:pt idx="40">
                  <c:v>0.82741096542232129</c:v>
                </c:pt>
                <c:pt idx="41">
                  <c:v>0.83500457057002819</c:v>
                </c:pt>
                <c:pt idx="42">
                  <c:v>0.84261238722009468</c:v>
                </c:pt>
                <c:pt idx="43">
                  <c:v>0.85023444875202991</c:v>
                </c:pt>
                <c:pt idx="44">
                  <c:v>0.85787078874973155</c:v>
                </c:pt>
                <c:pt idx="45">
                  <c:v>0.86552144100255046</c:v>
                </c:pt>
                <c:pt idx="46">
                  <c:v>0.87318643950636576</c:v>
                </c:pt>
                <c:pt idx="47">
                  <c:v>0.8808658184646676</c:v>
                </c:pt>
                <c:pt idx="48">
                  <c:v>0.88855961228964653</c:v>
                </c:pt>
                <c:pt idx="49">
                  <c:v>0.89626785560329392</c:v>
                </c:pt>
                <c:pt idx="50">
                  <c:v>0.90399058323850845</c:v>
                </c:pt>
                <c:pt idx="51">
                  <c:v>0.91172783024021364</c:v>
                </c:pt>
                <c:pt idx="52">
                  <c:v>0.91947963186648085</c:v>
                </c:pt>
                <c:pt idx="53">
                  <c:v>0.92724602358966379</c:v>
                </c:pt>
                <c:pt idx="54">
                  <c:v>0.93502704109754042</c:v>
                </c:pt>
                <c:pt idx="55">
                  <c:v>0.94282272029446279</c:v>
                </c:pt>
                <c:pt idx="56">
                  <c:v>0.95063309730251855</c:v>
                </c:pt>
                <c:pt idx="57">
                  <c:v>0.95845820846269758</c:v>
                </c:pt>
                <c:pt idx="58">
                  <c:v>0.96629809033607206</c:v>
                </c:pt>
                <c:pt idx="59">
                  <c:v>0.97415277970498049</c:v>
                </c:pt>
                <c:pt idx="60">
                  <c:v>0.98202231357422565</c:v>
                </c:pt>
                <c:pt idx="61">
                  <c:v>0.98990672917227951</c:v>
                </c:pt>
                <c:pt idx="62">
                  <c:v>0.99780606395249705</c:v>
                </c:pt>
                <c:pt idx="63">
                  <c:v>1.0057203555943401</c:v>
                </c:pt>
                <c:pt idx="64">
                  <c:v>1.0136496420046122</c:v>
                </c:pt>
                <c:pt idx="65">
                  <c:v>1.0215939613186991</c:v>
                </c:pt>
                <c:pt idx="66">
                  <c:v>1.0295533519018232</c:v>
                </c:pt>
                <c:pt idx="67">
                  <c:v>1.0375278523503055</c:v>
                </c:pt>
                <c:pt idx="68">
                  <c:v>1.0455175014928371</c:v>
                </c:pt>
                <c:pt idx="69">
                  <c:v>1.0535223383917607</c:v>
                </c:pt>
                <c:pt idx="70">
                  <c:v>1.061542402344364</c:v>
                </c:pt>
                <c:pt idx="71">
                  <c:v>1.0695777328841798</c:v>
                </c:pt>
                <c:pt idx="72">
                  <c:v>1.0776283697822999</c:v>
                </c:pt>
                <c:pt idx="73">
                  <c:v>1.0856943530486953</c:v>
                </c:pt>
                <c:pt idx="74">
                  <c:v>1.0937757229335505</c:v>
                </c:pt>
                <c:pt idx="75">
                  <c:v>1.101872519928605</c:v>
                </c:pt>
                <c:pt idx="76">
                  <c:v>1.1099847847685074</c:v>
                </c:pt>
                <c:pt idx="77">
                  <c:v>1.1181125584321796</c:v>
                </c:pt>
                <c:pt idx="78">
                  <c:v>1.1262558821441897</c:v>
                </c:pt>
                <c:pt idx="79">
                  <c:v>1.1344147973761398</c:v>
                </c:pt>
                <c:pt idx="80">
                  <c:v>1.1425893458480605</c:v>
                </c:pt>
                <c:pt idx="81">
                  <c:v>1.1507795695298173</c:v>
                </c:pt>
                <c:pt idx="82">
                  <c:v>1.1589855106425302</c:v>
                </c:pt>
                <c:pt idx="83">
                  <c:v>1.1672072116600019</c:v>
                </c:pt>
                <c:pt idx="84">
                  <c:v>1.1754447153101586</c:v>
                </c:pt>
                <c:pt idx="85">
                  <c:v>1.1836980645765005</c:v>
                </c:pt>
                <c:pt idx="86">
                  <c:v>1.1919673026995667</c:v>
                </c:pt>
                <c:pt idx="87">
                  <c:v>1.2002524731784079</c:v>
                </c:pt>
                <c:pt idx="88">
                  <c:v>1.2085536197720737</c:v>
                </c:pt>
                <c:pt idx="89">
                  <c:v>1.2168707865011092</c:v>
                </c:pt>
                <c:pt idx="90">
                  <c:v>1.2252040176490655</c:v>
                </c:pt>
                <c:pt idx="91">
                  <c:v>1.2335533577640208</c:v>
                </c:pt>
                <c:pt idx="92">
                  <c:v>1.2419188516601138</c:v>
                </c:pt>
                <c:pt idx="93">
                  <c:v>1.2503005444190893</c:v>
                </c:pt>
                <c:pt idx="94">
                  <c:v>1.2586984813918551</c:v>
                </c:pt>
                <c:pt idx="95">
                  <c:v>1.2671127082000535</c:v>
                </c:pt>
                <c:pt idx="96">
                  <c:v>1.2755432707376426</c:v>
                </c:pt>
                <c:pt idx="97">
                  <c:v>1.2839902151724916</c:v>
                </c:pt>
                <c:pt idx="98">
                  <c:v>1.2924535879479884</c:v>
                </c:pt>
                <c:pt idx="99">
                  <c:v>1.3009334357846591</c:v>
                </c:pt>
                <c:pt idx="100">
                  <c:v>1.3094298056818028</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Calculations'!$BD$9:$BD$109</c:f>
              <c:numCache>
                <c:formatCode>0.000</c:formatCode>
                <c:ptCount val="101"/>
                <c:pt idx="0">
                  <c:v>6.69391197678569E-3</c:v>
                </c:pt>
                <c:pt idx="1">
                  <c:v>9.5543908204724966E-3</c:v>
                </c:pt>
                <c:pt idx="2">
                  <c:v>1.2427946453481054E-2</c:v>
                </c:pt>
                <c:pt idx="3">
                  <c:v>1.5314577342330176E-2</c:v>
                </c:pt>
                <c:pt idx="4">
                  <c:v>1.8214282124757793E-2</c:v>
                </c:pt>
                <c:pt idx="5">
                  <c:v>2.1127059609611691E-2</c:v>
                </c:pt>
                <c:pt idx="6">
                  <c:v>2.4052908776745902E-2</c:v>
                </c:pt>
                <c:pt idx="7">
                  <c:v>2.699182877692273E-2</c:v>
                </c:pt>
                <c:pt idx="8">
                  <c:v>2.9943818931720399E-2</c:v>
                </c:pt>
                <c:pt idx="9">
                  <c:v>3.2908878733446334E-2</c:v>
                </c:pt>
                <c:pt idx="10">
                  <c:v>3.5887007845055996E-2</c:v>
                </c:pt>
                <c:pt idx="11">
                  <c:v>3.8878206100077424E-2</c:v>
                </c:pt>
                <c:pt idx="12">
                  <c:v>4.1882473502541248E-2</c:v>
                </c:pt>
                <c:pt idx="13">
                  <c:v>4.4899810226916421E-2</c:v>
                </c:pt>
                <c:pt idx="14">
                  <c:v>4.7930216618051413E-2</c:v>
                </c:pt>
                <c:pt idx="15">
                  <c:v>5.0973693191121071E-2</c:v>
                </c:pt>
                <c:pt idx="16">
                  <c:v>5.4030240631578998E-2</c:v>
                </c:pt>
                <c:pt idx="17">
                  <c:v>5.7099859795115601E-2</c:v>
                </c:pt>
                <c:pt idx="18">
                  <c:v>6.0182551707621532E-2</c:v>
                </c:pt>
                <c:pt idx="19">
                  <c:v>6.3278317565156811E-2</c:v>
                </c:pt>
                <c:pt idx="20">
                  <c:v>6.661937331253566E-2</c:v>
                </c:pt>
                <c:pt idx="21">
                  <c:v>7.0047869284899061E-2</c:v>
                </c:pt>
                <c:pt idx="22">
                  <c:v>7.3489473635432734E-2</c:v>
                </c:pt>
                <c:pt idx="23">
                  <c:v>7.6944190251697686E-2</c:v>
                </c:pt>
                <c:pt idx="24">
                  <c:v>8.041202319136824E-2</c:v>
                </c:pt>
                <c:pt idx="25">
                  <c:v>8.3892976682278034E-2</c:v>
                </c:pt>
                <c:pt idx="26">
                  <c:v>8.7387055122471663E-2</c:v>
                </c:pt>
                <c:pt idx="27">
                  <c:v>9.08942630802618E-2</c:v>
                </c:pt>
                <c:pt idx="28">
                  <c:v>9.4414605294291867E-2</c:v>
                </c:pt>
                <c:pt idx="29">
                  <c:v>9.7948086673604218E-2</c:v>
                </c:pt>
                <c:pt idx="30">
                  <c:v>0.10149471229771384</c:v>
                </c:pt>
                <c:pt idx="31">
                  <c:v>0.10505448741668764</c:v>
                </c:pt>
                <c:pt idx="32">
                  <c:v>0.10862741745122917</c:v>
                </c:pt>
                <c:pt idx="33">
                  <c:v>0.11221350799276916</c:v>
                </c:pt>
                <c:pt idx="34">
                  <c:v>0.11581276480356117</c:v>
                </c:pt>
                <c:pt idx="35">
                  <c:v>0.11942519381678317</c:v>
                </c:pt>
                <c:pt idx="36">
                  <c:v>0.12305080113664439</c:v>
                </c:pt>
                <c:pt idx="37">
                  <c:v>0.12668959303849797</c:v>
                </c:pt>
                <c:pt idx="38">
                  <c:v>0.13034157596895901</c:v>
                </c:pt>
                <c:pt idx="39">
                  <c:v>0.13400675654602826</c:v>
                </c:pt>
                <c:pt idx="40">
                  <c:v>0.13768514155922126</c:v>
                </c:pt>
                <c:pt idx="41">
                  <c:v>0.14137673796970307</c:v>
                </c:pt>
                <c:pt idx="42">
                  <c:v>0.14508155291042904</c:v>
                </c:pt>
                <c:pt idx="43">
                  <c:v>0.14879959368629009</c:v>
                </c:pt>
                <c:pt idx="44">
                  <c:v>0.15253086777426497</c:v>
                </c:pt>
                <c:pt idx="45">
                  <c:v>0.15627538282357684</c:v>
                </c:pt>
                <c:pt idx="46">
                  <c:v>0.16003314665585644</c:v>
                </c:pt>
                <c:pt idx="47">
                  <c:v>0.16380416726531016</c:v>
                </c:pt>
                <c:pt idx="48">
                  <c:v>0.16758845281889403</c:v>
                </c:pt>
                <c:pt idx="49">
                  <c:v>0.1713860116564937</c:v>
                </c:pt>
                <c:pt idx="50">
                  <c:v>0.17519685229110907</c:v>
                </c:pt>
                <c:pt idx="51">
                  <c:v>0.17902098340904576</c:v>
                </c:pt>
                <c:pt idx="52">
                  <c:v>0.1828584138701112</c:v>
                </c:pt>
                <c:pt idx="53">
                  <c:v>0.18670915270781713</c:v>
                </c:pt>
                <c:pt idx="54">
                  <c:v>0.19057320912958739</c:v>
                </c:pt>
                <c:pt idx="55">
                  <c:v>0.19445059251697136</c:v>
                </c:pt>
                <c:pt idx="56">
                  <c:v>0.19834131242586325</c:v>
                </c:pt>
                <c:pt idx="57">
                  <c:v>0.20224537858672725</c:v>
                </c:pt>
                <c:pt idx="58">
                  <c:v>0.20616280090482794</c:v>
                </c:pt>
                <c:pt idx="59">
                  <c:v>0.2100935894604668</c:v>
                </c:pt>
                <c:pt idx="60">
                  <c:v>0.21403775450922419</c:v>
                </c:pt>
                <c:pt idx="61">
                  <c:v>0.21799530648220744</c:v>
                </c:pt>
                <c:pt idx="62">
                  <c:v>0.22196625598630454</c:v>
                </c:pt>
                <c:pt idx="63">
                  <c:v>0.22595061380444298</c:v>
                </c:pt>
                <c:pt idx="64">
                  <c:v>0.22994839089585584</c:v>
                </c:pt>
                <c:pt idx="65">
                  <c:v>0.23395959839635194</c:v>
                </c:pt>
                <c:pt idx="66">
                  <c:v>0.23798424761859333</c:v>
                </c:pt>
                <c:pt idx="67">
                  <c:v>0.24202235005237743</c:v>
                </c:pt>
                <c:pt idx="68">
                  <c:v>0.2460739173649257</c:v>
                </c:pt>
                <c:pt idx="69">
                  <c:v>0.25013896140117819</c:v>
                </c:pt>
                <c:pt idx="70">
                  <c:v>0.25421749418409351</c:v>
                </c:pt>
                <c:pt idx="71">
                  <c:v>0.25830952791495487</c:v>
                </c:pt>
                <c:pt idx="72">
                  <c:v>0.26241507497368244</c:v>
                </c:pt>
                <c:pt idx="73">
                  <c:v>0.26653414791915087</c:v>
                </c:pt>
                <c:pt idx="74">
                  <c:v>0.27066675948951363</c:v>
                </c:pt>
                <c:pt idx="75">
                  <c:v>0.27481292260253243</c:v>
                </c:pt>
                <c:pt idx="76">
                  <c:v>0.27897265035591323</c:v>
                </c:pt>
                <c:pt idx="77">
                  <c:v>0.28314595602764814</c:v>
                </c:pt>
                <c:pt idx="78">
                  <c:v>0.28733285307636275</c:v>
                </c:pt>
                <c:pt idx="79">
                  <c:v>0.29153335514167078</c:v>
                </c:pt>
                <c:pt idx="80">
                  <c:v>0.29574747604453322</c:v>
                </c:pt>
                <c:pt idx="81">
                  <c:v>0.29997522978762448</c:v>
                </c:pt>
                <c:pt idx="82">
                  <c:v>0.30421663055570469</c:v>
                </c:pt>
                <c:pt idx="83">
                  <c:v>0.30847169271599784</c:v>
                </c:pt>
                <c:pt idx="84">
                  <c:v>0.31274043081857544</c:v>
                </c:pt>
                <c:pt idx="85">
                  <c:v>0.3170228595967477</c:v>
                </c:pt>
                <c:pt idx="86">
                  <c:v>0.32131899396745978</c:v>
                </c:pt>
                <c:pt idx="87">
                  <c:v>0.32562884903169448</c:v>
                </c:pt>
                <c:pt idx="88">
                  <c:v>0.32995244007488167</c:v>
                </c:pt>
                <c:pt idx="89">
                  <c:v>0.33428978256731273</c:v>
                </c:pt>
                <c:pt idx="90">
                  <c:v>0.33864089216456283</c:v>
                </c:pt>
                <c:pt idx="91">
                  <c:v>0.34300578470791859</c:v>
                </c:pt>
                <c:pt idx="92">
                  <c:v>0.3473844762248115</c:v>
                </c:pt>
                <c:pt idx="93">
                  <c:v>0.35177698292925935</c:v>
                </c:pt>
                <c:pt idx="94">
                  <c:v>0.35618332122231178</c:v>
                </c:pt>
                <c:pt idx="95">
                  <c:v>0.3606035076925046</c:v>
                </c:pt>
                <c:pt idx="96">
                  <c:v>0.36503755911631885</c:v>
                </c:pt>
                <c:pt idx="97">
                  <c:v>0.36948549245864654</c:v>
                </c:pt>
                <c:pt idx="98">
                  <c:v>0.37394732487326332</c:v>
                </c:pt>
                <c:pt idx="99">
                  <c:v>0.3784230737033073</c:v>
                </c:pt>
                <c:pt idx="100">
                  <c:v>0.38291275648176498</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Calculations'!$U$9:$U$109</c:f>
              <c:numCache>
                <c:formatCode>0.000</c:formatCode>
                <c:ptCount val="101"/>
                <c:pt idx="0">
                  <c:v>0.40772410480065896</c:v>
                </c:pt>
                <c:pt idx="1">
                  <c:v>0.40779166639003145</c:v>
                </c:pt>
                <c:pt idx="2">
                  <c:v>0.40798580409065527</c:v>
                </c:pt>
                <c:pt idx="3">
                  <c:v>0.40830652932433364</c:v>
                </c:pt>
                <c:pt idx="4">
                  <c:v>0.40875386096218375</c:v>
                </c:pt>
                <c:pt idx="5">
                  <c:v>0.40932782532741263</c:v>
                </c:pt>
                <c:pt idx="6">
                  <c:v>0.41002845619918971</c:v>
                </c:pt>
                <c:pt idx="7">
                  <c:v>0.41085579481761864</c:v>
                </c:pt>
                <c:pt idx="8">
                  <c:v>0.41180988988980649</c:v>
                </c:pt>
                <c:pt idx="9">
                  <c:v>0.4128907975970349</c:v>
                </c:pt>
                <c:pt idx="10">
                  <c:v>0.41409858160303431</c:v>
                </c:pt>
                <c:pt idx="11">
                  <c:v>0.41543331306336267</c:v>
                </c:pt>
                <c:pt idx="12">
                  <c:v>0.41689507063589187</c:v>
                </c:pt>
                <c:pt idx="13">
                  <c:v>0.41848394049240573</c:v>
                </c:pt>
                <c:pt idx="14">
                  <c:v>0.4202000163313106</c:v>
                </c:pt>
                <c:pt idx="15">
                  <c:v>0.42204339939146407</c:v>
                </c:pt>
                <c:pt idx="16">
                  <c:v>0.42401419846712474</c:v>
                </c:pt>
                <c:pt idx="17">
                  <c:v>0.42611252992402648</c:v>
                </c:pt>
                <c:pt idx="18">
                  <c:v>0.4283385177165836</c:v>
                </c:pt>
                <c:pt idx="19">
                  <c:v>0.43069229340622966</c:v>
                </c:pt>
                <c:pt idx="20">
                  <c:v>0.43317399618089564</c:v>
                </c:pt>
                <c:pt idx="21">
                  <c:v>0.4357837728756338</c:v>
                </c:pt>
                <c:pt idx="22">
                  <c:v>0.43852177799439163</c:v>
                </c:pt>
                <c:pt idx="23">
                  <c:v>0.44138817373294248</c:v>
                </c:pt>
                <c:pt idx="24">
                  <c:v>0.4443831300029793</c:v>
                </c:pt>
                <c:pt idx="25">
                  <c:v>0.44750682445737855</c:v>
                </c:pt>
                <c:pt idx="26">
                  <c:v>0.45075944251664007</c:v>
                </c:pt>
                <c:pt idx="27">
                  <c:v>0.45414117739651183</c:v>
                </c:pt>
                <c:pt idx="28">
                  <c:v>0.45765223013680612</c:v>
                </c:pt>
                <c:pt idx="29">
                  <c:v>0.461292809631416</c:v>
                </c:pt>
                <c:pt idx="30">
                  <c:v>0.46506313265953969</c:v>
                </c:pt>
                <c:pt idx="31">
                  <c:v>0.4689634239181224</c:v>
                </c:pt>
                <c:pt idx="32">
                  <c:v>0.47299391605552404</c:v>
                </c:pt>
                <c:pt idx="33">
                  <c:v>0.47715484970642297</c:v>
                </c:pt>
                <c:pt idx="34">
                  <c:v>0.48144647352796482</c:v>
                </c:pt>
                <c:pt idx="35">
                  <c:v>0.48586904423716731</c:v>
                </c:pt>
                <c:pt idx="36">
                  <c:v>0.49042282664959119</c:v>
                </c:pt>
                <c:pt idx="37">
                  <c:v>0.49510809371928871</c:v>
                </c:pt>
                <c:pt idx="38">
                  <c:v>0.49992512658003968</c:v>
                </c:pt>
                <c:pt idx="39">
                  <c:v>0.50487421458788961</c:v>
                </c:pt>
                <c:pt idx="40">
                  <c:v>0.50995565536499798</c:v>
                </c:pt>
                <c:pt idx="41">
                  <c:v>0.51516975484481342</c:v>
                </c:pt>
                <c:pt idx="42">
                  <c:v>0.52051682731858573</c:v>
                </c:pt>
                <c:pt idx="43">
                  <c:v>0.52599719548322876</c:v>
                </c:pt>
                <c:pt idx="44">
                  <c:v>0.53161119049054939</c:v>
                </c:pt>
                <c:pt idx="45">
                  <c:v>0.53735915199785367</c:v>
                </c:pt>
                <c:pt idx="46">
                  <c:v>0.54324142821994925</c:v>
                </c:pt>
                <c:pt idx="47">
                  <c:v>0.54925837598255445</c:v>
                </c:pt>
                <c:pt idx="48">
                  <c:v>0.55541036077713091</c:v>
                </c:pt>
                <c:pt idx="49">
                  <c:v>0.56169775681715972</c:v>
                </c:pt>
                <c:pt idx="50">
                  <c:v>0.56812094709587013</c:v>
                </c:pt>
                <c:pt idx="51">
                  <c:v>0.57468032344544495</c:v>
                </c:pt>
                <c:pt idx="52">
                  <c:v>0.58137628659771323</c:v>
                </c:pt>
                <c:pt idx="53">
                  <c:v>0.58820924624635507</c:v>
                </c:pt>
                <c:pt idx="54">
                  <c:v>0.59517962111062994</c:v>
                </c:pt>
                <c:pt idx="55">
                  <c:v>0.60228783900065352</c:v>
                </c:pt>
                <c:pt idx="56">
                  <c:v>0.60953433688423697</c:v>
                </c:pt>
                <c:pt idx="57">
                  <c:v>0.61691956095531308</c:v>
                </c:pt>
                <c:pt idx="58">
                  <c:v>0.62444396670396518</c:v>
                </c:pt>
                <c:pt idx="59">
                  <c:v>0.63210801898808477</c:v>
                </c:pt>
                <c:pt idx="60">
                  <c:v>0.63991219210667405</c:v>
                </c:pt>
                <c:pt idx="61">
                  <c:v>0.64785696987482022</c:v>
                </c:pt>
                <c:pt idx="62">
                  <c:v>0.65594284570035954</c:v>
                </c:pt>
                <c:pt idx="63">
                  <c:v>0.66417032266225839</c:v>
                </c:pt>
                <c:pt idx="64">
                  <c:v>0.6725399135907324</c:v>
                </c:pt>
                <c:pt idx="65">
                  <c:v>0.68105214114912915</c:v>
                </c:pt>
                <c:pt idx="66">
                  <c:v>0.6897075379175982</c:v>
                </c:pt>
                <c:pt idx="67">
                  <c:v>0.69850664647857696</c:v>
                </c:pt>
                <c:pt idx="68">
                  <c:v>0.70745001950411468</c:v>
                </c:pt>
                <c:pt idx="69">
                  <c:v>0.7165382198450635</c:v>
                </c:pt>
                <c:pt idx="70">
                  <c:v>0.72577182062216594</c:v>
                </c:pt>
                <c:pt idx="71">
                  <c:v>0.73515140531906276</c:v>
                </c:pt>
                <c:pt idx="72">
                  <c:v>0.74467756787725359</c:v>
                </c:pt>
                <c:pt idx="73">
                  <c:v>0.75435091279303956</c:v>
                </c:pt>
                <c:pt idx="74">
                  <c:v>0.76417205521647602</c:v>
                </c:pt>
                <c:pt idx="75">
                  <c:v>0.77414162105236894</c:v>
                </c:pt>
                <c:pt idx="76">
                  <c:v>0.78426024706334718</c:v>
                </c:pt>
                <c:pt idx="77">
                  <c:v>0.79452858097503909</c:v>
                </c:pt>
                <c:pt idx="78">
                  <c:v>0.80494728158339246</c:v>
                </c:pt>
                <c:pt idx="79">
                  <c:v>0.81551701886417005</c:v>
                </c:pt>
                <c:pt idx="80">
                  <c:v>0.82623847408465079</c:v>
                </c:pt>
                <c:pt idx="81">
                  <c:v>0.83711233991758272</c:v>
                </c:pt>
                <c:pt idx="82">
                  <c:v>0.8481393205574147</c:v>
                </c:pt>
                <c:pt idx="83">
                  <c:v>0.8593201318388507</c:v>
                </c:pt>
                <c:pt idx="84">
                  <c:v>0.87065550135776126</c:v>
                </c:pt>
                <c:pt idx="85">
                  <c:v>0.88214616859449535</c:v>
                </c:pt>
                <c:pt idx="86">
                  <c:v>0.89379288503963061</c:v>
                </c:pt>
                <c:pt idx="87">
                  <c:v>0.90559641432220306</c:v>
                </c:pt>
                <c:pt idx="88">
                  <c:v>0.91755753234046111</c:v>
                </c:pt>
                <c:pt idx="89">
                  <c:v>0.92967702739518432</c:v>
                </c:pt>
                <c:pt idx="90">
                  <c:v>0.94195570032561426</c:v>
                </c:pt>
                <c:pt idx="91">
                  <c:v>0.9543943646480415</c:v>
                </c:pt>
                <c:pt idx="92">
                  <c:v>0.9669938466970931</c:v>
                </c:pt>
                <c:pt idx="93">
                  <c:v>0.97975498576977404</c:v>
                </c:pt>
                <c:pt idx="94">
                  <c:v>0.99267863427230596</c:v>
                </c:pt>
                <c:pt idx="95">
                  <c:v>1.0057656578698169</c:v>
                </c:pt>
                <c:pt idx="96">
                  <c:v>1.0190169356389289</c:v>
                </c:pt>
                <c:pt idx="97">
                  <c:v>1.0324333602233031</c:v>
                </c:pt>
                <c:pt idx="98">
                  <c:v>1.046015837992188</c:v>
                </c:pt>
                <c:pt idx="99">
                  <c:v>1.0597652892020306</c:v>
                </c:pt>
                <c:pt idx="100">
                  <c:v>1.0736826481612083</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Calculations'!$AV$9:$AV$109</c:f>
              <c:numCache>
                <c:formatCode>0.0%</c:formatCode>
                <c:ptCount val="101"/>
                <c:pt idx="0">
                  <c:v>0</c:v>
                </c:pt>
                <c:pt idx="1">
                  <c:v>0.22791290630093425</c:v>
                </c:pt>
                <c:pt idx="2">
                  <c:v>0.36832706708176782</c:v>
                </c:pt>
                <c:pt idx="3">
                  <c:v>0.46346058036512372</c:v>
                </c:pt>
                <c:pt idx="4">
                  <c:v>0.53213436343961307</c:v>
                </c:pt>
                <c:pt idx="5">
                  <c:v>0.58146168307143398</c:v>
                </c:pt>
                <c:pt idx="6">
                  <c:v>0.61201915398222617</c:v>
                </c:pt>
                <c:pt idx="7">
                  <c:v>0.63594706663651512</c:v>
                </c:pt>
                <c:pt idx="8">
                  <c:v>0.6552118133364615</c:v>
                </c:pt>
                <c:pt idx="9">
                  <c:v>0.67107209023376624</c:v>
                </c:pt>
                <c:pt idx="10">
                  <c:v>0.68437098748812009</c:v>
                </c:pt>
                <c:pt idx="11">
                  <c:v>0.69569444400089275</c:v>
                </c:pt>
                <c:pt idx="12">
                  <c:v>0.70546234312784284</c:v>
                </c:pt>
                <c:pt idx="13">
                  <c:v>0.71398344577220041</c:v>
                </c:pt>
                <c:pt idx="14">
                  <c:v>0.72148986974051477</c:v>
                </c:pt>
                <c:pt idx="15">
                  <c:v>0.72815948121853658</c:v>
                </c:pt>
                <c:pt idx="16">
                  <c:v>0.73413086953596096</c:v>
                </c:pt>
                <c:pt idx="17">
                  <c:v>0.73951362134659371</c:v>
                </c:pt>
                <c:pt idx="18">
                  <c:v>0.74439553007603276</c:v>
                </c:pt>
                <c:pt idx="19">
                  <c:v>0.74884775668203574</c:v>
                </c:pt>
                <c:pt idx="20">
                  <c:v>0.75576604203076192</c:v>
                </c:pt>
                <c:pt idx="21">
                  <c:v>0.7630048681610716</c:v>
                </c:pt>
                <c:pt idx="22">
                  <c:v>0.76968592225796795</c:v>
                </c:pt>
                <c:pt idx="23">
                  <c:v>0.7758685062772176</c:v>
                </c:pt>
                <c:pt idx="24">
                  <c:v>0.7816038028706237</c:v>
                </c:pt>
                <c:pt idx="25">
                  <c:v>0.78693621880678677</c:v>
                </c:pt>
                <c:pt idx="26">
                  <c:v>0.79190447019699572</c:v>
                </c:pt>
                <c:pt idx="27">
                  <c:v>0.79654246562284714</c:v>
                </c:pt>
                <c:pt idx="28">
                  <c:v>0.80088002975259165</c:v>
                </c:pt>
                <c:pt idx="29">
                  <c:v>0.80494350007679394</c:v>
                </c:pt>
                <c:pt idx="30">
                  <c:v>0.80875622198180741</c:v>
                </c:pt>
                <c:pt idx="31">
                  <c:v>0.81233896180930543</c:v>
                </c:pt>
                <c:pt idx="32">
                  <c:v>0.81571025332681224</c:v>
                </c:pt>
                <c:pt idx="33">
                  <c:v>0.81888668980541401</c:v>
                </c:pt>
                <c:pt idx="34">
                  <c:v>0.82188317141299772</c:v>
                </c:pt>
                <c:pt idx="35">
                  <c:v>0.8247131157002674</c:v>
                </c:pt>
                <c:pt idx="36">
                  <c:v>0.82738863744732416</c:v>
                </c:pt>
                <c:pt idx="37">
                  <c:v>0.82992070295091724</c:v>
                </c:pt>
                <c:pt idx="38">
                  <c:v>0.83231926289212987</c:v>
                </c:pt>
                <c:pt idx="39">
                  <c:v>0.83459336717529164</c:v>
                </c:pt>
                <c:pt idx="40">
                  <c:v>0.83675126452903037</c:v>
                </c:pt>
                <c:pt idx="41">
                  <c:v>0.83880048917728611</c:v>
                </c:pt>
                <c:pt idx="42">
                  <c:v>0.84074793649711954</c:v>
                </c:pt>
                <c:pt idx="43">
                  <c:v>0.84259992926211724</c:v>
                </c:pt>
                <c:pt idx="44">
                  <c:v>0.84436227581032985</c:v>
                </c:pt>
                <c:pt idx="45">
                  <c:v>0.84604032126238493</c:v>
                </c:pt>
                <c:pt idx="46">
                  <c:v>0.84763899273959464</c:v>
                </c:pt>
                <c:pt idx="47">
                  <c:v>0.84916283938636861</c:v>
                </c:pt>
                <c:pt idx="48">
                  <c:v>0.85061606788033428</c:v>
                </c:pt>
                <c:pt idx="49">
                  <c:v>0.85200257401273038</c:v>
                </c:pt>
                <c:pt idx="50">
                  <c:v>0.85332597083723793</c:v>
                </c:pt>
                <c:pt idx="51">
                  <c:v>0.85458961381452692</c:v>
                </c:pt>
                <c:pt idx="52">
                  <c:v>0.85579662332005124</c:v>
                </c:pt>
                <c:pt idx="53">
                  <c:v>0.85694990483212719</c:v>
                </c:pt>
                <c:pt idx="54">
                  <c:v>0.85805216707449727</c:v>
                </c:pt>
                <c:pt idx="55">
                  <c:v>0.85910593835115545</c:v>
                </c:pt>
                <c:pt idx="56">
                  <c:v>0.86011358128013726</c:v>
                </c:pt>
                <c:pt idx="57">
                  <c:v>0.86107730610640232</c:v>
                </c:pt>
                <c:pt idx="58">
                  <c:v>0.86199918275113785</c:v>
                </c:pt>
                <c:pt idx="59">
                  <c:v>0.8628811517352184</c:v>
                </c:pt>
                <c:pt idx="60">
                  <c:v>0.86372503409765933</c:v>
                </c:pt>
                <c:pt idx="61">
                  <c:v>0.8645325404152997</c:v>
                </c:pt>
                <c:pt idx="62">
                  <c:v>0.86530527901731391</c:v>
                </c:pt>
                <c:pt idx="63">
                  <c:v>0.86604476347716874</c:v>
                </c:pt>
                <c:pt idx="64">
                  <c:v>0.86675241945509585</c:v>
                </c:pt>
                <c:pt idx="65">
                  <c:v>0.86742959095582572</c:v>
                </c:pt>
                <c:pt idx="66">
                  <c:v>0.86807754605905763</c:v>
                </c:pt>
                <c:pt idx="67">
                  <c:v>0.86869748217376686</c:v>
                </c:pt>
                <c:pt idx="68">
                  <c:v>0.8692905308618758</c:v>
                </c:pt>
                <c:pt idx="69">
                  <c:v>0.86985776227190292</c:v>
                </c:pt>
                <c:pt idx="70">
                  <c:v>0.87040018921888385</c:v>
                </c:pt>
                <c:pt idx="71">
                  <c:v>0.87091877094305137</c:v>
                </c:pt>
                <c:pt idx="72">
                  <c:v>0.87141441657639518</c:v>
                </c:pt>
                <c:pt idx="73">
                  <c:v>0.87188798834324288</c:v>
                </c:pt>
                <c:pt idx="74">
                  <c:v>0.87234030451836364</c:v>
                </c:pt>
                <c:pt idx="75">
                  <c:v>0.87277214216375321</c:v>
                </c:pt>
                <c:pt idx="76">
                  <c:v>0.87318423966317471</c:v>
                </c:pt>
                <c:pt idx="77">
                  <c:v>0.87357729907167236</c:v>
                </c:pt>
                <c:pt idx="78">
                  <c:v>0.87395198829562171</c:v>
                </c:pt>
                <c:pt idx="79">
                  <c:v>0.8743089431173996</c:v>
                </c:pt>
                <c:pt idx="80">
                  <c:v>0.87464876907744027</c:v>
                </c:pt>
                <c:pt idx="81">
                  <c:v>0.87497204322524846</c:v>
                </c:pt>
                <c:pt idx="82">
                  <c:v>0.87527931574989282</c:v>
                </c:pt>
                <c:pt idx="83">
                  <c:v>0.87557111149953804</c:v>
                </c:pt>
                <c:pt idx="84">
                  <c:v>0.87584793139872186</c:v>
                </c:pt>
                <c:pt idx="85">
                  <c:v>0.87611025377130936</c:v>
                </c:pt>
                <c:pt idx="86">
                  <c:v>0.87635853557636245</c:v>
                </c:pt>
                <c:pt idx="87">
                  <c:v>0.8765932135635347</c:v>
                </c:pt>
                <c:pt idx="88">
                  <c:v>0.87681470535403128</c:v>
                </c:pt>
                <c:pt idx="89">
                  <c:v>0.8770234104526663</c:v>
                </c:pt>
                <c:pt idx="90">
                  <c:v>0.877219711196079</c:v>
                </c:pt>
                <c:pt idx="91">
                  <c:v>0.87740397364175526</c:v>
                </c:pt>
                <c:pt idx="92">
                  <c:v>0.87757654840211297</c:v>
                </c:pt>
                <c:pt idx="93">
                  <c:v>0.87773777142756748</c:v>
                </c:pt>
                <c:pt idx="94">
                  <c:v>0.87788796474217479</c:v>
                </c:pt>
                <c:pt idx="95">
                  <c:v>0.8780274371351644</c:v>
                </c:pt>
                <c:pt idx="96">
                  <c:v>0.87815648481141062</c:v>
                </c:pt>
                <c:pt idx="97">
                  <c:v>0.87827539200365312</c:v>
                </c:pt>
                <c:pt idx="98">
                  <c:v>0.87838443154906154</c:v>
                </c:pt>
                <c:pt idx="99">
                  <c:v>0.87848386543253587</c:v>
                </c:pt>
                <c:pt idx="100">
                  <c:v>0.87857394529895483</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Calculations'!$AZ$9:$AZ$109</c:f>
              <c:numCache>
                <c:formatCode>0.00</c:formatCode>
                <c:ptCount val="101"/>
                <c:pt idx="0">
                  <c:v>0</c:v>
                </c:pt>
                <c:pt idx="1">
                  <c:v>13.06165801726806</c:v>
                </c:pt>
                <c:pt idx="2">
                  <c:v>22.935191624103251</c:v>
                </c:pt>
                <c:pt idx="3">
                  <c:v>30.657103172240074</c:v>
                </c:pt>
                <c:pt idx="4">
                  <c:v>36.858524439849305</c:v>
                </c:pt>
                <c:pt idx="5">
                  <c:v>41.945738948102004</c:v>
                </c:pt>
                <c:pt idx="6">
                  <c:v>45.558638936697079</c:v>
                </c:pt>
                <c:pt idx="7">
                  <c:v>48.345964380706071</c:v>
                </c:pt>
                <c:pt idx="8">
                  <c:v>50.675729885534047</c:v>
                </c:pt>
                <c:pt idx="9">
                  <c:v>52.653543782263633</c:v>
                </c:pt>
                <c:pt idx="10">
                  <c:v>54.354837126270148</c:v>
                </c:pt>
                <c:pt idx="11">
                  <c:v>55.834923827426067</c:v>
                </c:pt>
                <c:pt idx="12">
                  <c:v>57.135287866138249</c:v>
                </c:pt>
                <c:pt idx="13">
                  <c:v>58.287651289697997</c:v>
                </c:pt>
                <c:pt idx="14">
                  <c:v>59.316686093106284</c:v>
                </c:pt>
                <c:pt idx="15">
                  <c:v>60.241869646624238</c:v>
                </c:pt>
                <c:pt idx="16">
                  <c:v>61.078783451915776</c:v>
                </c:pt>
                <c:pt idx="17">
                  <c:v>61.840040797608289</c:v>
                </c:pt>
                <c:pt idx="18">
                  <c:v>62.535961400043952</c:v>
                </c:pt>
                <c:pt idx="19">
                  <c:v>63.175070038916381</c:v>
                </c:pt>
                <c:pt idx="20">
                  <c:v>63.851228954328711</c:v>
                </c:pt>
                <c:pt idx="21">
                  <c:v>64.787038937075721</c:v>
                </c:pt>
                <c:pt idx="22">
                  <c:v>65.659495809038347</c:v>
                </c:pt>
                <c:pt idx="23">
                  <c:v>66.474504537862373</c:v>
                </c:pt>
                <c:pt idx="24">
                  <c:v>67.237258527111877</c:v>
                </c:pt>
                <c:pt idx="25">
                  <c:v>67.95234364495083</c:v>
                </c:pt>
                <c:pt idx="26">
                  <c:v>68.623824520889158</c:v>
                </c:pt>
                <c:pt idx="27">
                  <c:v>69.255316539374604</c:v>
                </c:pt>
                <c:pt idx="28">
                  <c:v>69.850046221649166</c:v>
                </c:pt>
                <c:pt idx="29">
                  <c:v>70.410902123647901</c:v>
                </c:pt>
                <c:pt idx="30">
                  <c:v>70.940477943483074</c:v>
                </c:pt>
                <c:pt idx="31">
                  <c:v>71.441109195037058</c:v>
                </c:pt>
                <c:pt idx="32">
                  <c:v>71.914904540788243</c:v>
                </c:pt>
                <c:pt idx="33">
                  <c:v>72.363772669768764</c:v>
                </c:pt>
                <c:pt idx="34">
                  <c:v>72.789445442499627</c:v>
                </c:pt>
                <c:pt idx="35">
                  <c:v>73.19349789409965</c:v>
                </c:pt>
                <c:pt idx="36">
                  <c:v>73.577365582128721</c:v>
                </c:pt>
                <c:pt idx="37">
                  <c:v>73.9423596814744</c:v>
                </c:pt>
                <c:pt idx="38">
                  <c:v>74.289680160403194</c:v>
                </c:pt>
                <c:pt idx="39">
                  <c:v>74.620427316442772</c:v>
                </c:pt>
                <c:pt idx="40">
                  <c:v>74.935611905450401</c:v>
                </c:pt>
                <c:pt idx="41">
                  <c:v>75.236164060034568</c:v>
                </c:pt>
                <c:pt idx="42">
                  <c:v>75.522941162846806</c:v>
                </c:pt>
                <c:pt idx="43">
                  <c:v>75.796734814893512</c:v>
                </c:pt>
                <c:pt idx="44">
                  <c:v>76.058277017943269</c:v>
                </c:pt>
                <c:pt idx="45">
                  <c:v>76.30824567252921</c:v>
                </c:pt>
                <c:pt idx="46">
                  <c:v>76.547269478336062</c:v>
                </c:pt>
                <c:pt idx="47">
                  <c:v>76.775932311407558</c:v>
                </c:pt>
                <c:pt idx="48">
                  <c:v>76.994777142198728</c:v>
                </c:pt>
                <c:pt idx="49">
                  <c:v>77.204309549697797</c:v>
                </c:pt>
                <c:pt idx="50">
                  <c:v>77.405000879379145</c:v>
                </c:pt>
                <c:pt idx="51">
                  <c:v>77.597291086402009</c:v>
                </c:pt>
                <c:pt idx="52">
                  <c:v>77.781591300055823</c:v>
                </c:pt>
                <c:pt idx="53">
                  <c:v>77.958286140822992</c:v>
                </c:pt>
                <c:pt idx="54">
                  <c:v>78.127735817458856</c:v>
                </c:pt>
                <c:pt idx="55">
                  <c:v>78.290278028074098</c:v>
                </c:pt>
                <c:pt idx="56">
                  <c:v>78.446229686262342</c:v>
                </c:pt>
                <c:pt idx="57">
                  <c:v>78.595888490772253</c:v>
                </c:pt>
                <c:pt idx="58">
                  <c:v>78.739534355021647</c:v>
                </c:pt>
                <c:pt idx="59">
                  <c:v>78.877430710839107</c:v>
                </c:pt>
                <c:pt idx="60">
                  <c:v>79.009825699155556</c:v>
                </c:pt>
                <c:pt idx="61">
                  <c:v>79.13695325891851</c:v>
                </c:pt>
                <c:pt idx="62">
                  <c:v>79.259034124235185</c:v>
                </c:pt>
                <c:pt idx="63">
                  <c:v>79.376276738641565</c:v>
                </c:pt>
                <c:pt idx="64">
                  <c:v>79.48887809442283</c:v>
                </c:pt>
                <c:pt idx="65">
                  <c:v>79.597024504055227</c:v>
                </c:pt>
                <c:pt idx="66">
                  <c:v>79.700892310088065</c:v>
                </c:pt>
                <c:pt idx="67">
                  <c:v>79.800648539120843</c:v>
                </c:pt>
                <c:pt idx="68">
                  <c:v>79.896451504944366</c:v>
                </c:pt>
                <c:pt idx="69">
                  <c:v>79.98845136539623</c:v>
                </c:pt>
                <c:pt idx="70">
                  <c:v>80.076790637021915</c:v>
                </c:pt>
                <c:pt idx="71">
                  <c:v>80.161604671223657</c:v>
                </c:pt>
                <c:pt idx="72">
                  <c:v>80.243022095217327</c:v>
                </c:pt>
                <c:pt idx="73">
                  <c:v>80.321165220794157</c:v>
                </c:pt>
                <c:pt idx="74">
                  <c:v>80.396150423595742</c:v>
                </c:pt>
                <c:pt idx="75">
                  <c:v>80.468088495353769</c:v>
                </c:pt>
                <c:pt idx="76">
                  <c:v>80.537084971315636</c:v>
                </c:pt>
                <c:pt idx="77">
                  <c:v>80.603240434870699</c:v>
                </c:pt>
                <c:pt idx="78">
                  <c:v>80.666650801207624</c:v>
                </c:pt>
                <c:pt idx="79">
                  <c:v>80.727407581666569</c:v>
                </c:pt>
                <c:pt idx="80">
                  <c:v>80.785598130301494</c:v>
                </c:pt>
                <c:pt idx="81">
                  <c:v>80.841305874032741</c:v>
                </c:pt>
                <c:pt idx="82">
                  <c:v>80.894610527649462</c:v>
                </c:pt>
                <c:pt idx="83">
                  <c:v>80.945588294812126</c:v>
                </c:pt>
                <c:pt idx="84">
                  <c:v>80.994312056106253</c:v>
                </c:pt>
                <c:pt idx="85">
                  <c:v>81.040851545109788</c:v>
                </c:pt>
                <c:pt idx="86">
                  <c:v>81.085273513355077</c:v>
                </c:pt>
                <c:pt idx="87">
                  <c:v>81.127641884993736</c:v>
                </c:pt>
                <c:pt idx="88">
                  <c:v>81.168017901905557</c:v>
                </c:pt>
                <c:pt idx="89">
                  <c:v>81.206460259932882</c:v>
                </c:pt>
                <c:pt idx="90">
                  <c:v>81.243025236866089</c:v>
                </c:pt>
                <c:pt idx="91">
                  <c:v>81.277766812756951</c:v>
                </c:pt>
                <c:pt idx="92">
                  <c:v>81.310736783089865</c:v>
                </c:pt>
                <c:pt idx="93">
                  <c:v>81.341984865300461</c:v>
                </c:pt>
                <c:pt idx="94">
                  <c:v>81.37155879909244</c:v>
                </c:pt>
                <c:pt idx="95">
                  <c:v>81.399504440969324</c:v>
                </c:pt>
                <c:pt idx="96">
                  <c:v>81.425865853365849</c:v>
                </c:pt>
                <c:pt idx="97">
                  <c:v>81.450685388734982</c:v>
                </c:pt>
                <c:pt idx="98">
                  <c:v>81.474003768919445</c:v>
                </c:pt>
                <c:pt idx="99">
                  <c:v>81.495860160113381</c:v>
                </c:pt>
                <c:pt idx="100">
                  <c:v>81.516292243696</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Calculations'!$BC$9:$BC$109</c:f>
              <c:numCache>
                <c:formatCode>0.000</c:formatCode>
                <c:ptCount val="101"/>
                <c:pt idx="0">
                  <c:v>6.5443849219276821E-3</c:v>
                </c:pt>
                <c:pt idx="1">
                  <c:v>1.328694624464697E-2</c:v>
                </c:pt>
                <c:pt idx="2">
                  <c:v>2.0037443674580699E-2</c:v>
                </c:pt>
                <c:pt idx="3">
                  <c:v>2.6795897292278631E-2</c:v>
                </c:pt>
                <c:pt idx="4">
                  <c:v>3.35623272570282E-2</c:v>
                </c:pt>
                <c:pt idx="5">
                  <c:v>4.0336753807303581E-2</c:v>
                </c:pt>
                <c:pt idx="6">
                  <c:v>7.6920340256555003E-2</c:v>
                </c:pt>
                <c:pt idx="7">
                  <c:v>0.12312252215619904</c:v>
                </c:pt>
                <c:pt idx="8">
                  <c:v>0.16889217635350964</c:v>
                </c:pt>
                <c:pt idx="9">
                  <c:v>0.21422946482310321</c:v>
                </c:pt>
                <c:pt idx="10">
                  <c:v>0.25913454641684747</c:v>
                </c:pt>
                <c:pt idx="11">
                  <c:v>0.30360757685611278</c:v>
                </c:pt>
                <c:pt idx="12">
                  <c:v>0.34764870872396458</c:v>
                </c:pt>
                <c:pt idx="13">
                  <c:v>0.39125809145730245</c:v>
                </c:pt>
                <c:pt idx="14">
                  <c:v>0.4344358713389363</c:v>
                </c:pt>
                <c:pt idx="15">
                  <c:v>0.47718219148961011</c:v>
                </c:pt>
                <c:pt idx="16">
                  <c:v>0.51949719185996168</c:v>
                </c:pt>
                <c:pt idx="17">
                  <c:v>0.56138100922242706</c:v>
                </c:pt>
                <c:pt idx="18">
                  <c:v>0.60283377716308495</c:v>
                </c:pt>
                <c:pt idx="19">
                  <c:v>0.64385562607343694</c:v>
                </c:pt>
                <c:pt idx="20">
                  <c:v>0.67734943698635863</c:v>
                </c:pt>
                <c:pt idx="21">
                  <c:v>0.68457476759788538</c:v>
                </c:pt>
                <c:pt idx="22">
                  <c:v>0.69180920614078367</c:v>
                </c:pt>
                <c:pt idx="23">
                  <c:v>0.69905277695204804</c:v>
                </c:pt>
                <c:pt idx="24">
                  <c:v>0.70630550446634288</c:v>
                </c:pt>
                <c:pt idx="25">
                  <c:v>0.7135674132165577</c:v>
                </c:pt>
                <c:pt idx="26">
                  <c:v>0.72083852783437008</c:v>
                </c:pt>
                <c:pt idx="27">
                  <c:v>0.72811887305080758</c:v>
                </c:pt>
                <c:pt idx="28">
                  <c:v>0.73540847369681539</c:v>
                </c:pt>
                <c:pt idx="29">
                  <c:v>0.74270735470382743</c:v>
                </c:pt>
                <c:pt idx="30">
                  <c:v>0.75001554110433899</c:v>
                </c:pt>
                <c:pt idx="31">
                  <c:v>0.75733305803248419</c:v>
                </c:pt>
                <c:pt idx="32">
                  <c:v>0.76465993072461658</c:v>
                </c:pt>
                <c:pt idx="33">
                  <c:v>0.77199618451989327</c:v>
                </c:pt>
                <c:pt idx="34">
                  <c:v>0.77934184486086178</c:v>
                </c:pt>
                <c:pt idx="35">
                  <c:v>0.78669693729405066</c:v>
                </c:pt>
                <c:pt idx="36">
                  <c:v>0.7940614874705646</c:v>
                </c:pt>
                <c:pt idx="37">
                  <c:v>0.80143552114668093</c:v>
                </c:pt>
                <c:pt idx="38">
                  <c:v>0.8088190641844526</c:v>
                </c:pt>
                <c:pt idx="39">
                  <c:v>0.816212142552312</c:v>
                </c:pt>
                <c:pt idx="40">
                  <c:v>0.82361478232567931</c:v>
                </c:pt>
                <c:pt idx="41">
                  <c:v>0.83102700968757581</c:v>
                </c:pt>
                <c:pt idx="42">
                  <c:v>0.83844885092923849</c:v>
                </c:pt>
                <c:pt idx="43">
                  <c:v>0.84588033245074001</c:v>
                </c:pt>
                <c:pt idx="44">
                  <c:v>0.85332148076161207</c:v>
                </c:pt>
                <c:pt idx="45">
                  <c:v>0.86077232248147229</c:v>
                </c:pt>
                <c:pt idx="46">
                  <c:v>0.86823288434065471</c:v>
                </c:pt>
                <c:pt idx="47">
                  <c:v>0.87570319318084477</c:v>
                </c:pt>
                <c:pt idx="48">
                  <c:v>0.88318327595571677</c:v>
                </c:pt>
                <c:pt idx="49">
                  <c:v>0.89067315973157768</c:v>
                </c:pt>
                <c:pt idx="50">
                  <c:v>0.8981728716880113</c:v>
                </c:pt>
                <c:pt idx="51">
                  <c:v>0.90568243911853008</c:v>
                </c:pt>
                <c:pt idx="52">
                  <c:v>0.91320188943122749</c:v>
                </c:pt>
                <c:pt idx="53">
                  <c:v>0.92073125014943735</c:v>
                </c:pt>
                <c:pt idx="54">
                  <c:v>0.9282705489123958</c:v>
                </c:pt>
                <c:pt idx="55">
                  <c:v>0.93581981347590548</c:v>
                </c:pt>
                <c:pt idx="56">
                  <c:v>0.94337907171300772</c:v>
                </c:pt>
                <c:pt idx="57">
                  <c:v>0.95094835161465596</c:v>
                </c:pt>
                <c:pt idx="58">
                  <c:v>0.95852768129039378</c:v>
                </c:pt>
                <c:pt idx="59">
                  <c:v>0.96611708896903814</c:v>
                </c:pt>
                <c:pt idx="60">
                  <c:v>0.97371660299936491</c:v>
                </c:pt>
                <c:pt idx="61">
                  <c:v>0.9813262518508018</c:v>
                </c:pt>
                <c:pt idx="62">
                  <c:v>0.98894606411412145</c:v>
                </c:pt>
                <c:pt idx="63">
                  <c:v>0.99657606850214187</c:v>
                </c:pt>
                <c:pt idx="64">
                  <c:v>1.0042162938504315</c:v>
                </c:pt>
                <c:pt idx="65">
                  <c:v>1.0118667691180143</c:v>
                </c:pt>
                <c:pt idx="66">
                  <c:v>1.0195275233880865</c:v>
                </c:pt>
                <c:pt idx="67">
                  <c:v>1.0271985858687305</c:v>
                </c:pt>
                <c:pt idx="68">
                  <c:v>1.0348799858936368</c:v>
                </c:pt>
                <c:pt idx="69">
                  <c:v>1.0425717529228327</c:v>
                </c:pt>
                <c:pt idx="70">
                  <c:v>1.050273916543409</c:v>
                </c:pt>
                <c:pt idx="71">
                  <c:v>1.0579865064702578</c:v>
                </c:pt>
                <c:pt idx="72">
                  <c:v>1.0657095525468132</c:v>
                </c:pt>
                <c:pt idx="73">
                  <c:v>1.0734430847457916</c:v>
                </c:pt>
                <c:pt idx="74">
                  <c:v>1.0811871331699459</c:v>
                </c:pt>
                <c:pt idx="75">
                  <c:v>1.0889417280528153</c:v>
                </c:pt>
                <c:pt idx="76">
                  <c:v>1.0967068997594869</c:v>
                </c:pt>
                <c:pt idx="77">
                  <c:v>1.1044826787873572</c:v>
                </c:pt>
                <c:pt idx="78">
                  <c:v>1.112269095766901</c:v>
                </c:pt>
                <c:pt idx="79">
                  <c:v>1.1200661814624455</c:v>
                </c:pt>
                <c:pt idx="80">
                  <c:v>1.1278739667729467</c:v>
                </c:pt>
                <c:pt idx="81">
                  <c:v>1.1356924827327739</c:v>
                </c:pt>
                <c:pt idx="82">
                  <c:v>1.1435217605124968</c:v>
                </c:pt>
                <c:pt idx="83">
                  <c:v>1.151361831419679</c:v>
                </c:pt>
                <c:pt idx="84">
                  <c:v>1.1592127268996761</c:v>
                </c:pt>
                <c:pt idx="85">
                  <c:v>1.1670744785364393</c:v>
                </c:pt>
                <c:pt idx="86">
                  <c:v>1.1749471180533233</c:v>
                </c:pt>
                <c:pt idx="87">
                  <c:v>1.1828306773138999</c:v>
                </c:pt>
                <c:pt idx="88">
                  <c:v>1.1907251883227776</c:v>
                </c:pt>
                <c:pt idx="89">
                  <c:v>1.1986306832264249</c:v>
                </c:pt>
                <c:pt idx="90">
                  <c:v>1.2065471943139996</c:v>
                </c:pt>
                <c:pt idx="91">
                  <c:v>1.2144747540181855</c:v>
                </c:pt>
                <c:pt idx="92">
                  <c:v>1.2224133949160303</c:v>
                </c:pt>
                <c:pt idx="93">
                  <c:v>1.2303631497297929</c:v>
                </c:pt>
                <c:pt idx="94">
                  <c:v>1.2383240513277933</c:v>
                </c:pt>
                <c:pt idx="95">
                  <c:v>1.2462961327252706</c:v>
                </c:pt>
                <c:pt idx="96">
                  <c:v>1.2542794270852451</c:v>
                </c:pt>
                <c:pt idx="97">
                  <c:v>1.262273967719385</c:v>
                </c:pt>
                <c:pt idx="98">
                  <c:v>1.2702797880888823</c:v>
                </c:pt>
                <c:pt idx="99">
                  <c:v>1.2782969218053295</c:v>
                </c:pt>
                <c:pt idx="100">
                  <c:v>1.2863254026316069</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Calculations'!$BA$9:$BA$109</c:f>
              <c:numCache>
                <c:formatCode>0.000</c:formatCode>
                <c:ptCount val="101"/>
                <c:pt idx="0">
                  <c:v>0.65842685604199169</c:v>
                </c:pt>
                <c:pt idx="1">
                  <c:v>0.65850070785317727</c:v>
                </c:pt>
                <c:pt idx="2">
                  <c:v>0.65870623545861295</c:v>
                </c:pt>
                <c:pt idx="3">
                  <c:v>0.65904345119628105</c:v>
                </c:pt>
                <c:pt idx="4">
                  <c:v>0.65951237531231055</c:v>
                </c:pt>
                <c:pt idx="5">
                  <c:v>0.6601130359640186</c:v>
                </c:pt>
                <c:pt idx="6">
                  <c:v>0.66084546922413601</c:v>
                </c:pt>
                <c:pt idx="7">
                  <c:v>0.66170971908622578</c:v>
                </c:pt>
                <c:pt idx="8">
                  <c:v>0.66270583747129019</c:v>
                </c:pt>
                <c:pt idx="9">
                  <c:v>0.66383388423557199</c:v>
                </c:pt>
                <c:pt idx="10">
                  <c:v>0.66509392717954974</c:v>
                </c:pt>
                <c:pt idx="11">
                  <c:v>0.66648604205813122</c:v>
                </c:pt>
                <c:pt idx="12">
                  <c:v>0.66801031259204713</c:v>
                </c:pt>
                <c:pt idx="13">
                  <c:v>0.66966683048044795</c:v>
                </c:pt>
                <c:pt idx="14">
                  <c:v>0.67145569541470829</c:v>
                </c:pt>
                <c:pt idx="15">
                  <c:v>0.67337701509344239</c:v>
                </c:pt>
                <c:pt idx="16">
                  <c:v>0.67543090523873417</c:v>
                </c:pt>
                <c:pt idx="17">
                  <c:v>0.67761748961358759</c:v>
                </c:pt>
                <c:pt idx="18">
                  <c:v>0.67993690004060214</c:v>
                </c:pt>
                <c:pt idx="19">
                  <c:v>0.68238927642187686</c:v>
                </c:pt>
                <c:pt idx="20">
                  <c:v>0.68497476676015145</c:v>
                </c:pt>
                <c:pt idx="21">
                  <c:v>0.6876935271811887</c:v>
                </c:pt>
                <c:pt idx="22">
                  <c:v>0.6905457219574036</c:v>
                </c:pt>
                <c:pt idx="23">
                  <c:v>0.69353152353274827</c:v>
                </c:pt>
                <c:pt idx="24">
                  <c:v>0.69665111254885903</c:v>
                </c:pt>
                <c:pt idx="25">
                  <c:v>0.69990467787247046</c:v>
                </c:pt>
                <c:pt idx="26">
                  <c:v>0.70329241662410857</c:v>
                </c:pt>
                <c:pt idx="27">
                  <c:v>0.70681453420806772</c:v>
                </c:pt>
                <c:pt idx="28">
                  <c:v>0.71047124434368114</c:v>
                </c:pt>
                <c:pt idx="29">
                  <c:v>0.7142627690978951</c:v>
                </c:pt>
                <c:pt idx="30">
                  <c:v>0.71818933891915293</c:v>
                </c:pt>
                <c:pt idx="31">
                  <c:v>0.72225119267260307</c:v>
                </c:pt>
                <c:pt idx="32">
                  <c:v>0.72644857767663562</c:v>
                </c:pt>
                <c:pt idx="33">
                  <c:v>0.7307817497407646</c:v>
                </c:pt>
                <c:pt idx="34">
                  <c:v>0.73525097320485988</c:v>
                </c:pt>
                <c:pt idx="35">
                  <c:v>0.73985652097974575</c:v>
                </c:pt>
                <c:pt idx="36">
                  <c:v>0.74459867458917384</c:v>
                </c:pt>
                <c:pt idx="37">
                  <c:v>0.74947772421318615</c:v>
                </c:pt>
                <c:pt idx="38">
                  <c:v>0.75449396873287611</c:v>
                </c:pt>
                <c:pt idx="39">
                  <c:v>0.75964771577656642</c:v>
                </c:pt>
                <c:pt idx="40">
                  <c:v>0.76493928176741155</c:v>
                </c:pt>
                <c:pt idx="41">
                  <c:v>0.77036899197244235</c:v>
                </c:pt>
                <c:pt idx="42">
                  <c:v>0.77593718055306649</c:v>
                </c:pt>
                <c:pt idx="43">
                  <c:v>0.7816441906170376</c:v>
                </c:pt>
                <c:pt idx="44">
                  <c:v>0.78749037427191126</c:v>
                </c:pt>
                <c:pt idx="45">
                  <c:v>0.79347609268000119</c:v>
                </c:pt>
                <c:pt idx="46">
                  <c:v>0.79960171611485298</c:v>
                </c:pt>
                <c:pt idx="47">
                  <c:v>0.80586762401925172</c:v>
                </c:pt>
                <c:pt idx="48">
                  <c:v>0.81227420506478154</c:v>
                </c:pt>
                <c:pt idx="49">
                  <c:v>0.8188218572129522</c:v>
                </c:pt>
                <c:pt idx="50">
                  <c:v>0.82551098777791465</c:v>
                </c:pt>
                <c:pt idx="51">
                  <c:v>0.83234201349078107</c:v>
                </c:pt>
                <c:pt idx="52">
                  <c:v>0.83931536056557066</c:v>
                </c:pt>
                <c:pt idx="53">
                  <c:v>0.84643146476679898</c:v>
                </c:pt>
                <c:pt idx="54">
                  <c:v>0.8536907714787344</c:v>
                </c:pt>
                <c:pt idx="55">
                  <c:v>0.86109373577633808</c:v>
                </c:pt>
                <c:pt idx="56">
                  <c:v>0.86864082249791319</c:v>
                </c:pt>
                <c:pt idx="57">
                  <c:v>0.87633250631948301</c:v>
                </c:pt>
                <c:pt idx="58">
                  <c:v>0.8841692718309202</c:v>
                </c:pt>
                <c:pt idx="59">
                  <c:v>0.89215161361385331</c:v>
                </c:pt>
                <c:pt idx="60">
                  <c:v>0.90028003632136999</c:v>
                </c:pt>
                <c:pt idx="61">
                  <c:v>0.90855505475954634</c:v>
                </c:pt>
                <c:pt idx="62">
                  <c:v>0.91697719397082222</c:v>
                </c:pt>
                <c:pt idx="63">
                  <c:v>0.9255469893192535</c:v>
                </c:pt>
                <c:pt idx="64">
                  <c:v>0.93426498657766333</c:v>
                </c:pt>
                <c:pt idx="65">
                  <c:v>0.94313174201672201</c:v>
                </c:pt>
                <c:pt idx="66">
                  <c:v>0.95214782249598273</c:v>
                </c:pt>
                <c:pt idx="67">
                  <c:v>0.96131380555690138</c:v>
                </c:pt>
                <c:pt idx="68">
                  <c:v>0.9706302795178684</c:v>
                </c:pt>
                <c:pt idx="69">
                  <c:v>0.98009784357128737</c:v>
                </c:pt>
                <c:pt idx="70">
                  <c:v>0.98971710788272227</c:v>
                </c:pt>
                <c:pt idx="71">
                  <c:v>0.99948869369215598</c:v>
                </c:pt>
                <c:pt idx="72">
                  <c:v>1.0094132334173813</c:v>
                </c:pt>
                <c:pt idx="73">
                  <c:v>1.0194913707595665</c:v>
                </c:pt>
                <c:pt idx="74">
                  <c:v>1.0297237608110228</c:v>
                </c:pt>
                <c:pt idx="75">
                  <c:v>1.0401110701652123</c:v>
                </c:pt>
                <c:pt idx="76">
                  <c:v>1.0506539770290311</c:v>
                </c:pt>
                <c:pt idx="77">
                  <c:v>1.0613531713374</c:v>
                </c:pt>
                <c:pt idx="78">
                  <c:v>1.0722093548702096</c:v>
                </c:pt>
                <c:pt idx="79">
                  <c:v>1.0832232413716474</c:v>
                </c:pt>
                <c:pt idx="80">
                  <c:v>1.0943955566719501</c:v>
                </c:pt>
                <c:pt idx="81">
                  <c:v>1.1057270388116263</c:v>
                </c:pt>
                <c:pt idx="82">
                  <c:v>1.1172184381681804</c:v>
                </c:pt>
                <c:pt idx="83">
                  <c:v>1.1288705175853917</c:v>
                </c:pt>
                <c:pt idx="84">
                  <c:v>1.1406840525051776</c:v>
                </c:pt>
                <c:pt idx="85">
                  <c:v>1.1526598311021001</c:v>
                </c:pt>
                <c:pt idx="86">
                  <c:v>1.1647986544205513</c:v>
                </c:pt>
                <c:pt idx="87">
                  <c:v>1.1771013365146623</c:v>
                </c:pt>
                <c:pt idx="88">
                  <c:v>1.1895687045909944</c:v>
                </c:pt>
                <c:pt idx="89">
                  <c:v>1.2022015991540471</c:v>
                </c:pt>
                <c:pt idx="90">
                  <c:v>1.2150008741546434</c:v>
                </c:pt>
                <c:pt idx="91">
                  <c:v>1.2279673971412395</c:v>
                </c:pt>
                <c:pt idx="92">
                  <c:v>1.2411020494142055</c:v>
                </c:pt>
                <c:pt idx="93">
                  <c:v>1.2544057261831416</c:v>
                </c:pt>
                <c:pt idx="94">
                  <c:v>1.2678793367272772</c:v>
                </c:pt>
                <c:pt idx="95">
                  <c:v>1.2815238045590074</c:v>
                </c:pt>
                <c:pt idx="96">
                  <c:v>1.2953400675906324</c:v>
                </c:pt>
                <c:pt idx="97">
                  <c:v>1.3093290783043472</c:v>
                </c:pt>
                <c:pt idx="98">
                  <c:v>1.3234918039255545</c:v>
                </c:pt>
                <c:pt idx="99">
                  <c:v>1.3378292265995506</c:v>
                </c:pt>
                <c:pt idx="100">
                  <c:v>1.3523423435716551</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Calculations'!$BD$9:$BD$109</c:f>
              <c:numCache>
                <c:formatCode>0.000</c:formatCode>
                <c:ptCount val="101"/>
                <c:pt idx="0">
                  <c:v>6.94990427739003E-3</c:v>
                </c:pt>
                <c:pt idx="1">
                  <c:v>9.812632955149992E-3</c:v>
                </c:pt>
                <c:pt idx="2">
                  <c:v>1.2689608732299632E-2</c:v>
                </c:pt>
                <c:pt idx="3">
                  <c:v>1.5580830194169382E-2</c:v>
                </c:pt>
                <c:pt idx="4">
                  <c:v>1.8486296119806366E-2</c:v>
                </c:pt>
                <c:pt idx="5">
                  <c:v>2.1406005481864818E-2</c:v>
                </c:pt>
                <c:pt idx="6">
                  <c:v>2.4339957446503118E-2</c:v>
                </c:pt>
                <c:pt idx="7">
                  <c:v>2.728815137328746E-2</c:v>
                </c:pt>
                <c:pt idx="8">
                  <c:v>3.0250586815102079E-2</c:v>
                </c:pt>
                <c:pt idx="9">
                  <c:v>3.3227263518066097E-2</c:v>
                </c:pt>
                <c:pt idx="10">
                  <c:v>3.6218181421456969E-2</c:v>
                </c:pt>
                <c:pt idx="11">
                  <c:v>3.9223340657640458E-2</c:v>
                </c:pt>
                <c:pt idx="12">
                  <c:v>4.2242741552007267E-2</c:v>
                </c:pt>
                <c:pt idx="13">
                  <c:v>4.5276384622916159E-2</c:v>
                </c:pt>
                <c:pt idx="14">
                  <c:v>4.8324270581643659E-2</c:v>
                </c:pt>
                <c:pt idx="15">
                  <c:v>5.1386400332340335E-2</c:v>
                </c:pt>
                <c:pt idx="16">
                  <c:v>5.4462774971993588E-2</c:v>
                </c:pt>
                <c:pt idx="17">
                  <c:v>5.7553395790397081E-2</c:v>
                </c:pt>
                <c:pt idx="18">
                  <c:v>6.0658264270126563E-2</c:v>
                </c:pt>
                <c:pt idx="19">
                  <c:v>6.3777382086522325E-2</c:v>
                </c:pt>
                <c:pt idx="20">
                  <c:v>6.6976017735191795E-2</c:v>
                </c:pt>
                <c:pt idx="21">
                  <c:v>7.042898419874441E-2</c:v>
                </c:pt>
                <c:pt idx="22">
                  <c:v>7.3896236848571606E-2</c:v>
                </c:pt>
                <c:pt idx="23">
                  <c:v>7.7377780210703934E-2</c:v>
                </c:pt>
                <c:pt idx="24">
                  <c:v>8.0873619004058511E-2</c:v>
                </c:pt>
                <c:pt idx="25">
                  <c:v>8.4383758140507567E-2</c:v>
                </c:pt>
                <c:pt idx="26">
                  <c:v>8.7908202724953505E-2</c:v>
                </c:pt>
                <c:pt idx="27">
                  <c:v>9.1446958055410504E-2</c:v>
                </c:pt>
                <c:pt idx="28">
                  <c:v>9.5000029623092674E-2</c:v>
                </c:pt>
                <c:pt idx="29">
                  <c:v>9.856742311250867E-2</c:v>
                </c:pt>
                <c:pt idx="30">
                  <c:v>0.10214914440156285</c:v>
                </c:pt>
                <c:pt idx="31">
                  <c:v>0.10574519956166299</c:v>
                </c:pt>
                <c:pt idx="32">
                  <c:v>0.10935559485783453</c:v>
                </c:pt>
                <c:pt idx="33">
                  <c:v>0.11298033674884139</c:v>
                </c:pt>
                <c:pt idx="34">
                  <c:v>0.1166194318873133</c:v>
                </c:pt>
                <c:pt idx="35">
                  <c:v>0.1202728871198796</c:v>
                </c:pt>
                <c:pt idx="36">
                  <c:v>0.12394070948730967</c:v>
                </c:pt>
                <c:pt idx="37">
                  <c:v>0.12762290622466008</c:v>
                </c:pt>
                <c:pt idx="38">
                  <c:v>0.13131948476142796</c:v>
                </c:pt>
                <c:pt idx="39">
                  <c:v>0.13503045272171132</c:v>
                </c:pt>
                <c:pt idx="40">
                  <c:v>0.13875581792437569</c:v>
                </c:pt>
                <c:pt idx="41">
                  <c:v>0.14249558838322729</c:v>
                </c:pt>
                <c:pt idx="42">
                  <c:v>0.14624977230719324</c:v>
                </c:pt>
                <c:pt idx="43">
                  <c:v>0.1500183781005078</c:v>
                </c:pt>
                <c:pt idx="44">
                  <c:v>0.15380141436290573</c:v>
                </c:pt>
                <c:pt idx="45">
                  <c:v>0.15759888988982179</c:v>
                </c:pt>
                <c:pt idx="46">
                  <c:v>0.16141081367259749</c:v>
                </c:pt>
                <c:pt idx="47">
                  <c:v>0.16523719489869371</c:v>
                </c:pt>
                <c:pt idx="48">
                  <c:v>0.1690780429519107</c:v>
                </c:pt>
                <c:pt idx="49">
                  <c:v>0.17293336741261436</c:v>
                </c:pt>
                <c:pt idx="50">
                  <c:v>0.17680317805796919</c:v>
                </c:pt>
                <c:pt idx="51">
                  <c:v>0.18068748486217817</c:v>
                </c:pt>
                <c:pt idx="52">
                  <c:v>0.18458629799672899</c:v>
                </c:pt>
                <c:pt idx="53">
                  <c:v>0.18849962783064739</c:v>
                </c:pt>
                <c:pt idx="54">
                  <c:v>0.19242748493075701</c:v>
                </c:pt>
                <c:pt idx="55">
                  <c:v>0.19636988006194572</c:v>
                </c:pt>
                <c:pt idx="56">
                  <c:v>0.20032682418743944</c:v>
                </c:pt>
                <c:pt idx="57">
                  <c:v>0.20429832846908189</c:v>
                </c:pt>
                <c:pt idx="58">
                  <c:v>0.20828440426762176</c:v>
                </c:pt>
                <c:pt idx="59">
                  <c:v>0.21228506314300633</c:v>
                </c:pt>
                <c:pt idx="60">
                  <c:v>0.21630031685468187</c:v>
                </c:pt>
                <c:pt idx="61">
                  <c:v>0.2203301773619013</c:v>
                </c:pt>
                <c:pt idx="62">
                  <c:v>0.22437465682403834</c:v>
                </c:pt>
                <c:pt idx="63">
                  <c:v>0.22843376760090817</c:v>
                </c:pt>
                <c:pt idx="64">
                  <c:v>0.23250752225309612</c:v>
                </c:pt>
                <c:pt idx="65">
                  <c:v>0.23659593354229191</c:v>
                </c:pt>
                <c:pt idx="66">
                  <c:v>0.24069901443163177</c:v>
                </c:pt>
                <c:pt idx="67">
                  <c:v>0.24481677808604715</c:v>
                </c:pt>
                <c:pt idx="68">
                  <c:v>0.24894923787262002</c:v>
                </c:pt>
                <c:pt idx="69">
                  <c:v>0.25309640736094607</c:v>
                </c:pt>
                <c:pt idx="70">
                  <c:v>0.25725830032350416</c:v>
                </c:pt>
                <c:pt idx="71">
                  <c:v>0.26143493073603258</c:v>
                </c:pt>
                <c:pt idx="72">
                  <c:v>0.26562631277791365</c:v>
                </c:pt>
                <c:pt idx="73">
                  <c:v>0.26983246083256346</c:v>
                </c:pt>
                <c:pt idx="74">
                  <c:v>0.27405338948783053</c:v>
                </c:pt>
                <c:pt idx="75">
                  <c:v>0.27828911353640029</c:v>
                </c:pt>
                <c:pt idx="76">
                  <c:v>0.28253964797620745</c:v>
                </c:pt>
                <c:pt idx="77">
                  <c:v>0.28680500801085507</c:v>
                </c:pt>
                <c:pt idx="78">
                  <c:v>0.29108520905004076</c:v>
                </c:pt>
                <c:pt idx="79">
                  <c:v>0.29538026670999096</c:v>
                </c:pt>
                <c:pt idx="80">
                  <c:v>0.29969019681390108</c:v>
                </c:pt>
                <c:pt idx="81">
                  <c:v>0.30401501539238374</c:v>
                </c:pt>
                <c:pt idx="82">
                  <c:v>0.30835473868392427</c:v>
                </c:pt>
                <c:pt idx="83">
                  <c:v>0.31270938313534363</c:v>
                </c:pt>
                <c:pt idx="84">
                  <c:v>0.31707896540226754</c:v>
                </c:pt>
                <c:pt idx="85">
                  <c:v>0.32146350234960464</c:v>
                </c:pt>
                <c:pt idx="86">
                  <c:v>0.32586301105203086</c:v>
                </c:pt>
                <c:pt idx="87">
                  <c:v>0.33027750879448148</c:v>
                </c:pt>
                <c:pt idx="88">
                  <c:v>0.33470701307265116</c:v>
                </c:pt>
                <c:pt idx="89">
                  <c:v>0.33915154159349997</c:v>
                </c:pt>
                <c:pt idx="90">
                  <c:v>0.34361111227576902</c:v>
                </c:pt>
                <c:pt idx="91">
                  <c:v>0.34808574325050223</c:v>
                </c:pt>
                <c:pt idx="92">
                  <c:v>0.3525754528615751</c:v>
                </c:pt>
                <c:pt idx="93">
                  <c:v>0.35708025966623336</c:v>
                </c:pt>
                <c:pt idx="94">
                  <c:v>0.3616001824356363</c:v>
                </c:pt>
                <c:pt idx="95">
                  <c:v>0.36613524015541038</c:v>
                </c:pt>
                <c:pt idx="96">
                  <c:v>0.37068545202620906</c:v>
                </c:pt>
                <c:pt idx="97">
                  <c:v>0.37525083746428045</c:v>
                </c:pt>
                <c:pt idx="98">
                  <c:v>0.37983141610204302</c:v>
                </c:pt>
                <c:pt idx="99">
                  <c:v>0.38442720778866912</c:v>
                </c:pt>
                <c:pt idx="100">
                  <c:v>0.38903823259067638</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Calculations'!$AZ$9:$AZ$109</c:f>
              <c:numCache>
                <c:formatCode>0.00</c:formatCode>
                <c:ptCount val="101"/>
                <c:pt idx="0">
                  <c:v>0</c:v>
                </c:pt>
                <c:pt idx="1">
                  <c:v>22.791290630093425</c:v>
                </c:pt>
                <c:pt idx="2">
                  <c:v>36.832706708176779</c:v>
                </c:pt>
                <c:pt idx="3">
                  <c:v>46.346058036512375</c:v>
                </c:pt>
                <c:pt idx="4">
                  <c:v>53.213436343961305</c:v>
                </c:pt>
                <c:pt idx="5">
                  <c:v>58.146168307143398</c:v>
                </c:pt>
                <c:pt idx="6">
                  <c:v>61.201915398222617</c:v>
                </c:pt>
                <c:pt idx="7">
                  <c:v>63.594706663651515</c:v>
                </c:pt>
                <c:pt idx="8">
                  <c:v>65.521181333646155</c:v>
                </c:pt>
                <c:pt idx="9">
                  <c:v>67.107209023376626</c:v>
                </c:pt>
                <c:pt idx="10">
                  <c:v>68.437098748812005</c:v>
                </c:pt>
                <c:pt idx="11">
                  <c:v>69.569444400089282</c:v>
                </c:pt>
                <c:pt idx="12">
                  <c:v>70.546234312784279</c:v>
                </c:pt>
                <c:pt idx="13">
                  <c:v>71.398344577220044</c:v>
                </c:pt>
                <c:pt idx="14">
                  <c:v>72.148986974051482</c:v>
                </c:pt>
                <c:pt idx="15">
                  <c:v>72.815948121853651</c:v>
                </c:pt>
                <c:pt idx="16">
                  <c:v>73.413086953596093</c:v>
                </c:pt>
                <c:pt idx="17">
                  <c:v>73.951362134659377</c:v>
                </c:pt>
                <c:pt idx="18">
                  <c:v>74.43955300760328</c:v>
                </c:pt>
                <c:pt idx="19">
                  <c:v>74.884775668203574</c:v>
                </c:pt>
                <c:pt idx="20">
                  <c:v>75.576604203076187</c:v>
                </c:pt>
                <c:pt idx="21">
                  <c:v>76.300486816107167</c:v>
                </c:pt>
                <c:pt idx="22">
                  <c:v>76.968592225796797</c:v>
                </c:pt>
                <c:pt idx="23">
                  <c:v>77.586850627721759</c:v>
                </c:pt>
                <c:pt idx="24">
                  <c:v>78.160380287062367</c:v>
                </c:pt>
                <c:pt idx="25">
                  <c:v>78.693621880678677</c:v>
                </c:pt>
                <c:pt idx="26">
                  <c:v>79.190447019699576</c:v>
                </c:pt>
                <c:pt idx="27">
                  <c:v>79.654246562284712</c:v>
                </c:pt>
                <c:pt idx="28">
                  <c:v>80.088002975259158</c:v>
                </c:pt>
                <c:pt idx="29">
                  <c:v>80.494350007679401</c:v>
                </c:pt>
                <c:pt idx="30">
                  <c:v>80.875622198180736</c:v>
                </c:pt>
                <c:pt idx="31">
                  <c:v>81.233896180930543</c:v>
                </c:pt>
                <c:pt idx="32">
                  <c:v>81.571025332681231</c:v>
                </c:pt>
                <c:pt idx="33">
                  <c:v>81.888668980541397</c:v>
                </c:pt>
                <c:pt idx="34">
                  <c:v>82.188317141299777</c:v>
                </c:pt>
                <c:pt idx="35">
                  <c:v>82.471311570026742</c:v>
                </c:pt>
                <c:pt idx="36">
                  <c:v>82.738863744732413</c:v>
                </c:pt>
                <c:pt idx="37">
                  <c:v>82.992070295091722</c:v>
                </c:pt>
                <c:pt idx="38">
                  <c:v>83.231926289212993</c:v>
                </c:pt>
                <c:pt idx="39">
                  <c:v>83.459336717529169</c:v>
                </c:pt>
                <c:pt idx="40">
                  <c:v>83.675126452903044</c:v>
                </c:pt>
                <c:pt idx="41">
                  <c:v>83.880048917728615</c:v>
                </c:pt>
                <c:pt idx="42">
                  <c:v>84.07479364971195</c:v>
                </c:pt>
                <c:pt idx="43">
                  <c:v>84.259992926211723</c:v>
                </c:pt>
                <c:pt idx="44">
                  <c:v>84.436227581032981</c:v>
                </c:pt>
                <c:pt idx="45">
                  <c:v>84.604032126238494</c:v>
                </c:pt>
                <c:pt idx="46">
                  <c:v>84.763899273959467</c:v>
                </c:pt>
                <c:pt idx="47">
                  <c:v>84.916283938636866</c:v>
                </c:pt>
                <c:pt idx="48">
                  <c:v>85.06160678803343</c:v>
                </c:pt>
                <c:pt idx="49">
                  <c:v>85.200257401273035</c:v>
                </c:pt>
                <c:pt idx="50">
                  <c:v>85.332597083723797</c:v>
                </c:pt>
                <c:pt idx="51">
                  <c:v>85.458961381452696</c:v>
                </c:pt>
                <c:pt idx="52">
                  <c:v>85.579662332005128</c:v>
                </c:pt>
                <c:pt idx="53">
                  <c:v>85.69499048321272</c:v>
                </c:pt>
                <c:pt idx="54">
                  <c:v>85.805216707449731</c:v>
                </c:pt>
                <c:pt idx="55">
                  <c:v>85.910593835115549</c:v>
                </c:pt>
                <c:pt idx="56">
                  <c:v>86.011358128013725</c:v>
                </c:pt>
                <c:pt idx="57">
                  <c:v>86.107730610640232</c:v>
                </c:pt>
                <c:pt idx="58">
                  <c:v>86.199918275113788</c:v>
                </c:pt>
                <c:pt idx="59">
                  <c:v>86.288115173521845</c:v>
                </c:pt>
                <c:pt idx="60">
                  <c:v>86.372503409765926</c:v>
                </c:pt>
                <c:pt idx="61">
                  <c:v>86.453254041529974</c:v>
                </c:pt>
                <c:pt idx="62">
                  <c:v>86.530527901731389</c:v>
                </c:pt>
                <c:pt idx="63">
                  <c:v>86.604476347716869</c:v>
                </c:pt>
                <c:pt idx="64">
                  <c:v>86.675241945509583</c:v>
                </c:pt>
                <c:pt idx="65">
                  <c:v>86.742959095582577</c:v>
                </c:pt>
                <c:pt idx="66">
                  <c:v>86.807754605905757</c:v>
                </c:pt>
                <c:pt idx="67">
                  <c:v>86.869748217376682</c:v>
                </c:pt>
                <c:pt idx="68">
                  <c:v>86.929053086187579</c:v>
                </c:pt>
                <c:pt idx="69">
                  <c:v>86.985776227190286</c:v>
                </c:pt>
                <c:pt idx="70">
                  <c:v>87.04001892188839</c:v>
                </c:pt>
                <c:pt idx="71">
                  <c:v>87.091877094305133</c:v>
                </c:pt>
                <c:pt idx="72">
                  <c:v>87.141441657639518</c:v>
                </c:pt>
                <c:pt idx="73">
                  <c:v>87.188798834324288</c:v>
                </c:pt>
                <c:pt idx="74">
                  <c:v>87.234030451836361</c:v>
                </c:pt>
                <c:pt idx="75">
                  <c:v>87.277214216375327</c:v>
                </c:pt>
                <c:pt idx="76">
                  <c:v>87.318423966317468</c:v>
                </c:pt>
                <c:pt idx="77">
                  <c:v>87.35772990716724</c:v>
                </c:pt>
                <c:pt idx="78">
                  <c:v>87.395198829562176</c:v>
                </c:pt>
                <c:pt idx="79">
                  <c:v>87.430894311739962</c:v>
                </c:pt>
                <c:pt idx="80">
                  <c:v>87.464876907744028</c:v>
                </c:pt>
                <c:pt idx="81">
                  <c:v>87.497204322524851</c:v>
                </c:pt>
                <c:pt idx="82">
                  <c:v>87.527931574989282</c:v>
                </c:pt>
                <c:pt idx="83">
                  <c:v>87.557111149953798</c:v>
                </c:pt>
                <c:pt idx="84">
                  <c:v>87.58479313987219</c:v>
                </c:pt>
                <c:pt idx="85">
                  <c:v>87.611025377130929</c:v>
                </c:pt>
                <c:pt idx="86">
                  <c:v>87.635853557636239</c:v>
                </c:pt>
                <c:pt idx="87">
                  <c:v>87.659321356353473</c:v>
                </c:pt>
                <c:pt idx="88">
                  <c:v>87.681470535403122</c:v>
                </c:pt>
                <c:pt idx="89">
                  <c:v>87.702341045266635</c:v>
                </c:pt>
                <c:pt idx="90">
                  <c:v>87.7219711196079</c:v>
                </c:pt>
                <c:pt idx="91">
                  <c:v>87.740397364175521</c:v>
                </c:pt>
                <c:pt idx="92">
                  <c:v>87.757654840211302</c:v>
                </c:pt>
                <c:pt idx="93">
                  <c:v>87.773777142756742</c:v>
                </c:pt>
                <c:pt idx="94">
                  <c:v>87.788796474217477</c:v>
                </c:pt>
                <c:pt idx="95">
                  <c:v>87.802743713516435</c:v>
                </c:pt>
                <c:pt idx="96">
                  <c:v>87.815648481141068</c:v>
                </c:pt>
                <c:pt idx="97">
                  <c:v>87.827539200365308</c:v>
                </c:pt>
                <c:pt idx="98">
                  <c:v>87.838443154906159</c:v>
                </c:pt>
                <c:pt idx="99">
                  <c:v>87.848386543253582</c:v>
                </c:pt>
                <c:pt idx="100">
                  <c:v>87.857394529895487</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Calculations'!$BC$9:$BC$109</c:f>
              <c:numCache>
                <c:formatCode>0.000</c:formatCode>
                <c:ptCount val="101"/>
                <c:pt idx="0">
                  <c:v>6.6276399469486517E-3</c:v>
                </c:pt>
                <c:pt idx="1">
                  <c:v>1.3370963485967131E-2</c:v>
                </c:pt>
                <c:pt idx="2">
                  <c:v>2.0126303479501367E-2</c:v>
                </c:pt>
                <c:pt idx="3">
                  <c:v>2.6893683006742421E-2</c:v>
                </c:pt>
                <c:pt idx="4">
                  <c:v>3.3673125300236556E-2</c:v>
                </c:pt>
                <c:pt idx="5">
                  <c:v>4.9838113972816234E-2</c:v>
                </c:pt>
                <c:pt idx="6">
                  <c:v>9.6441399544573939E-2</c:v>
                </c:pt>
                <c:pt idx="7">
                  <c:v>0.14261278658331047</c:v>
                </c:pt>
                <c:pt idx="8">
                  <c:v>0.18835250842487444</c:v>
                </c:pt>
                <c:pt idx="9">
                  <c:v>0.23366079376283233</c:v>
                </c:pt>
                <c:pt idx="10">
                  <c:v>0.27853786664333069</c:v>
                </c:pt>
                <c:pt idx="11">
                  <c:v>0.32298394645983786</c:v>
                </c:pt>
                <c:pt idx="12">
                  <c:v>0.36699924794775413</c:v>
                </c:pt>
                <c:pt idx="13">
                  <c:v>0.41058398117890071</c:v>
                </c:pt>
                <c:pt idx="14">
                  <c:v>0.45373835155587583</c:v>
                </c:pt>
                <c:pt idx="15">
                  <c:v>0.49646255980628773</c:v>
                </c:pt>
                <c:pt idx="16">
                  <c:v>0.53875680197685649</c:v>
                </c:pt>
                <c:pt idx="17">
                  <c:v>0.58062126942738634</c:v>
                </c:pt>
                <c:pt idx="18">
                  <c:v>0.62205614882461169</c:v>
                </c:pt>
                <c:pt idx="19">
                  <c:v>0.66306162213590736</c:v>
                </c:pt>
                <c:pt idx="20">
                  <c:v>0.6784736394727463</c:v>
                </c:pt>
                <c:pt idx="21">
                  <c:v>0.68578971861559845</c:v>
                </c:pt>
                <c:pt idx="22">
                  <c:v>0.69311938302023912</c:v>
                </c:pt>
                <c:pt idx="23">
                  <c:v>0.70046266219023057</c:v>
                </c:pt>
                <c:pt idx="24">
                  <c:v>0.70781958581382654</c:v>
                </c:pt>
                <c:pt idx="25">
                  <c:v>0.71519018376488619</c:v>
                </c:pt>
                <c:pt idx="26">
                  <c:v>0.72257448610379671</c:v>
                </c:pt>
                <c:pt idx="27">
                  <c:v>0.7299725230784031</c:v>
                </c:pt>
                <c:pt idx="28">
                  <c:v>0.73738432512494423</c:v>
                </c:pt>
                <c:pt idx="29">
                  <c:v>0.74480992286899572</c:v>
                </c:pt>
                <c:pt idx="30">
                  <c:v>0.75224934712642166</c:v>
                </c:pt>
                <c:pt idx="31">
                  <c:v>0.75970262890433204</c:v>
                </c:pt>
                <c:pt idx="32">
                  <c:v>0.76716979940204777</c:v>
                </c:pt>
                <c:pt idx="33">
                  <c:v>0.77465089001207388</c:v>
                </c:pt>
                <c:pt idx="34">
                  <c:v>0.78214593232107987</c:v>
                </c:pt>
                <c:pt idx="35">
                  <c:v>0.78965495811088671</c:v>
                </c:pt>
                <c:pt idx="36">
                  <c:v>0.79717799935946221</c:v>
                </c:pt>
                <c:pt idx="37">
                  <c:v>0.8047150882419235</c:v>
                </c:pt>
                <c:pt idx="38">
                  <c:v>0.81226625713154887</c:v>
                </c:pt>
                <c:pt idx="39">
                  <c:v>0.81983153860079461</c:v>
                </c:pt>
                <c:pt idx="40">
                  <c:v>0.82741096542232129</c:v>
                </c:pt>
                <c:pt idx="41">
                  <c:v>0.83500457057002819</c:v>
                </c:pt>
                <c:pt idx="42">
                  <c:v>0.84261238722009468</c:v>
                </c:pt>
                <c:pt idx="43">
                  <c:v>0.85023444875202991</c:v>
                </c:pt>
                <c:pt idx="44">
                  <c:v>0.85787078874973155</c:v>
                </c:pt>
                <c:pt idx="45">
                  <c:v>0.86552144100255046</c:v>
                </c:pt>
                <c:pt idx="46">
                  <c:v>0.87318643950636576</c:v>
                </c:pt>
                <c:pt idx="47">
                  <c:v>0.8808658184646676</c:v>
                </c:pt>
                <c:pt idx="48">
                  <c:v>0.88855961228964653</c:v>
                </c:pt>
                <c:pt idx="49">
                  <c:v>0.89626785560329392</c:v>
                </c:pt>
                <c:pt idx="50">
                  <c:v>0.90399058323850845</c:v>
                </c:pt>
                <c:pt idx="51">
                  <c:v>0.91172783024021364</c:v>
                </c:pt>
                <c:pt idx="52">
                  <c:v>0.91947963186648085</c:v>
                </c:pt>
                <c:pt idx="53">
                  <c:v>0.92724602358966379</c:v>
                </c:pt>
                <c:pt idx="54">
                  <c:v>0.93502704109754042</c:v>
                </c:pt>
                <c:pt idx="55">
                  <c:v>0.94282272029446279</c:v>
                </c:pt>
                <c:pt idx="56">
                  <c:v>0.95063309730251855</c:v>
                </c:pt>
                <c:pt idx="57">
                  <c:v>0.95845820846269758</c:v>
                </c:pt>
                <c:pt idx="58">
                  <c:v>0.96629809033607206</c:v>
                </c:pt>
                <c:pt idx="59">
                  <c:v>0.97415277970498049</c:v>
                </c:pt>
                <c:pt idx="60">
                  <c:v>0.98202231357422565</c:v>
                </c:pt>
                <c:pt idx="61">
                  <c:v>0.98990672917227951</c:v>
                </c:pt>
                <c:pt idx="62">
                  <c:v>0.99780606395249705</c:v>
                </c:pt>
                <c:pt idx="63">
                  <c:v>1.0057203555943401</c:v>
                </c:pt>
                <c:pt idx="64">
                  <c:v>1.0136496420046122</c:v>
                </c:pt>
                <c:pt idx="65">
                  <c:v>1.0215939613186991</c:v>
                </c:pt>
                <c:pt idx="66">
                  <c:v>1.0295533519018232</c:v>
                </c:pt>
                <c:pt idx="67">
                  <c:v>1.0375278523503055</c:v>
                </c:pt>
                <c:pt idx="68">
                  <c:v>1.0455175014928371</c:v>
                </c:pt>
                <c:pt idx="69">
                  <c:v>1.0535223383917607</c:v>
                </c:pt>
                <c:pt idx="70">
                  <c:v>1.061542402344364</c:v>
                </c:pt>
                <c:pt idx="71">
                  <c:v>1.0695777328841798</c:v>
                </c:pt>
                <c:pt idx="72">
                  <c:v>1.0776283697822999</c:v>
                </c:pt>
                <c:pt idx="73">
                  <c:v>1.0856943530486953</c:v>
                </c:pt>
                <c:pt idx="74">
                  <c:v>1.0937757229335505</c:v>
                </c:pt>
                <c:pt idx="75">
                  <c:v>1.101872519928605</c:v>
                </c:pt>
                <c:pt idx="76">
                  <c:v>1.1099847847685074</c:v>
                </c:pt>
                <c:pt idx="77">
                  <c:v>1.1181125584321796</c:v>
                </c:pt>
                <c:pt idx="78">
                  <c:v>1.1262558821441897</c:v>
                </c:pt>
                <c:pt idx="79">
                  <c:v>1.1344147973761398</c:v>
                </c:pt>
                <c:pt idx="80">
                  <c:v>1.1425893458480605</c:v>
                </c:pt>
                <c:pt idx="81">
                  <c:v>1.1507795695298173</c:v>
                </c:pt>
                <c:pt idx="82">
                  <c:v>1.1589855106425302</c:v>
                </c:pt>
                <c:pt idx="83">
                  <c:v>1.1672072116600019</c:v>
                </c:pt>
                <c:pt idx="84">
                  <c:v>1.1754447153101586</c:v>
                </c:pt>
                <c:pt idx="85">
                  <c:v>1.1836980645765005</c:v>
                </c:pt>
                <c:pt idx="86">
                  <c:v>1.1919673026995667</c:v>
                </c:pt>
                <c:pt idx="87">
                  <c:v>1.2002524731784079</c:v>
                </c:pt>
                <c:pt idx="88">
                  <c:v>1.2085536197720737</c:v>
                </c:pt>
                <c:pt idx="89">
                  <c:v>1.2168707865011092</c:v>
                </c:pt>
                <c:pt idx="90">
                  <c:v>1.2252040176490655</c:v>
                </c:pt>
                <c:pt idx="91">
                  <c:v>1.2335533577640208</c:v>
                </c:pt>
                <c:pt idx="92">
                  <c:v>1.2419188516601138</c:v>
                </c:pt>
                <c:pt idx="93">
                  <c:v>1.2503005444190893</c:v>
                </c:pt>
                <c:pt idx="94">
                  <c:v>1.2586984813918551</c:v>
                </c:pt>
                <c:pt idx="95">
                  <c:v>1.2671127082000535</c:v>
                </c:pt>
                <c:pt idx="96">
                  <c:v>1.2755432707376426</c:v>
                </c:pt>
                <c:pt idx="97">
                  <c:v>1.2839902151724916</c:v>
                </c:pt>
                <c:pt idx="98">
                  <c:v>1.2924535879479884</c:v>
                </c:pt>
                <c:pt idx="99">
                  <c:v>1.3009334357846591</c:v>
                </c:pt>
                <c:pt idx="100">
                  <c:v>1.3094298056818028</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Calculations'!$BA$9:$BA$109</c:f>
              <c:numCache>
                <c:formatCode>0.000</c:formatCode>
                <c:ptCount val="101"/>
                <c:pt idx="0">
                  <c:v>0.40772410480065896</c:v>
                </c:pt>
                <c:pt idx="1">
                  <c:v>0.40779166639003145</c:v>
                </c:pt>
                <c:pt idx="2">
                  <c:v>0.40798580409065527</c:v>
                </c:pt>
                <c:pt idx="3">
                  <c:v>0.40830652932433364</c:v>
                </c:pt>
                <c:pt idx="4">
                  <c:v>0.40875386096218375</c:v>
                </c:pt>
                <c:pt idx="5">
                  <c:v>0.40932782532741263</c:v>
                </c:pt>
                <c:pt idx="6">
                  <c:v>0.41002845619918971</c:v>
                </c:pt>
                <c:pt idx="7">
                  <c:v>0.41085579481761864</c:v>
                </c:pt>
                <c:pt idx="8">
                  <c:v>0.41180988988980649</c:v>
                </c:pt>
                <c:pt idx="9">
                  <c:v>0.4128907975970349</c:v>
                </c:pt>
                <c:pt idx="10">
                  <c:v>0.41409858160303431</c:v>
                </c:pt>
                <c:pt idx="11">
                  <c:v>0.41543331306336267</c:v>
                </c:pt>
                <c:pt idx="12">
                  <c:v>0.41689507063589187</c:v>
                </c:pt>
                <c:pt idx="13">
                  <c:v>0.41848394049240573</c:v>
                </c:pt>
                <c:pt idx="14">
                  <c:v>0.4202000163313106</c:v>
                </c:pt>
                <c:pt idx="15">
                  <c:v>0.42204339939146407</c:v>
                </c:pt>
                <c:pt idx="16">
                  <c:v>0.42401419846712474</c:v>
                </c:pt>
                <c:pt idx="17">
                  <c:v>0.42611252992402648</c:v>
                </c:pt>
                <c:pt idx="18">
                  <c:v>0.4283385177165836</c:v>
                </c:pt>
                <c:pt idx="19">
                  <c:v>0.43069229340622966</c:v>
                </c:pt>
                <c:pt idx="20">
                  <c:v>0.43317399618089564</c:v>
                </c:pt>
                <c:pt idx="21">
                  <c:v>0.4357837728756338</c:v>
                </c:pt>
                <c:pt idx="22">
                  <c:v>0.43852177799439163</c:v>
                </c:pt>
                <c:pt idx="23">
                  <c:v>0.44138817373294248</c:v>
                </c:pt>
                <c:pt idx="24">
                  <c:v>0.4443831300029793</c:v>
                </c:pt>
                <c:pt idx="25">
                  <c:v>0.44750682445737855</c:v>
                </c:pt>
                <c:pt idx="26">
                  <c:v>0.45075944251664007</c:v>
                </c:pt>
                <c:pt idx="27">
                  <c:v>0.45414117739651183</c:v>
                </c:pt>
                <c:pt idx="28">
                  <c:v>0.45765223013680612</c:v>
                </c:pt>
                <c:pt idx="29">
                  <c:v>0.461292809631416</c:v>
                </c:pt>
                <c:pt idx="30">
                  <c:v>0.46506313265953969</c:v>
                </c:pt>
                <c:pt idx="31">
                  <c:v>0.4689634239181224</c:v>
                </c:pt>
                <c:pt idx="32">
                  <c:v>0.47299391605552404</c:v>
                </c:pt>
                <c:pt idx="33">
                  <c:v>0.47715484970642297</c:v>
                </c:pt>
                <c:pt idx="34">
                  <c:v>0.48144647352796482</c:v>
                </c:pt>
                <c:pt idx="35">
                  <c:v>0.48586904423716731</c:v>
                </c:pt>
                <c:pt idx="36">
                  <c:v>0.49042282664959119</c:v>
                </c:pt>
                <c:pt idx="37">
                  <c:v>0.49510809371928871</c:v>
                </c:pt>
                <c:pt idx="38">
                  <c:v>0.49992512658003968</c:v>
                </c:pt>
                <c:pt idx="39">
                  <c:v>0.50487421458788961</c:v>
                </c:pt>
                <c:pt idx="40">
                  <c:v>0.50995565536499798</c:v>
                </c:pt>
                <c:pt idx="41">
                  <c:v>0.51516975484481342</c:v>
                </c:pt>
                <c:pt idx="42">
                  <c:v>0.52051682731858573</c:v>
                </c:pt>
                <c:pt idx="43">
                  <c:v>0.52599719548322876</c:v>
                </c:pt>
                <c:pt idx="44">
                  <c:v>0.53161119049054939</c:v>
                </c:pt>
                <c:pt idx="45">
                  <c:v>0.53735915199785367</c:v>
                </c:pt>
                <c:pt idx="46">
                  <c:v>0.54324142821994925</c:v>
                </c:pt>
                <c:pt idx="47">
                  <c:v>0.54925837598255445</c:v>
                </c:pt>
                <c:pt idx="48">
                  <c:v>0.55541036077713091</c:v>
                </c:pt>
                <c:pt idx="49">
                  <c:v>0.56169775681715972</c:v>
                </c:pt>
                <c:pt idx="50">
                  <c:v>0.56812094709587013</c:v>
                </c:pt>
                <c:pt idx="51">
                  <c:v>0.57468032344544495</c:v>
                </c:pt>
                <c:pt idx="52">
                  <c:v>0.58137628659771323</c:v>
                </c:pt>
                <c:pt idx="53">
                  <c:v>0.58820924624635507</c:v>
                </c:pt>
                <c:pt idx="54">
                  <c:v>0.59517962111062994</c:v>
                </c:pt>
                <c:pt idx="55">
                  <c:v>0.60228783900065352</c:v>
                </c:pt>
                <c:pt idx="56">
                  <c:v>0.60953433688423697</c:v>
                </c:pt>
                <c:pt idx="57">
                  <c:v>0.61691956095531308</c:v>
                </c:pt>
                <c:pt idx="58">
                  <c:v>0.62444396670396518</c:v>
                </c:pt>
                <c:pt idx="59">
                  <c:v>0.63210801898808477</c:v>
                </c:pt>
                <c:pt idx="60">
                  <c:v>0.63991219210667405</c:v>
                </c:pt>
                <c:pt idx="61">
                  <c:v>0.64785696987482022</c:v>
                </c:pt>
                <c:pt idx="62">
                  <c:v>0.65594284570035954</c:v>
                </c:pt>
                <c:pt idx="63">
                  <c:v>0.66417032266225839</c:v>
                </c:pt>
                <c:pt idx="64">
                  <c:v>0.6725399135907324</c:v>
                </c:pt>
                <c:pt idx="65">
                  <c:v>0.68105214114912915</c:v>
                </c:pt>
                <c:pt idx="66">
                  <c:v>0.6897075379175982</c:v>
                </c:pt>
                <c:pt idx="67">
                  <c:v>0.69850664647857696</c:v>
                </c:pt>
                <c:pt idx="68">
                  <c:v>0.70745001950411468</c:v>
                </c:pt>
                <c:pt idx="69">
                  <c:v>0.7165382198450635</c:v>
                </c:pt>
                <c:pt idx="70">
                  <c:v>0.72577182062216594</c:v>
                </c:pt>
                <c:pt idx="71">
                  <c:v>0.73515140531906276</c:v>
                </c:pt>
                <c:pt idx="72">
                  <c:v>0.74467756787725359</c:v>
                </c:pt>
                <c:pt idx="73">
                  <c:v>0.75435091279303956</c:v>
                </c:pt>
                <c:pt idx="74">
                  <c:v>0.76417205521647602</c:v>
                </c:pt>
                <c:pt idx="75">
                  <c:v>0.77414162105236894</c:v>
                </c:pt>
                <c:pt idx="76">
                  <c:v>0.78426024706334718</c:v>
                </c:pt>
                <c:pt idx="77">
                  <c:v>0.79452858097503909</c:v>
                </c:pt>
                <c:pt idx="78">
                  <c:v>0.80494728158339246</c:v>
                </c:pt>
                <c:pt idx="79">
                  <c:v>0.81551701886417005</c:v>
                </c:pt>
                <c:pt idx="80">
                  <c:v>0.82623847408465079</c:v>
                </c:pt>
                <c:pt idx="81">
                  <c:v>0.83711233991758272</c:v>
                </c:pt>
                <c:pt idx="82">
                  <c:v>0.8481393205574147</c:v>
                </c:pt>
                <c:pt idx="83">
                  <c:v>0.8593201318388507</c:v>
                </c:pt>
                <c:pt idx="84">
                  <c:v>0.87065550135776126</c:v>
                </c:pt>
                <c:pt idx="85">
                  <c:v>0.88214616859449535</c:v>
                </c:pt>
                <c:pt idx="86">
                  <c:v>0.89379288503963061</c:v>
                </c:pt>
                <c:pt idx="87">
                  <c:v>0.90559641432220306</c:v>
                </c:pt>
                <c:pt idx="88">
                  <c:v>0.91755753234046111</c:v>
                </c:pt>
                <c:pt idx="89">
                  <c:v>0.92967702739518432</c:v>
                </c:pt>
                <c:pt idx="90">
                  <c:v>0.94195570032561426</c:v>
                </c:pt>
                <c:pt idx="91">
                  <c:v>0.9543943646480415</c:v>
                </c:pt>
                <c:pt idx="92">
                  <c:v>0.9669938466970931</c:v>
                </c:pt>
                <c:pt idx="93">
                  <c:v>0.97975498576977404</c:v>
                </c:pt>
                <c:pt idx="94">
                  <c:v>0.99267863427230596</c:v>
                </c:pt>
                <c:pt idx="95">
                  <c:v>1.0057656578698169</c:v>
                </c:pt>
                <c:pt idx="96">
                  <c:v>1.0190169356389289</c:v>
                </c:pt>
                <c:pt idx="97">
                  <c:v>1.0324333602233031</c:v>
                </c:pt>
                <c:pt idx="98">
                  <c:v>1.046015837992188</c:v>
                </c:pt>
                <c:pt idx="99">
                  <c:v>1.0597652892020306</c:v>
                </c:pt>
                <c:pt idx="100">
                  <c:v>1.0736826481612083</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Calculations'!$BD$9:$BD$109</c:f>
              <c:numCache>
                <c:formatCode>0.000</c:formatCode>
                <c:ptCount val="101"/>
                <c:pt idx="0">
                  <c:v>6.69391197678569E-3</c:v>
                </c:pt>
                <c:pt idx="1">
                  <c:v>9.5543908204724966E-3</c:v>
                </c:pt>
                <c:pt idx="2">
                  <c:v>1.2427946453481054E-2</c:v>
                </c:pt>
                <c:pt idx="3">
                  <c:v>1.5314577342330176E-2</c:v>
                </c:pt>
                <c:pt idx="4">
                  <c:v>1.8214282124757793E-2</c:v>
                </c:pt>
                <c:pt idx="5">
                  <c:v>2.1127059609611691E-2</c:v>
                </c:pt>
                <c:pt idx="6">
                  <c:v>2.4052908776745902E-2</c:v>
                </c:pt>
                <c:pt idx="7">
                  <c:v>2.699182877692273E-2</c:v>
                </c:pt>
                <c:pt idx="8">
                  <c:v>2.9943818931720399E-2</c:v>
                </c:pt>
                <c:pt idx="9">
                  <c:v>3.2908878733446334E-2</c:v>
                </c:pt>
                <c:pt idx="10">
                  <c:v>3.5887007845055996E-2</c:v>
                </c:pt>
                <c:pt idx="11">
                  <c:v>3.8878206100077424E-2</c:v>
                </c:pt>
                <c:pt idx="12">
                  <c:v>4.1882473502541248E-2</c:v>
                </c:pt>
                <c:pt idx="13">
                  <c:v>4.4899810226916421E-2</c:v>
                </c:pt>
                <c:pt idx="14">
                  <c:v>4.7930216618051413E-2</c:v>
                </c:pt>
                <c:pt idx="15">
                  <c:v>5.0973693191121071E-2</c:v>
                </c:pt>
                <c:pt idx="16">
                  <c:v>5.4030240631578998E-2</c:v>
                </c:pt>
                <c:pt idx="17">
                  <c:v>5.7099859795115601E-2</c:v>
                </c:pt>
                <c:pt idx="18">
                  <c:v>6.0182551707621532E-2</c:v>
                </c:pt>
                <c:pt idx="19">
                  <c:v>6.3278317565156811E-2</c:v>
                </c:pt>
                <c:pt idx="20">
                  <c:v>6.661937331253566E-2</c:v>
                </c:pt>
                <c:pt idx="21">
                  <c:v>7.0047869284899061E-2</c:v>
                </c:pt>
                <c:pt idx="22">
                  <c:v>7.3489473635432734E-2</c:v>
                </c:pt>
                <c:pt idx="23">
                  <c:v>7.6944190251697686E-2</c:v>
                </c:pt>
                <c:pt idx="24">
                  <c:v>8.041202319136824E-2</c:v>
                </c:pt>
                <c:pt idx="25">
                  <c:v>8.3892976682278034E-2</c:v>
                </c:pt>
                <c:pt idx="26">
                  <c:v>8.7387055122471663E-2</c:v>
                </c:pt>
                <c:pt idx="27">
                  <c:v>9.08942630802618E-2</c:v>
                </c:pt>
                <c:pt idx="28">
                  <c:v>9.4414605294291867E-2</c:v>
                </c:pt>
                <c:pt idx="29">
                  <c:v>9.7948086673604218E-2</c:v>
                </c:pt>
                <c:pt idx="30">
                  <c:v>0.10149471229771384</c:v>
                </c:pt>
                <c:pt idx="31">
                  <c:v>0.10505448741668764</c:v>
                </c:pt>
                <c:pt idx="32">
                  <c:v>0.10862741745122917</c:v>
                </c:pt>
                <c:pt idx="33">
                  <c:v>0.11221350799276916</c:v>
                </c:pt>
                <c:pt idx="34">
                  <c:v>0.11581276480356117</c:v>
                </c:pt>
                <c:pt idx="35">
                  <c:v>0.11942519381678317</c:v>
                </c:pt>
                <c:pt idx="36">
                  <c:v>0.12305080113664439</c:v>
                </c:pt>
                <c:pt idx="37">
                  <c:v>0.12668959303849797</c:v>
                </c:pt>
                <c:pt idx="38">
                  <c:v>0.13034157596895901</c:v>
                </c:pt>
                <c:pt idx="39">
                  <c:v>0.13400675654602826</c:v>
                </c:pt>
                <c:pt idx="40">
                  <c:v>0.13768514155922126</c:v>
                </c:pt>
                <c:pt idx="41">
                  <c:v>0.14137673796970307</c:v>
                </c:pt>
                <c:pt idx="42">
                  <c:v>0.14508155291042904</c:v>
                </c:pt>
                <c:pt idx="43">
                  <c:v>0.14879959368629009</c:v>
                </c:pt>
                <c:pt idx="44">
                  <c:v>0.15253086777426497</c:v>
                </c:pt>
                <c:pt idx="45">
                  <c:v>0.15627538282357684</c:v>
                </c:pt>
                <c:pt idx="46">
                  <c:v>0.16003314665585644</c:v>
                </c:pt>
                <c:pt idx="47">
                  <c:v>0.16380416726531016</c:v>
                </c:pt>
                <c:pt idx="48">
                  <c:v>0.16758845281889403</c:v>
                </c:pt>
                <c:pt idx="49">
                  <c:v>0.1713860116564937</c:v>
                </c:pt>
                <c:pt idx="50">
                  <c:v>0.17519685229110907</c:v>
                </c:pt>
                <c:pt idx="51">
                  <c:v>0.17902098340904576</c:v>
                </c:pt>
                <c:pt idx="52">
                  <c:v>0.1828584138701112</c:v>
                </c:pt>
                <c:pt idx="53">
                  <c:v>0.18670915270781713</c:v>
                </c:pt>
                <c:pt idx="54">
                  <c:v>0.19057320912958739</c:v>
                </c:pt>
                <c:pt idx="55">
                  <c:v>0.19445059251697136</c:v>
                </c:pt>
                <c:pt idx="56">
                  <c:v>0.19834131242586325</c:v>
                </c:pt>
                <c:pt idx="57">
                  <c:v>0.20224537858672725</c:v>
                </c:pt>
                <c:pt idx="58">
                  <c:v>0.20616280090482794</c:v>
                </c:pt>
                <c:pt idx="59">
                  <c:v>0.2100935894604668</c:v>
                </c:pt>
                <c:pt idx="60">
                  <c:v>0.21403775450922419</c:v>
                </c:pt>
                <c:pt idx="61">
                  <c:v>0.21799530648220744</c:v>
                </c:pt>
                <c:pt idx="62">
                  <c:v>0.22196625598630454</c:v>
                </c:pt>
                <c:pt idx="63">
                  <c:v>0.22595061380444298</c:v>
                </c:pt>
                <c:pt idx="64">
                  <c:v>0.22994839089585584</c:v>
                </c:pt>
                <c:pt idx="65">
                  <c:v>0.23395959839635194</c:v>
                </c:pt>
                <c:pt idx="66">
                  <c:v>0.23798424761859333</c:v>
                </c:pt>
                <c:pt idx="67">
                  <c:v>0.24202235005237743</c:v>
                </c:pt>
                <c:pt idx="68">
                  <c:v>0.2460739173649257</c:v>
                </c:pt>
                <c:pt idx="69">
                  <c:v>0.25013896140117819</c:v>
                </c:pt>
                <c:pt idx="70">
                  <c:v>0.25421749418409351</c:v>
                </c:pt>
                <c:pt idx="71">
                  <c:v>0.25830952791495487</c:v>
                </c:pt>
                <c:pt idx="72">
                  <c:v>0.26241507497368244</c:v>
                </c:pt>
                <c:pt idx="73">
                  <c:v>0.26653414791915087</c:v>
                </c:pt>
                <c:pt idx="74">
                  <c:v>0.27066675948951363</c:v>
                </c:pt>
                <c:pt idx="75">
                  <c:v>0.27481292260253243</c:v>
                </c:pt>
                <c:pt idx="76">
                  <c:v>0.27897265035591323</c:v>
                </c:pt>
                <c:pt idx="77">
                  <c:v>0.28314595602764814</c:v>
                </c:pt>
                <c:pt idx="78">
                  <c:v>0.28733285307636275</c:v>
                </c:pt>
                <c:pt idx="79">
                  <c:v>0.29153335514167078</c:v>
                </c:pt>
                <c:pt idx="80">
                  <c:v>0.29574747604453322</c:v>
                </c:pt>
                <c:pt idx="81">
                  <c:v>0.29997522978762448</c:v>
                </c:pt>
                <c:pt idx="82">
                  <c:v>0.30421663055570469</c:v>
                </c:pt>
                <c:pt idx="83">
                  <c:v>0.30847169271599784</c:v>
                </c:pt>
                <c:pt idx="84">
                  <c:v>0.31274043081857544</c:v>
                </c:pt>
                <c:pt idx="85">
                  <c:v>0.3170228595967477</c:v>
                </c:pt>
                <c:pt idx="86">
                  <c:v>0.32131899396745978</c:v>
                </c:pt>
                <c:pt idx="87">
                  <c:v>0.32562884903169448</c:v>
                </c:pt>
                <c:pt idx="88">
                  <c:v>0.32995244007488167</c:v>
                </c:pt>
                <c:pt idx="89">
                  <c:v>0.33428978256731273</c:v>
                </c:pt>
                <c:pt idx="90">
                  <c:v>0.33864089216456283</c:v>
                </c:pt>
                <c:pt idx="91">
                  <c:v>0.34300578470791859</c:v>
                </c:pt>
                <c:pt idx="92">
                  <c:v>0.3473844762248115</c:v>
                </c:pt>
                <c:pt idx="93">
                  <c:v>0.35177698292925935</c:v>
                </c:pt>
                <c:pt idx="94">
                  <c:v>0.35618332122231178</c:v>
                </c:pt>
                <c:pt idx="95">
                  <c:v>0.3606035076925046</c:v>
                </c:pt>
                <c:pt idx="96">
                  <c:v>0.36503755911631885</c:v>
                </c:pt>
                <c:pt idx="97">
                  <c:v>0.36948549245864654</c:v>
                </c:pt>
                <c:pt idx="98">
                  <c:v>0.37394732487326332</c:v>
                </c:pt>
                <c:pt idx="99">
                  <c:v>0.3784230737033073</c:v>
                </c:pt>
                <c:pt idx="100">
                  <c:v>0.38291275648176498</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6" max="100" min="5" page="10" val="37"/>
</file>

<file path=xl/ctrlProps/ctrlProp5.xml><?xml version="1.0" encoding="utf-8"?>
<formControlPr xmlns="http://schemas.microsoft.com/office/spreadsheetml/2009/9/main" objectType="Spin" dx="16" fmlaLink="$E$8" max="58" page="10" val="24"/>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1" val="0"/>
</file>

<file path=xl/ctrlProps/ctrlProp8.xml><?xml version="1.0" encoding="utf-8"?>
<formControlPr xmlns="http://schemas.microsoft.com/office/spreadsheetml/2009/9/main" objectType="Drop" dropLines="5" dropStyle="combo" dx="16" fmlaLink="'Variable Management'!$U$12" fmlaRange="'Variable Management'!$T$8:$T$11" noThreeD="1" sel="1" val="0"/>
</file>

<file path=xl/ctrlProps/ctrlProp9.xml><?xml version="1.0" encoding="utf-8"?>
<formControlPr xmlns="http://schemas.microsoft.com/office/spreadsheetml/2009/9/main" objectType="Drop" dropLines="2" dropStyle="combo" dx="16" fmlaLink="'Variable Management'!$X$10" fmlaRange="'Variable Management'!$W$8:$W$9" noThreeD="1" sel="1" val="0"/>
</file>

<file path=xl/ctrlProps/ctrlProp10.xml><?xml version="1.0" encoding="utf-8"?>
<formControlPr xmlns="http://schemas.microsoft.com/office/spreadsheetml/2009/9/main" objectType="Spin" dx="16" fmlaLink="$J$66" max="100" min="5" page="10" val="35"/>
</file>

<file path=xl/ctrlProps/ctrlProp11.xml><?xml version="1.0" encoding="utf-8"?>
<formControlPr xmlns="http://schemas.microsoft.com/office/spreadsheetml/2009/9/main" objectType="Drop" dropLines="2" dropStyle="combo" dx="16" fmlaLink="'Variable Management'!$AA$10" fmlaRange="'Variable Management'!$Z$8:$Z$9" noThreeD="1" sel="2" val="0"/>
</file>

<file path=xl/ctrlProps/ctrlProp12.xml><?xml version="1.0" encoding="utf-8"?>
<formControlPr xmlns="http://schemas.microsoft.com/office/spreadsheetml/2009/9/main" objectType="Drop" dropLines="5" dropStyle="combo" dx="16" fmlaLink="'Variable Management'!$Y$23" fmlaRange="'Variable Management'!$X$19:$X$22" noThreeD="1" sel="2" val="0"/>
</file>

<file path=xl/ctrlProps/ctrlProp13.xml><?xml version="1.0" encoding="utf-8"?>
<formControlPr xmlns="http://schemas.microsoft.com/office/spreadsheetml/2009/9/main" objectType="Drop" dropLines="2" dropStyle="combo" dx="16" fmlaLink="'Variable Management'!$AA$15" fmlaRange="'Variable Management'!$Z$13:$Z$14" noThreeD="1" sel="1" val="0"/>
</file>

<file path=xl/ctrlProps/ctrlProp14.xml><?xml version="1.0" encoding="utf-8"?>
<formControlPr xmlns="http://schemas.microsoft.com/office/spreadsheetml/2009/9/main" objectType="Drop" dropLines="3" dropStyle="combo" dx="16" fmlaLink="'Variable Management'!$X$16" fmlaRange="'Variable Management'!$W$13:$W$15"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6.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5.jpg"/><Relationship Id="rId5" Type="http://schemas.openxmlformats.org/officeDocument/2006/relationships/image" Target="../media/image4.png"/><Relationship Id="rId4" Type="http://schemas.openxmlformats.org/officeDocument/2006/relationships/hyperlink" Target="http://www.ti.com/power"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73</xdr:row>
          <xdr:rowOff>76200</xdr:rowOff>
        </xdr:from>
        <xdr:to>
          <xdr:col>2</xdr:col>
          <xdr:colOff>899160</xdr:colOff>
          <xdr:row>75</xdr:row>
          <xdr:rowOff>137160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312420</xdr:colOff>
          <xdr:row>73</xdr:row>
          <xdr:rowOff>76200</xdr:rowOff>
        </xdr:from>
        <xdr:to>
          <xdr:col>2</xdr:col>
          <xdr:colOff>899160</xdr:colOff>
          <xdr:row>75</xdr:row>
          <xdr:rowOff>137160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900" b="1" i="0" u="none" strike="noStrike" baseline="0">
                  <a:solidFill>
                    <a:srgbClr val="000000"/>
                  </a:solidFill>
                  <a:latin typeface="Arial"/>
                  <a:cs typeface="Arial"/>
                </a:rPr>
                <a:t>FIX</a:t>
              </a:r>
            </a:p>
            <a:p>
              <a:pPr algn="ctr" rtl="0">
                <a:defRPr sz="1000"/>
              </a:pPr>
              <a:r>
                <a:rPr lang="zh-CN"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4823460</xdr:colOff>
          <xdr:row>0</xdr:row>
          <xdr:rowOff>480060</xdr:rowOff>
        </xdr:from>
        <xdr:to>
          <xdr:col>16</xdr:col>
          <xdr:colOff>5204460</xdr:colOff>
          <xdr:row>1</xdr:row>
          <xdr:rowOff>137160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76200</xdr:colOff>
          <xdr:row>42</xdr:row>
          <xdr:rowOff>38889</xdr:rowOff>
        </xdr:from>
        <xdr:to>
          <xdr:col>16</xdr:col>
          <xdr:colOff>5486400</xdr:colOff>
          <xdr:row>71</xdr:row>
          <xdr:rowOff>131779</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56424"/>
                </a:ext>
              </a:extLst>
            </xdr:cNvPicPr>
          </xdr:nvPicPr>
          <xdr:blipFill>
            <a:blip xmlns:r="http://schemas.openxmlformats.org/officeDocument/2006/relationships" r:embed="rId1"/>
            <a:srcRect/>
            <a:stretch>
              <a:fillRect/>
            </a:stretch>
          </xdr:blipFill>
          <xdr:spPr bwMode="auto">
            <a:xfrm>
              <a:off x="7002780" y="8314209"/>
              <a:ext cx="8831580" cy="5449750"/>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228600</xdr:colOff>
          <xdr:row>82</xdr:row>
          <xdr:rowOff>168403</xdr:rowOff>
        </xdr:from>
        <xdr:to>
          <xdr:col>16</xdr:col>
          <xdr:colOff>5181600</xdr:colOff>
          <xdr:row>111</xdr:row>
          <xdr:rowOff>159072</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56425"/>
                </a:ext>
              </a:extLst>
            </xdr:cNvPicPr>
          </xdr:nvPicPr>
          <xdr:blipFill>
            <a:blip xmlns:r="http://schemas.openxmlformats.org/officeDocument/2006/relationships" r:embed="rId2"/>
            <a:srcRect/>
            <a:stretch>
              <a:fillRect/>
            </a:stretch>
          </xdr:blipFill>
          <xdr:spPr bwMode="auto">
            <a:xfrm>
              <a:off x="6637020" y="15957043"/>
              <a:ext cx="8892540" cy="54389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55543</xdr:colOff>
      <xdr:row>64</xdr:row>
      <xdr:rowOff>144951</xdr:rowOff>
    </xdr:from>
    <xdr:to>
      <xdr:col>15</xdr:col>
      <xdr:colOff>537209</xdr:colOff>
      <xdr:row>65</xdr:row>
      <xdr:rowOff>149710</xdr:rowOff>
    </xdr:to>
    <xdr:sp macro="" textlink="'Variable Management'!A388">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54837" y="12578998"/>
          <a:ext cx="2364254" cy="19301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34.3 kHz</a:t>
          </a:fld>
          <a:endParaRPr lang="en-US" sz="1100" b="1" i="0" u="none" strike="noStrike" baseline="0">
            <a:solidFill>
              <a:srgbClr val="FF0000"/>
            </a:solidFill>
            <a:latin typeface="Arial"/>
            <a:cs typeface="Arial"/>
          </a:endParaRPr>
        </a:p>
      </xdr:txBody>
    </xdr:sp>
    <xdr:clientData/>
  </xdr:twoCellAnchor>
  <xdr:twoCellAnchor>
    <xdr:from>
      <xdr:col>12</xdr:col>
      <xdr:colOff>55114</xdr:colOff>
      <xdr:row>66</xdr:row>
      <xdr:rowOff>33695</xdr:rowOff>
    </xdr:from>
    <xdr:to>
      <xdr:col>14</xdr:col>
      <xdr:colOff>270509</xdr:colOff>
      <xdr:row>67</xdr:row>
      <xdr:rowOff>48132</xdr:rowOff>
    </xdr:to>
    <xdr:sp macro="" textlink="'Variable Management'!A389">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835134" y="12720995"/>
          <a:ext cx="1465075" cy="204937"/>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67°</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7620</xdr:colOff>
          <xdr:row>65</xdr:row>
          <xdr:rowOff>0</xdr:rowOff>
        </xdr:from>
        <xdr:to>
          <xdr:col>5</xdr:col>
          <xdr:colOff>182880</xdr:colOff>
          <xdr:row>65</xdr:row>
          <xdr:rowOff>182880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121920</xdr:colOff>
          <xdr:row>7</xdr:row>
          <xdr:rowOff>7620</xdr:rowOff>
        </xdr:from>
        <xdr:to>
          <xdr:col>5</xdr:col>
          <xdr:colOff>304800</xdr:colOff>
          <xdr:row>8</xdr:row>
          <xdr:rowOff>22860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68580</xdr:colOff>
          <xdr:row>81</xdr:row>
          <xdr:rowOff>76200</xdr:rowOff>
        </xdr:from>
        <xdr:to>
          <xdr:col>13</xdr:col>
          <xdr:colOff>121920</xdr:colOff>
          <xdr:row>82</xdr:row>
          <xdr:rowOff>160020</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57</xdr:row>
          <xdr:rowOff>0</xdr:rowOff>
        </xdr:from>
        <xdr:to>
          <xdr:col>1</xdr:col>
          <xdr:colOff>480060</xdr:colOff>
          <xdr:row>58</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92104</xdr:colOff>
          <xdr:row>4</xdr:row>
          <xdr:rowOff>152730</xdr:rowOff>
        </xdr:from>
        <xdr:to>
          <xdr:col>16</xdr:col>
          <xdr:colOff>5906301</xdr:colOff>
          <xdr:row>33</xdr:row>
          <xdr:rowOff>330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56426"/>
                </a:ext>
              </a:extLst>
            </xdr:cNvPicPr>
          </xdr:nvPicPr>
          <xdr:blipFill>
            <a:blip xmlns:r="http://schemas.openxmlformats.org/officeDocument/2006/relationships" r:embed="rId3"/>
            <a:srcRect/>
            <a:stretch>
              <a:fillRect/>
            </a:stretch>
          </xdr:blipFill>
          <xdr:spPr bwMode="auto">
            <a:xfrm>
              <a:off x="6805324" y="1295730"/>
              <a:ext cx="9159377"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36</xdr:row>
      <xdr:rowOff>60960</xdr:rowOff>
    </xdr:from>
    <xdr:to>
      <xdr:col>16</xdr:col>
      <xdr:colOff>5904681</xdr:colOff>
      <xdr:row>44</xdr:row>
      <xdr:rowOff>61493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86511" y="7239000"/>
          <a:ext cx="2266130" cy="1448333"/>
        </a:xfrm>
        <a:prstGeom prst="rect">
          <a:avLst/>
        </a:prstGeom>
      </xdr:spPr>
    </xdr:pic>
    <xdr:clientData/>
  </xdr:twoCellAnchor>
  <xdr:twoCellAnchor editAs="oneCell">
    <xdr:from>
      <xdr:col>16</xdr:col>
      <xdr:colOff>4082415</xdr:colOff>
      <xdr:row>0</xdr:row>
      <xdr:rowOff>0</xdr:rowOff>
    </xdr:from>
    <xdr:to>
      <xdr:col>17</xdr:col>
      <xdr:colOff>0</xdr:colOff>
      <xdr:row>4</xdr:row>
      <xdr:rowOff>38100</xdr:rowOff>
    </xdr:to>
    <xdr:pic>
      <xdr:nvPicPr>
        <xdr:cNvPr id="4" name="Picture 3">
          <a:hlinkClick xmlns:r="http://schemas.openxmlformats.org/officeDocument/2006/relationships" r:id="rId4"/>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152400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518160</xdr:colOff>
          <xdr:row>5</xdr:row>
          <xdr:rowOff>7620</xdr:rowOff>
        </xdr:from>
        <xdr:to>
          <xdr:col>5</xdr:col>
          <xdr:colOff>99060</xdr:colOff>
          <xdr:row>6</xdr:row>
          <xdr:rowOff>7620</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59</xdr:row>
          <xdr:rowOff>0</xdr:rowOff>
        </xdr:from>
        <xdr:to>
          <xdr:col>1</xdr:col>
          <xdr:colOff>76200</xdr:colOff>
          <xdr:row>59</xdr:row>
          <xdr:rowOff>182880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7620</xdr:colOff>
          <xdr:row>65</xdr:row>
          <xdr:rowOff>0</xdr:rowOff>
        </xdr:from>
        <xdr:to>
          <xdr:col>10</xdr:col>
          <xdr:colOff>182880</xdr:colOff>
          <xdr:row>65</xdr:row>
          <xdr:rowOff>182880</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xdr:colOff>
          <xdr:row>41</xdr:row>
          <xdr:rowOff>30480</xdr:rowOff>
        </xdr:from>
        <xdr:to>
          <xdr:col>12</xdr:col>
          <xdr:colOff>350520</xdr:colOff>
          <xdr:row>42</xdr:row>
          <xdr:rowOff>68580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86</xdr:row>
      <xdr:rowOff>31269</xdr:rowOff>
    </xdr:from>
    <xdr:to>
      <xdr:col>16</xdr:col>
      <xdr:colOff>3732833</xdr:colOff>
      <xdr:row>87</xdr:row>
      <xdr:rowOff>78894</xdr:rowOff>
    </xdr:to>
    <xdr:sp macro="" textlink="'Variable Management'!$B$391">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645236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81.5%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86</xdr:row>
      <xdr:rowOff>14124</xdr:rowOff>
    </xdr:from>
    <xdr:to>
      <xdr:col>16</xdr:col>
      <xdr:colOff>850568</xdr:colOff>
      <xdr:row>87</xdr:row>
      <xdr:rowOff>61749</xdr:rowOff>
    </xdr:to>
    <xdr:sp macro="" textlink="'Variable Management'!$B$392">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776585" y="16435224"/>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77.4%</a:t>
          </a:fld>
          <a:endParaRPr lang="en-US" sz="900" b="1"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39022</xdr:colOff>
      <xdr:row>13</xdr:row>
      <xdr:rowOff>190891</xdr:rowOff>
    </xdr:from>
    <xdr:to>
      <xdr:col>12</xdr:col>
      <xdr:colOff>418554</xdr:colOff>
      <xdr:row>14</xdr:row>
      <xdr:rowOff>189761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1310778</xdr:colOff>
      <xdr:row>29</xdr:row>
      <xdr:rowOff>22792</xdr:rowOff>
    </xdr:from>
    <xdr:to>
      <xdr:col>16</xdr:col>
      <xdr:colOff>1692554</xdr:colOff>
      <xdr:row>30</xdr:row>
      <xdr:rowOff>56568</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657293" y="5856493"/>
          <a:ext cx="381776" cy="24063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266496</xdr:colOff>
      <xdr:row>10</xdr:row>
      <xdr:rowOff>114111</xdr:rowOff>
    </xdr:from>
    <xdr:to>
      <xdr:col>12</xdr:col>
      <xdr:colOff>497022</xdr:colOff>
      <xdr:row>11</xdr:row>
      <xdr:rowOff>114427</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8050852" y="2356690"/>
          <a:ext cx="234336" cy="207633"/>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114073</xdr:colOff>
      <xdr:row>11</xdr:row>
      <xdr:rowOff>37903</xdr:rowOff>
    </xdr:from>
    <xdr:to>
      <xdr:col>13</xdr:col>
      <xdr:colOff>458914</xdr:colOff>
      <xdr:row>12</xdr:row>
      <xdr:rowOff>113385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39043</xdr:colOff>
      <xdr:row>6</xdr:row>
      <xdr:rowOff>75963</xdr:rowOff>
    </xdr:from>
    <xdr:to>
      <xdr:col>13</xdr:col>
      <xdr:colOff>343029</xdr:colOff>
      <xdr:row>7</xdr:row>
      <xdr:rowOff>113614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14</xdr:col>
      <xdr:colOff>457284</xdr:colOff>
      <xdr:row>28</xdr:row>
      <xdr:rowOff>114853</xdr:rowOff>
    </xdr:from>
    <xdr:to>
      <xdr:col>15</xdr:col>
      <xdr:colOff>77794</xdr:colOff>
      <xdr:row>29</xdr:row>
      <xdr:rowOff>190505</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503689" y="5794830"/>
          <a:ext cx="247695" cy="2380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115078</xdr:colOff>
      <xdr:row>24</xdr:row>
      <xdr:rowOff>77033</xdr:rowOff>
    </xdr:from>
    <xdr:to>
      <xdr:col>14</xdr:col>
      <xdr:colOff>418150</xdr:colOff>
      <xdr:row>25</xdr:row>
      <xdr:rowOff>114057</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9134813" y="4952221"/>
          <a:ext cx="304977" cy="238514"/>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495175</xdr:colOff>
      <xdr:row>24</xdr:row>
      <xdr:rowOff>114056</xdr:rowOff>
    </xdr:from>
    <xdr:to>
      <xdr:col>15</xdr:col>
      <xdr:colOff>190029</xdr:colOff>
      <xdr:row>25</xdr:row>
      <xdr:rowOff>114039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551105" y="4991149"/>
          <a:ext cx="322039" cy="20337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266096</xdr:colOff>
      <xdr:row>29</xdr:row>
      <xdr:rowOff>114315</xdr:rowOff>
    </xdr:from>
    <xdr:to>
      <xdr:col>15</xdr:col>
      <xdr:colOff>113373</xdr:colOff>
      <xdr:row>30</xdr:row>
      <xdr:rowOff>114252</xdr:rowOff>
    </xdr:to>
    <xdr:sp macro="" textlink="'Variable Management'!B378">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299606" y="5915040"/>
          <a:ext cx="464497" cy="213297"/>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68pF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495337</xdr:colOff>
      <xdr:row>25</xdr:row>
      <xdr:rowOff>115030</xdr:rowOff>
    </xdr:from>
    <xdr:to>
      <xdr:col>15</xdr:col>
      <xdr:colOff>304588</xdr:colOff>
      <xdr:row>26</xdr:row>
      <xdr:rowOff>76622</xdr:rowOff>
    </xdr:to>
    <xdr:sp macro="" textlink="'Variable Management'!B376">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513167" y="5187898"/>
          <a:ext cx="474536" cy="211587"/>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1000" b="0" i="0" u="none" strike="noStrike" baseline="0">
              <a:solidFill>
                <a:srgbClr val="000000"/>
              </a:solidFill>
              <a:latin typeface="Arial" pitchFamily="34" charset="0"/>
              <a:cs typeface="Arial" pitchFamily="34" charset="0"/>
            </a:rPr>
            <a:pPr algn="l" rtl="0">
              <a:defRPr sz="1000"/>
            </a:pPr>
            <a:t>9.53kΩ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572052</xdr:colOff>
      <xdr:row>30</xdr:row>
      <xdr:rowOff>114358</xdr:rowOff>
    </xdr:from>
    <xdr:to>
      <xdr:col>16</xdr:col>
      <xdr:colOff>1294989</xdr:colOff>
      <xdr:row>32</xdr:row>
      <xdr:rowOff>2614</xdr:rowOff>
    </xdr:to>
    <xdr:sp macro="" textlink="'Variable Management'!B403">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10930898" y="6179878"/>
          <a:ext cx="696267" cy="25102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52.3kΩ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686311</xdr:colOff>
      <xdr:row>14</xdr:row>
      <xdr:rowOff>189805</xdr:rowOff>
    </xdr:from>
    <xdr:to>
      <xdr:col>12</xdr:col>
      <xdr:colOff>343020</xdr:colOff>
      <xdr:row>15</xdr:row>
      <xdr:rowOff>153089</xdr:rowOff>
    </xdr:to>
    <xdr:sp macro="" textlink="'Variable Management'!B368">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410961" y="3228280"/>
          <a:ext cx="485384" cy="182359"/>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66µF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38428</xdr:colOff>
      <xdr:row>13</xdr:row>
      <xdr:rowOff>75848</xdr:rowOff>
    </xdr:from>
    <xdr:to>
      <xdr:col>13</xdr:col>
      <xdr:colOff>496636</xdr:colOff>
      <xdr:row>14</xdr:row>
      <xdr:rowOff>75391</xdr:rowOff>
    </xdr:to>
    <xdr:sp macro="" textlink="'Variable Management'!B362">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3.3µH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783</xdr:colOff>
      <xdr:row>7</xdr:row>
      <xdr:rowOff>76080</xdr:rowOff>
    </xdr:from>
    <xdr:to>
      <xdr:col>13</xdr:col>
      <xdr:colOff>458625</xdr:colOff>
      <xdr:row>8</xdr:row>
      <xdr:rowOff>115011</xdr:rowOff>
    </xdr:to>
    <xdr:sp macro="" textlink="'Variable Management'!B372">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40µF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571196</xdr:colOff>
      <xdr:row>30</xdr:row>
      <xdr:rowOff>3638</xdr:rowOff>
    </xdr:from>
    <xdr:to>
      <xdr:col>16</xdr:col>
      <xdr:colOff>303989</xdr:colOff>
      <xdr:row>31</xdr:row>
      <xdr:rowOff>38778</xdr:rowOff>
    </xdr:to>
    <xdr:sp macro="" textlink="'Variable Management'!B404">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180761" y="5995526"/>
          <a:ext cx="449488" cy="216943"/>
        </a:xfrm>
        <a:prstGeom prst="rect">
          <a:avLst/>
        </a:prstGeom>
        <a:noFill/>
        <a:ln w="9525">
          <a:noFill/>
          <a:miter lim="800000"/>
          <a:headEnd/>
          <a:tailEnd/>
        </a:ln>
      </xdr:spPr>
      <xdr:txBody>
        <a:bodyPr vertOverflow="clip" wrap="square" lIns="27432" tIns="22860" rIns="0" bIns="0" anchor="t" upright="1"/>
        <a:lstStyle/>
        <a:p>
          <a:pPr algn="r" rtl="0">
            <a:defRPr sz="1000"/>
          </a:pPr>
          <a:fld id="{77460045-3ADA-4E36-A50B-8C5C548E137C}" type="TxLink">
            <a:rPr lang="en-US" sz="1000" b="0" i="0" u="none" strike="noStrike">
              <a:solidFill>
                <a:srgbClr val="000000"/>
              </a:solidFill>
              <a:latin typeface="Arial" pitchFamily="34" charset="0"/>
              <a:cs typeface="Arial" pitchFamily="34" charset="0"/>
            </a:rPr>
            <a:pPr algn="r"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418660</xdr:colOff>
      <xdr:row>12</xdr:row>
      <xdr:rowOff>76186</xdr:rowOff>
    </xdr:from>
    <xdr:to>
      <xdr:col>11</xdr:col>
      <xdr:colOff>381399</xdr:colOff>
      <xdr:row>13</xdr:row>
      <xdr:rowOff>153158</xdr:rowOff>
    </xdr:to>
    <xdr:sp macro="" textlink="'Variable Management'!B366">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3.3V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419019</xdr:colOff>
      <xdr:row>13</xdr:row>
      <xdr:rowOff>113661</xdr:rowOff>
    </xdr:from>
    <xdr:to>
      <xdr:col>11</xdr:col>
      <xdr:colOff>380897</xdr:colOff>
      <xdr:row>14</xdr:row>
      <xdr:rowOff>152380</xdr:rowOff>
    </xdr:to>
    <xdr:sp macro="" textlink="'Variable Management'!B410">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809383" y="2893801"/>
          <a:ext cx="472998" cy="24313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5A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16</xdr:col>
      <xdr:colOff>916497</xdr:colOff>
      <xdr:row>29</xdr:row>
      <xdr:rowOff>38909</xdr:rowOff>
    </xdr:from>
    <xdr:to>
      <xdr:col>16</xdr:col>
      <xdr:colOff>1183371</xdr:colOff>
      <xdr:row>30</xdr:row>
      <xdr:rowOff>1537</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11274442" y="5866895"/>
          <a:ext cx="266874" cy="16758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editAs="absolute">
    <xdr:from>
      <xdr:col>16</xdr:col>
      <xdr:colOff>2971344</xdr:colOff>
      <xdr:row>9</xdr:row>
      <xdr:rowOff>38088</xdr:rowOff>
    </xdr:from>
    <xdr:to>
      <xdr:col>16</xdr:col>
      <xdr:colOff>3428421</xdr:colOff>
      <xdr:row>10</xdr:row>
      <xdr:rowOff>113825</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334000" y="2141208"/>
          <a:ext cx="458982" cy="23221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113889</xdr:rowOff>
    </xdr:from>
    <xdr:to>
      <xdr:col>14</xdr:col>
      <xdr:colOff>37189</xdr:colOff>
      <xdr:row>15</xdr:row>
      <xdr:rowOff>151494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457408</xdr:colOff>
      <xdr:row>10</xdr:row>
      <xdr:rowOff>190991</xdr:rowOff>
    </xdr:from>
    <xdr:to>
      <xdr:col>14</xdr:col>
      <xdr:colOff>190274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151843</xdr:colOff>
      <xdr:row>11</xdr:row>
      <xdr:rowOff>75342</xdr:rowOff>
    </xdr:from>
    <xdr:to>
      <xdr:col>13</xdr:col>
      <xdr:colOff>38428</xdr:colOff>
      <xdr:row>13</xdr:row>
      <xdr:rowOff>37877</xdr:rowOff>
    </xdr:to>
    <xdr:sp macro="" textlink="'Variable Management'!B364">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936199" y="2525238"/>
          <a:ext cx="511950" cy="2779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9mΩ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3809770</xdr:colOff>
      <xdr:row>14</xdr:row>
      <xdr:rowOff>76300</xdr:rowOff>
    </xdr:from>
    <xdr:to>
      <xdr:col>16</xdr:col>
      <xdr:colOff>4076027</xdr:colOff>
      <xdr:row>15</xdr:row>
      <xdr:rowOff>152137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3810160</xdr:colOff>
      <xdr:row>10</xdr:row>
      <xdr:rowOff>189819</xdr:rowOff>
    </xdr:from>
    <xdr:to>
      <xdr:col>16</xdr:col>
      <xdr:colOff>4075733</xdr:colOff>
      <xdr:row>12</xdr:row>
      <xdr:rowOff>75667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37211</xdr:colOff>
      <xdr:row>25</xdr:row>
      <xdr:rowOff>37895</xdr:rowOff>
    </xdr:from>
    <xdr:to>
      <xdr:col>14</xdr:col>
      <xdr:colOff>533202</xdr:colOff>
      <xdr:row>26</xdr:row>
      <xdr:rowOff>39447</xdr:rowOff>
    </xdr:to>
    <xdr:sp macro="" textlink="'Variable Management'!B377">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9058851" y="5141243"/>
          <a:ext cx="495991" cy="243927"/>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ri"/>
              <a:cs typeface="Arial" pitchFamily="34" charset="0"/>
            </a:rPr>
            <a:pPr algn="ct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14</xdr:colOff>
      <xdr:row>5</xdr:row>
      <xdr:rowOff>189914</xdr:rowOff>
    </xdr:from>
    <xdr:to>
      <xdr:col>13</xdr:col>
      <xdr:colOff>381927</xdr:colOff>
      <xdr:row>7</xdr:row>
      <xdr:rowOff>75903</xdr:rowOff>
    </xdr:to>
    <xdr:sp macro="" textlink="'Variable Management'!B412">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553339" y="1580564"/>
          <a:ext cx="991513" cy="257464"/>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23V...25V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1488817</xdr:colOff>
      <xdr:row>30</xdr:row>
      <xdr:rowOff>76189</xdr:rowOff>
    </xdr:from>
    <xdr:to>
      <xdr:col>16</xdr:col>
      <xdr:colOff>1920244</xdr:colOff>
      <xdr:row>31</xdr:row>
      <xdr:rowOff>113598</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549598" y="6219814"/>
          <a:ext cx="419997" cy="24576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1µF</a:t>
          </a:r>
          <a:endParaRPr lang="en-US" sz="1000">
            <a:latin typeface="Arial" pitchFamily="34" charset="0"/>
            <a:cs typeface="Arial" pitchFamily="34" charset="0"/>
          </a:endParaRPr>
        </a:p>
      </xdr:txBody>
    </xdr:sp>
    <xdr:clientData/>
  </xdr:twoCellAnchor>
  <xdr:twoCellAnchor editAs="absolute">
    <xdr:from>
      <xdr:col>14</xdr:col>
      <xdr:colOff>419426</xdr:colOff>
      <xdr:row>9</xdr:row>
      <xdr:rowOff>75853</xdr:rowOff>
    </xdr:from>
    <xdr:to>
      <xdr:col>15</xdr:col>
      <xdr:colOff>266903</xdr:colOff>
      <xdr:row>10</xdr:row>
      <xdr:rowOff>114343</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455113" y="2148493"/>
          <a:ext cx="474494" cy="23307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532720</xdr:colOff>
      <xdr:row>6</xdr:row>
      <xdr:rowOff>37432</xdr:rowOff>
    </xdr:from>
    <xdr:to>
      <xdr:col>15</xdr:col>
      <xdr:colOff>304844</xdr:colOff>
      <xdr:row>7</xdr:row>
      <xdr:rowOff>77547</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9556977" y="1604431"/>
          <a:ext cx="383901" cy="23279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editAs="absolute">
    <xdr:from>
      <xdr:col>14</xdr:col>
      <xdr:colOff>494853</xdr:colOff>
      <xdr:row>7</xdr:row>
      <xdr:rowOff>76894</xdr:rowOff>
    </xdr:from>
    <xdr:to>
      <xdr:col>15</xdr:col>
      <xdr:colOff>343026</xdr:colOff>
      <xdr:row>8</xdr:row>
      <xdr:rowOff>152877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9528363" y="1806634"/>
          <a:ext cx="442533" cy="23981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4038227</xdr:colOff>
      <xdr:row>11</xdr:row>
      <xdr:rowOff>37169</xdr:rowOff>
    </xdr:from>
    <xdr:to>
      <xdr:col>16</xdr:col>
      <xdr:colOff>4381163</xdr:colOff>
      <xdr:row>12</xdr:row>
      <xdr:rowOff>152656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77019</xdr:rowOff>
    </xdr:from>
    <xdr:to>
      <xdr:col>16</xdr:col>
      <xdr:colOff>4458011</xdr:colOff>
      <xdr:row>14</xdr:row>
      <xdr:rowOff>75830</xdr:rowOff>
    </xdr:to>
    <xdr:sp macro="" textlink="'Variable Management'!D362">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4.7µH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4610630</xdr:colOff>
      <xdr:row>10</xdr:row>
      <xdr:rowOff>114256</xdr:rowOff>
    </xdr:from>
    <xdr:to>
      <xdr:col>16</xdr:col>
      <xdr:colOff>4837346</xdr:colOff>
      <xdr:row>11</xdr:row>
      <xdr:rowOff>115180</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954780" y="2345011"/>
          <a:ext cx="234336" cy="20856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4495977</xdr:colOff>
      <xdr:row>11</xdr:row>
      <xdr:rowOff>77392</xdr:rowOff>
    </xdr:from>
    <xdr:to>
      <xdr:col>16</xdr:col>
      <xdr:colOff>4990257</xdr:colOff>
      <xdr:row>13</xdr:row>
      <xdr:rowOff>864</xdr:rowOff>
    </xdr:to>
    <xdr:sp macro="" textlink="'Variable Management'!D364">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840127" y="2527222"/>
          <a:ext cx="494280" cy="25875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4823155</xdr:colOff>
      <xdr:row>14</xdr:row>
      <xdr:rowOff>990</xdr:rowOff>
    </xdr:from>
    <xdr:to>
      <xdr:col>16</xdr:col>
      <xdr:colOff>5221737</xdr:colOff>
      <xdr:row>15</xdr:row>
      <xdr:rowOff>1765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5216835" y="3028749"/>
          <a:ext cx="387152" cy="21104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4837942</xdr:colOff>
      <xdr:row>14</xdr:row>
      <xdr:rowOff>190726</xdr:rowOff>
    </xdr:from>
    <xdr:to>
      <xdr:col>16</xdr:col>
      <xdr:colOff>5256935</xdr:colOff>
      <xdr:row>15</xdr:row>
      <xdr:rowOff>190003</xdr:rowOff>
    </xdr:to>
    <xdr:sp macro="" textlink="'Variable Management'!D368">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5137532" y="3158136"/>
          <a:ext cx="426613" cy="207502"/>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66µF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5561351</xdr:colOff>
      <xdr:row>12</xdr:row>
      <xdr:rowOff>76266</xdr:rowOff>
    </xdr:from>
    <xdr:to>
      <xdr:col>17</xdr:col>
      <xdr:colOff>115975</xdr:colOff>
      <xdr:row>13</xdr:row>
      <xdr:rowOff>153238</xdr:rowOff>
    </xdr:to>
    <xdr:sp macro="" textlink="'Variable Management'!D366">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909311" y="2693736"/>
          <a:ext cx="65443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5V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5562742</xdr:colOff>
      <xdr:row>13</xdr:row>
      <xdr:rowOff>115353</xdr:rowOff>
    </xdr:from>
    <xdr:to>
      <xdr:col>17</xdr:col>
      <xdr:colOff>76500</xdr:colOff>
      <xdr:row>14</xdr:row>
      <xdr:rowOff>152167</xdr:rowOff>
    </xdr:to>
    <xdr:sp macro="" textlink="'Variable Management'!D410">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887842" y="2904273"/>
          <a:ext cx="623093" cy="24636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5A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558</xdr:colOff>
      <xdr:row>29</xdr:row>
      <xdr:rowOff>132</xdr:rowOff>
    </xdr:from>
    <xdr:to>
      <xdr:col>16</xdr:col>
      <xdr:colOff>342842</xdr:colOff>
      <xdr:row>30</xdr:row>
      <xdr:rowOff>38730</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0361741" y="5847749"/>
          <a:ext cx="331113" cy="25181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SS</a:t>
          </a:r>
        </a:p>
      </xdr:txBody>
    </xdr:sp>
    <xdr:clientData/>
  </xdr:twoCellAnchor>
  <xdr:twoCellAnchor editAs="absolute">
    <xdr:from>
      <xdr:col>16</xdr:col>
      <xdr:colOff>3504467</xdr:colOff>
      <xdr:row>25</xdr:row>
      <xdr:rowOff>717</xdr:rowOff>
    </xdr:from>
    <xdr:to>
      <xdr:col>16</xdr:col>
      <xdr:colOff>4038558</xdr:colOff>
      <xdr:row>26</xdr:row>
      <xdr:rowOff>426</xdr:rowOff>
    </xdr:to>
    <xdr:sp macro="" textlink="'Variable Management'!D377">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834537" y="5046979"/>
          <a:ext cx="526471" cy="24106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3.9nF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3011262</xdr:colOff>
      <xdr:row>25</xdr:row>
      <xdr:rowOff>76142</xdr:rowOff>
    </xdr:from>
    <xdr:to>
      <xdr:col>16</xdr:col>
      <xdr:colOff>3504408</xdr:colOff>
      <xdr:row>26</xdr:row>
      <xdr:rowOff>38449</xdr:rowOff>
    </xdr:to>
    <xdr:sp macro="" textlink="'Variable Management'!D376">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341332" y="5090019"/>
          <a:ext cx="487431" cy="21699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12.1kΩ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3200972</xdr:colOff>
      <xdr:row>29</xdr:row>
      <xdr:rowOff>74878</xdr:rowOff>
    </xdr:from>
    <xdr:to>
      <xdr:col>16</xdr:col>
      <xdr:colOff>3619273</xdr:colOff>
      <xdr:row>30</xdr:row>
      <xdr:rowOff>114307</xdr:rowOff>
    </xdr:to>
    <xdr:sp macro="" textlink="'Variable Management'!D378">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510087" y="5863262"/>
          <a:ext cx="420206" cy="210548"/>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56pF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3084500</xdr:colOff>
      <xdr:row>10</xdr:row>
      <xdr:rowOff>75278</xdr:rowOff>
    </xdr:from>
    <xdr:to>
      <xdr:col>16</xdr:col>
      <xdr:colOff>3544618</xdr:colOff>
      <xdr:row>11</xdr:row>
      <xdr:rowOff>113661</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447156" y="2352025"/>
          <a:ext cx="456308" cy="223440"/>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2289628</xdr:colOff>
      <xdr:row>30</xdr:row>
      <xdr:rowOff>3087</xdr:rowOff>
    </xdr:from>
    <xdr:to>
      <xdr:col>16</xdr:col>
      <xdr:colOff>2796595</xdr:colOff>
      <xdr:row>31</xdr:row>
      <xdr:rowOff>3432</xdr:rowOff>
    </xdr:to>
    <xdr:sp macro="" textlink="'Variable Management'!B385">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350409" y="6146712"/>
          <a:ext cx="495537" cy="208704"/>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10kΩ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2264526</xdr:colOff>
      <xdr:row>28</xdr:row>
      <xdr:rowOff>136935</xdr:rowOff>
    </xdr:from>
    <xdr:to>
      <xdr:col>16</xdr:col>
      <xdr:colOff>2648207</xdr:colOff>
      <xdr:row>30</xdr:row>
      <xdr:rowOff>22635</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616756" y="5796756"/>
          <a:ext cx="381776" cy="25881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CNFG</a:t>
          </a:r>
        </a:p>
      </xdr:txBody>
    </xdr:sp>
    <xdr:clientData/>
  </xdr:twoCellAnchor>
  <xdr:twoCellAnchor editAs="absolute">
    <xdr:from>
      <xdr:col>16</xdr:col>
      <xdr:colOff>3086618</xdr:colOff>
      <xdr:row>24</xdr:row>
      <xdr:rowOff>115209</xdr:rowOff>
    </xdr:from>
    <xdr:to>
      <xdr:col>16</xdr:col>
      <xdr:colOff>3543569</xdr:colOff>
      <xdr:row>25</xdr:row>
      <xdr:rowOff>114839</xdr:rowOff>
    </xdr:to>
    <xdr:sp macro="" textlink="'Variable Management'!C376">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409068" y="4920861"/>
          <a:ext cx="456951" cy="211665"/>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3544020</xdr:colOff>
      <xdr:row>24</xdr:row>
      <xdr:rowOff>76861</xdr:rowOff>
    </xdr:from>
    <xdr:to>
      <xdr:col>16</xdr:col>
      <xdr:colOff>4000971</xdr:colOff>
      <xdr:row>25</xdr:row>
      <xdr:rowOff>77128</xdr:rowOff>
    </xdr:to>
    <xdr:sp macro="" textlink="'Variable Management'!C377">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882602" y="4942524"/>
          <a:ext cx="458856" cy="218902"/>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3275770</xdr:colOff>
      <xdr:row>28</xdr:row>
      <xdr:rowOff>75396</xdr:rowOff>
    </xdr:from>
    <xdr:to>
      <xdr:col>16</xdr:col>
      <xdr:colOff>3734626</xdr:colOff>
      <xdr:row>29</xdr:row>
      <xdr:rowOff>113763</xdr:rowOff>
    </xdr:to>
    <xdr:sp macro="" textlink="'Variable Management'!C378">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594410" y="5667648"/>
          <a:ext cx="456951" cy="234499"/>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373380</xdr:colOff>
          <xdr:row>4</xdr:row>
          <xdr:rowOff>7620</xdr:rowOff>
        </xdr:from>
        <xdr:to>
          <xdr:col>7</xdr:col>
          <xdr:colOff>518160</xdr:colOff>
          <xdr:row>4</xdr:row>
          <xdr:rowOff>236220</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16</xdr:row>
      <xdr:rowOff>26893</xdr:rowOff>
    </xdr:from>
    <xdr:to>
      <xdr:col>16</xdr:col>
      <xdr:colOff>1919653</xdr:colOff>
      <xdr:row>19</xdr:row>
      <xdr:rowOff>143435</xdr:rowOff>
    </xdr:to>
    <xdr:sp macro="" textlink="'Variable Management'!X23">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68222" y="3514164"/>
          <a:ext cx="1223596" cy="663389"/>
        </a:xfrm>
        <a:prstGeom prst="rect">
          <a:avLst/>
        </a:prstGeom>
        <a:no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LM5137F-Q1</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213360</xdr:colOff>
          <xdr:row>14</xdr:row>
          <xdr:rowOff>198120</xdr:rowOff>
        </xdr:from>
        <xdr:to>
          <xdr:col>7</xdr:col>
          <xdr:colOff>480060</xdr:colOff>
          <xdr:row>15</xdr:row>
          <xdr:rowOff>228600</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14</xdr:col>
      <xdr:colOff>420006</xdr:colOff>
      <xdr:row>10</xdr:row>
      <xdr:rowOff>113669</xdr:rowOff>
    </xdr:from>
    <xdr:to>
      <xdr:col>15</xdr:col>
      <xdr:colOff>266442</xdr:colOff>
      <xdr:row>11</xdr:row>
      <xdr:rowOff>113952</xdr:rowOff>
    </xdr:to>
    <xdr:sp macro="" textlink="">
      <xdr:nvSpPr>
        <xdr:cNvPr id="89" name="Text Box 279">
          <a:extLst>
            <a:ext uri="{FF2B5EF4-FFF2-40B4-BE49-F238E27FC236}">
              <a16:creationId xmlns:a16="http://schemas.microsoft.com/office/drawing/2014/main" id="{00000000-0008-0000-0000-000059000000}"/>
            </a:ext>
          </a:extLst>
        </xdr:cNvPr>
        <xdr:cNvSpPr txBox="1">
          <a:spLocks noChangeArrowheads="1"/>
        </xdr:cNvSpPr>
      </xdr:nvSpPr>
      <xdr:spPr bwMode="auto">
        <a:xfrm>
          <a:off x="9445568" y="2344818"/>
          <a:ext cx="454656" cy="222840"/>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59</xdr:row>
          <xdr:rowOff>182880</xdr:rowOff>
        </xdr:from>
        <xdr:to>
          <xdr:col>1</xdr:col>
          <xdr:colOff>441960</xdr:colOff>
          <xdr:row>60</xdr:row>
          <xdr:rowOff>182880</xdr:rowOff>
        </xdr:to>
        <xdr:sp macro="" textlink="">
          <xdr:nvSpPr>
            <xdr:cNvPr id="728163" name="Drop Down 4195" hidden="1">
              <a:extLst>
                <a:ext uri="{63B3BB69-23CF-44E3-9099-C40C66FF867C}">
                  <a14:compatExt spid="_x0000_s728163"/>
                </a:ext>
                <a:ext uri="{FF2B5EF4-FFF2-40B4-BE49-F238E27FC236}">
                  <a16:creationId xmlns:a16="http://schemas.microsoft.com/office/drawing/2014/main" id="{00000000-0008-0000-0000-000063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742749"/>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68">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66µF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62">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3.3µH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72">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40µF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66">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3.3V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410">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5A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64">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9mΩ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412">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23V...25V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625144</xdr:colOff>
      <xdr:row>3</xdr:row>
      <xdr:rowOff>10762</xdr:rowOff>
    </xdr:from>
    <xdr:to>
      <xdr:col>2</xdr:col>
      <xdr:colOff>1001153</xdr:colOff>
      <xdr:row>4</xdr:row>
      <xdr:rowOff>107754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674924" y="513682"/>
          <a:ext cx="376009" cy="26463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647693</xdr:colOff>
      <xdr:row>4</xdr:row>
      <xdr:rowOff>101659</xdr:rowOff>
    </xdr:from>
    <xdr:to>
      <xdr:col>2</xdr:col>
      <xdr:colOff>1099751</xdr:colOff>
      <xdr:row>6</xdr:row>
      <xdr:rowOff>6192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697473" y="772219"/>
          <a:ext cx="452058" cy="23981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62">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4.7µH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64">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8mΩ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68">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66µF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66">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5V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410">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5A</a:t>
          </a:fld>
          <a:endParaRPr lang="en-US" sz="1050" b="1" i="0" strike="noStrike">
            <a:solidFill>
              <a:srgbClr val="FF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3">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LM5137F-Q1</a:t>
          </a:fld>
          <a:endParaRPr lang="en-US" sz="2000" b="1" i="0" u="none" strike="noStrike" baseline="0">
            <a:solidFill>
              <a:srgbClr val="FF0000"/>
            </a:solidFill>
            <a:latin typeface="Arial" pitchFamily="34" charset="0"/>
            <a:cs typeface="Arial" pitchFamily="34" charset="0"/>
          </a:endParaRPr>
        </a:p>
      </xdr:txBody>
    </xdr:sp>
    <xdr:clientData/>
  </xdr:twoCellAnchor>
  <xdr:twoCellAnchor editAs="absolute">
    <xdr:from>
      <xdr:col>4</xdr:col>
      <xdr:colOff>352715</xdr:colOff>
      <xdr:row>29</xdr:row>
      <xdr:rowOff>103126</xdr:rowOff>
    </xdr:from>
    <xdr:to>
      <xdr:col>4</xdr:col>
      <xdr:colOff>734491</xdr:colOff>
      <xdr:row>31</xdr:row>
      <xdr:rowOff>20697</xdr:rowOff>
    </xdr:to>
    <xdr:sp macro="" textlink="">
      <xdr:nvSpPr>
        <xdr:cNvPr id="62" name="Text Box 233">
          <a:extLst>
            <a:ext uri="{FF2B5EF4-FFF2-40B4-BE49-F238E27FC236}">
              <a16:creationId xmlns:a16="http://schemas.microsoft.com/office/drawing/2014/main" id="{00000000-0008-0000-0100-00003E000000}"/>
            </a:ext>
          </a:extLst>
        </xdr:cNvPr>
        <xdr:cNvSpPr txBox="1">
          <a:spLocks noChangeArrowheads="1"/>
        </xdr:cNvSpPr>
      </xdr:nvSpPr>
      <xdr:spPr bwMode="auto">
        <a:xfrm>
          <a:off x="4886615" y="4964686"/>
          <a:ext cx="381776" cy="252851"/>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2</xdr:col>
      <xdr:colOff>673438</xdr:colOff>
      <xdr:row>29</xdr:row>
      <xdr:rowOff>17037</xdr:rowOff>
    </xdr:from>
    <xdr:to>
      <xdr:col>2</xdr:col>
      <xdr:colOff>918788</xdr:colOff>
      <xdr:row>30</xdr:row>
      <xdr:rowOff>85069</xdr:rowOff>
    </xdr:to>
    <xdr:sp macro="" textlink="">
      <xdr:nvSpPr>
        <xdr:cNvPr id="63" name="Text Box 256">
          <a:extLst>
            <a:ext uri="{FF2B5EF4-FFF2-40B4-BE49-F238E27FC236}">
              <a16:creationId xmlns:a16="http://schemas.microsoft.com/office/drawing/2014/main" id="{00000000-0008-0000-0100-00003F000000}"/>
            </a:ext>
          </a:extLst>
        </xdr:cNvPr>
        <xdr:cNvSpPr txBox="1">
          <a:spLocks noChangeArrowheads="1"/>
        </xdr:cNvSpPr>
      </xdr:nvSpPr>
      <xdr:spPr bwMode="auto">
        <a:xfrm>
          <a:off x="2723218" y="4878597"/>
          <a:ext cx="245350" cy="23567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304562</xdr:colOff>
      <xdr:row>24</xdr:row>
      <xdr:rowOff>17317</xdr:rowOff>
    </xdr:from>
    <xdr:to>
      <xdr:col>2</xdr:col>
      <xdr:colOff>609539</xdr:colOff>
      <xdr:row>25</xdr:row>
      <xdr:rowOff>90536</xdr:rowOff>
    </xdr:to>
    <xdr:sp macro="" textlink="">
      <xdr:nvSpPr>
        <xdr:cNvPr id="64" name="Text Box 257">
          <a:extLst>
            <a:ext uri="{FF2B5EF4-FFF2-40B4-BE49-F238E27FC236}">
              <a16:creationId xmlns:a16="http://schemas.microsoft.com/office/drawing/2014/main" id="{00000000-0008-0000-0100-000040000000}"/>
            </a:ext>
          </a:extLst>
        </xdr:cNvPr>
        <xdr:cNvSpPr txBox="1">
          <a:spLocks noChangeArrowheads="1"/>
        </xdr:cNvSpPr>
      </xdr:nvSpPr>
      <xdr:spPr bwMode="auto">
        <a:xfrm>
          <a:off x="2354342" y="4040677"/>
          <a:ext cx="304977" cy="24085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720854</xdr:colOff>
      <xdr:row>24</xdr:row>
      <xdr:rowOff>56245</xdr:rowOff>
    </xdr:from>
    <xdr:to>
      <xdr:col>2</xdr:col>
      <xdr:colOff>1040548</xdr:colOff>
      <xdr:row>25</xdr:row>
      <xdr:rowOff>94328</xdr:rowOff>
    </xdr:to>
    <xdr:sp macro="" textlink="">
      <xdr:nvSpPr>
        <xdr:cNvPr id="65" name="Text Box 258">
          <a:extLst>
            <a:ext uri="{FF2B5EF4-FFF2-40B4-BE49-F238E27FC236}">
              <a16:creationId xmlns:a16="http://schemas.microsoft.com/office/drawing/2014/main" id="{00000000-0008-0000-0100-000041000000}"/>
            </a:ext>
          </a:extLst>
        </xdr:cNvPr>
        <xdr:cNvSpPr txBox="1">
          <a:spLocks noChangeArrowheads="1"/>
        </xdr:cNvSpPr>
      </xdr:nvSpPr>
      <xdr:spPr bwMode="auto">
        <a:xfrm>
          <a:off x="2770634" y="4079605"/>
          <a:ext cx="319694" cy="20572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489870</xdr:colOff>
      <xdr:row>30</xdr:row>
      <xdr:rowOff>8879</xdr:rowOff>
    </xdr:from>
    <xdr:to>
      <xdr:col>2</xdr:col>
      <xdr:colOff>954367</xdr:colOff>
      <xdr:row>31</xdr:row>
      <xdr:rowOff>54536</xdr:rowOff>
    </xdr:to>
    <xdr:sp macro="" textlink="'Variable Management'!B378">
      <xdr:nvSpPr>
        <xdr:cNvPr id="66" name="Text Box 262">
          <a:extLst>
            <a:ext uri="{FF2B5EF4-FFF2-40B4-BE49-F238E27FC236}">
              <a16:creationId xmlns:a16="http://schemas.microsoft.com/office/drawing/2014/main" id="{00000000-0008-0000-0100-000042000000}"/>
            </a:ext>
          </a:extLst>
        </xdr:cNvPr>
        <xdr:cNvSpPr txBox="1">
          <a:spLocks noChangeArrowheads="1" noTextEdit="1"/>
        </xdr:cNvSpPr>
      </xdr:nvSpPr>
      <xdr:spPr bwMode="auto">
        <a:xfrm>
          <a:off x="2539650" y="5038079"/>
          <a:ext cx="464497" cy="213297"/>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68pF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682916</xdr:colOff>
      <xdr:row>25</xdr:row>
      <xdr:rowOff>87699</xdr:rowOff>
    </xdr:from>
    <xdr:to>
      <xdr:col>3</xdr:col>
      <xdr:colOff>50207</xdr:colOff>
      <xdr:row>26</xdr:row>
      <xdr:rowOff>129301</xdr:rowOff>
    </xdr:to>
    <xdr:sp macro="" textlink="'Variable Management'!B376">
      <xdr:nvSpPr>
        <xdr:cNvPr id="67" name="Text Box 263">
          <a:extLst>
            <a:ext uri="{FF2B5EF4-FFF2-40B4-BE49-F238E27FC236}">
              <a16:creationId xmlns:a16="http://schemas.microsoft.com/office/drawing/2014/main" id="{00000000-0008-0000-0100-000043000000}"/>
            </a:ext>
          </a:extLst>
        </xdr:cNvPr>
        <xdr:cNvSpPr txBox="1">
          <a:spLocks noChangeArrowheads="1" noTextEdit="1"/>
        </xdr:cNvSpPr>
      </xdr:nvSpPr>
      <xdr:spPr bwMode="auto">
        <a:xfrm>
          <a:off x="2732696" y="4278699"/>
          <a:ext cx="472191" cy="209242"/>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1000" b="0" i="0" u="none" strike="noStrike" baseline="0">
              <a:solidFill>
                <a:srgbClr val="000000"/>
              </a:solidFill>
              <a:latin typeface="Arial" pitchFamily="34" charset="0"/>
              <a:cs typeface="Arial" pitchFamily="34" charset="0"/>
            </a:rPr>
            <a:pPr algn="l" rtl="0">
              <a:defRPr sz="1000"/>
            </a:pPr>
            <a:t>9.53kΩ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1005376</xdr:colOff>
      <xdr:row>31</xdr:row>
      <xdr:rowOff>60357</xdr:rowOff>
    </xdr:from>
    <xdr:to>
      <xdr:col>4</xdr:col>
      <xdr:colOff>322423</xdr:colOff>
      <xdr:row>32</xdr:row>
      <xdr:rowOff>144828</xdr:rowOff>
    </xdr:to>
    <xdr:sp macro="" textlink="'Variable Management'!B403">
      <xdr:nvSpPr>
        <xdr:cNvPr id="68" name="Text Box 265">
          <a:extLst>
            <a:ext uri="{FF2B5EF4-FFF2-40B4-BE49-F238E27FC236}">
              <a16:creationId xmlns:a16="http://schemas.microsoft.com/office/drawing/2014/main" id="{00000000-0008-0000-0100-000044000000}"/>
            </a:ext>
          </a:extLst>
        </xdr:cNvPr>
        <xdr:cNvSpPr txBox="1">
          <a:spLocks noChangeArrowheads="1" noTextEdit="1"/>
        </xdr:cNvSpPr>
      </xdr:nvSpPr>
      <xdr:spPr bwMode="auto">
        <a:xfrm>
          <a:off x="4160056" y="5257197"/>
          <a:ext cx="696267" cy="252111"/>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52.3kΩ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286335</xdr:colOff>
      <xdr:row>30</xdr:row>
      <xdr:rowOff>119182</xdr:rowOff>
    </xdr:from>
    <xdr:to>
      <xdr:col>3</xdr:col>
      <xdr:colOff>733503</xdr:colOff>
      <xdr:row>32</xdr:row>
      <xdr:rowOff>3827</xdr:rowOff>
    </xdr:to>
    <xdr:sp macro="" textlink="'Variable Management'!B404">
      <xdr:nvSpPr>
        <xdr:cNvPr id="69" name="Text Box 281">
          <a:extLst>
            <a:ext uri="{FF2B5EF4-FFF2-40B4-BE49-F238E27FC236}">
              <a16:creationId xmlns:a16="http://schemas.microsoft.com/office/drawing/2014/main" id="{00000000-0008-0000-0100-000045000000}"/>
            </a:ext>
          </a:extLst>
        </xdr:cNvPr>
        <xdr:cNvSpPr txBox="1">
          <a:spLocks noChangeArrowheads="1" noTextEdit="1"/>
        </xdr:cNvSpPr>
      </xdr:nvSpPr>
      <xdr:spPr bwMode="auto">
        <a:xfrm>
          <a:off x="3441015" y="5148382"/>
          <a:ext cx="447168" cy="219925"/>
        </a:xfrm>
        <a:prstGeom prst="rect">
          <a:avLst/>
        </a:prstGeom>
        <a:noFill/>
        <a:ln w="9525">
          <a:noFill/>
          <a:miter lim="800000"/>
          <a:headEnd/>
          <a:tailEnd/>
        </a:ln>
      </xdr:spPr>
      <xdr:txBody>
        <a:bodyPr vertOverflow="clip" wrap="square" lIns="27432" tIns="22860" rIns="0" bIns="0" anchor="t" upright="1"/>
        <a:lstStyle/>
        <a:p>
          <a:pPr algn="r" rtl="0">
            <a:defRPr sz="1000"/>
          </a:pPr>
          <a:fld id="{77460045-3ADA-4E36-A50B-8C5C548E137C}" type="TxLink">
            <a:rPr lang="en-US" sz="1000" b="0" i="0" u="none" strike="noStrike">
              <a:solidFill>
                <a:srgbClr val="000000"/>
              </a:solidFill>
              <a:latin typeface="Arial" pitchFamily="34" charset="0"/>
              <a:cs typeface="Arial" pitchFamily="34" charset="0"/>
            </a:rPr>
            <a:pPr algn="r"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1334680</xdr:colOff>
      <xdr:row>29</xdr:row>
      <xdr:rowOff>106828</xdr:rowOff>
    </xdr:from>
    <xdr:to>
      <xdr:col>4</xdr:col>
      <xdr:colOff>235669</xdr:colOff>
      <xdr:row>30</xdr:row>
      <xdr:rowOff>109461</xdr:rowOff>
    </xdr:to>
    <xdr:sp macro="" textlink="">
      <xdr:nvSpPr>
        <xdr:cNvPr id="70" name="Text Box 251">
          <a:extLst>
            <a:ext uri="{FF2B5EF4-FFF2-40B4-BE49-F238E27FC236}">
              <a16:creationId xmlns:a16="http://schemas.microsoft.com/office/drawing/2014/main" id="{00000000-0008-0000-0100-000046000000}"/>
            </a:ext>
          </a:extLst>
        </xdr:cNvPr>
        <xdr:cNvSpPr txBox="1">
          <a:spLocks noChangeArrowheads="1"/>
        </xdr:cNvSpPr>
      </xdr:nvSpPr>
      <xdr:spPr bwMode="auto">
        <a:xfrm>
          <a:off x="4489360" y="4968388"/>
          <a:ext cx="280209" cy="170273"/>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editAs="absolute">
    <xdr:from>
      <xdr:col>2</xdr:col>
      <xdr:colOff>228600</xdr:colOff>
      <xdr:row>25</xdr:row>
      <xdr:rowOff>41044</xdr:rowOff>
    </xdr:from>
    <xdr:to>
      <xdr:col>2</xdr:col>
      <xdr:colOff>724591</xdr:colOff>
      <xdr:row>26</xdr:row>
      <xdr:rowOff>114986</xdr:rowOff>
    </xdr:to>
    <xdr:sp macro="" textlink="'Variable Management'!B377">
      <xdr:nvSpPr>
        <xdr:cNvPr id="71" name="Text Box 261">
          <a:extLst>
            <a:ext uri="{FF2B5EF4-FFF2-40B4-BE49-F238E27FC236}">
              <a16:creationId xmlns:a16="http://schemas.microsoft.com/office/drawing/2014/main" id="{00000000-0008-0000-0100-000047000000}"/>
            </a:ext>
          </a:extLst>
        </xdr:cNvPr>
        <xdr:cNvSpPr txBox="1">
          <a:spLocks noChangeArrowheads="1" noTextEdit="1"/>
        </xdr:cNvSpPr>
      </xdr:nvSpPr>
      <xdr:spPr bwMode="auto">
        <a:xfrm>
          <a:off x="2278380" y="4232044"/>
          <a:ext cx="495991" cy="24158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ri"/>
              <a:cs typeface="Arial" pitchFamily="34" charset="0"/>
            </a:rPr>
            <a:pPr algn="ct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427669</xdr:colOff>
      <xdr:row>31</xdr:row>
      <xdr:rowOff>18378</xdr:rowOff>
    </xdr:from>
    <xdr:to>
      <xdr:col>4</xdr:col>
      <xdr:colOff>847666</xdr:colOff>
      <xdr:row>32</xdr:row>
      <xdr:rowOff>76742</xdr:rowOff>
    </xdr:to>
    <xdr:sp macro="" textlink="">
      <xdr:nvSpPr>
        <xdr:cNvPr id="72" name="Text Box 279">
          <a:extLst>
            <a:ext uri="{FF2B5EF4-FFF2-40B4-BE49-F238E27FC236}">
              <a16:creationId xmlns:a16="http://schemas.microsoft.com/office/drawing/2014/main" id="{00000000-0008-0000-0100-000048000000}"/>
            </a:ext>
          </a:extLst>
        </xdr:cNvPr>
        <xdr:cNvSpPr txBox="1">
          <a:spLocks noChangeArrowheads="1"/>
        </xdr:cNvSpPr>
      </xdr:nvSpPr>
      <xdr:spPr bwMode="auto">
        <a:xfrm>
          <a:off x="4961569" y="5215218"/>
          <a:ext cx="419997" cy="226004"/>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3</xdr:col>
      <xdr:colOff>424245</xdr:colOff>
      <xdr:row>29</xdr:row>
      <xdr:rowOff>69956</xdr:rowOff>
    </xdr:from>
    <xdr:to>
      <xdr:col>3</xdr:col>
      <xdr:colOff>757116</xdr:colOff>
      <xdr:row>30</xdr:row>
      <xdr:rowOff>152369</xdr:rowOff>
    </xdr:to>
    <xdr:sp macro="" textlink="">
      <xdr:nvSpPr>
        <xdr:cNvPr id="73" name="Text Box 251">
          <a:extLst>
            <a:ext uri="{FF2B5EF4-FFF2-40B4-BE49-F238E27FC236}">
              <a16:creationId xmlns:a16="http://schemas.microsoft.com/office/drawing/2014/main" id="{00000000-0008-0000-0100-000049000000}"/>
            </a:ext>
          </a:extLst>
        </xdr:cNvPr>
        <xdr:cNvSpPr txBox="1">
          <a:spLocks noChangeArrowheads="1"/>
        </xdr:cNvSpPr>
      </xdr:nvSpPr>
      <xdr:spPr bwMode="auto">
        <a:xfrm>
          <a:off x="3578925" y="4931516"/>
          <a:ext cx="332871" cy="25005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SS</a:t>
          </a:r>
        </a:p>
      </xdr:txBody>
    </xdr:sp>
    <xdr:clientData/>
  </xdr:twoCellAnchor>
  <xdr:twoCellAnchor editAs="absolute">
    <xdr:from>
      <xdr:col>5</xdr:col>
      <xdr:colOff>1369851</xdr:colOff>
      <xdr:row>25</xdr:row>
      <xdr:rowOff>3866</xdr:rowOff>
    </xdr:from>
    <xdr:to>
      <xdr:col>6</xdr:col>
      <xdr:colOff>486622</xdr:colOff>
      <xdr:row>26</xdr:row>
      <xdr:rowOff>75965</xdr:rowOff>
    </xdr:to>
    <xdr:sp macro="" textlink="'Variable Management'!D377">
      <xdr:nvSpPr>
        <xdr:cNvPr id="74" name="Text Box 261">
          <a:extLst>
            <a:ext uri="{FF2B5EF4-FFF2-40B4-BE49-F238E27FC236}">
              <a16:creationId xmlns:a16="http://schemas.microsoft.com/office/drawing/2014/main" id="{00000000-0008-0000-0100-00004A000000}"/>
            </a:ext>
          </a:extLst>
        </xdr:cNvPr>
        <xdr:cNvSpPr txBox="1">
          <a:spLocks noChangeArrowheads="1" noTextEdit="1"/>
        </xdr:cNvSpPr>
      </xdr:nvSpPr>
      <xdr:spPr bwMode="auto">
        <a:xfrm>
          <a:off x="7092471" y="4194866"/>
          <a:ext cx="526471" cy="239739"/>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3.9nF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876646</xdr:colOff>
      <xdr:row>25</xdr:row>
      <xdr:rowOff>46906</xdr:rowOff>
    </xdr:from>
    <xdr:to>
      <xdr:col>5</xdr:col>
      <xdr:colOff>1364077</xdr:colOff>
      <xdr:row>26</xdr:row>
      <xdr:rowOff>94938</xdr:rowOff>
    </xdr:to>
    <xdr:sp macro="" textlink="'Variable Management'!D376">
      <xdr:nvSpPr>
        <xdr:cNvPr id="75" name="Text Box 263">
          <a:extLst>
            <a:ext uri="{FF2B5EF4-FFF2-40B4-BE49-F238E27FC236}">
              <a16:creationId xmlns:a16="http://schemas.microsoft.com/office/drawing/2014/main" id="{00000000-0008-0000-0100-00004B000000}"/>
            </a:ext>
          </a:extLst>
        </xdr:cNvPr>
        <xdr:cNvSpPr txBox="1">
          <a:spLocks noChangeArrowheads="1" noTextEdit="1"/>
        </xdr:cNvSpPr>
      </xdr:nvSpPr>
      <xdr:spPr bwMode="auto">
        <a:xfrm>
          <a:off x="6599266" y="4237906"/>
          <a:ext cx="487431" cy="215672"/>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12.1kΩ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1045401</xdr:colOff>
      <xdr:row>29</xdr:row>
      <xdr:rowOff>154227</xdr:rowOff>
    </xdr:from>
    <xdr:to>
      <xdr:col>6</xdr:col>
      <xdr:colOff>55907</xdr:colOff>
      <xdr:row>31</xdr:row>
      <xdr:rowOff>29826</xdr:rowOff>
    </xdr:to>
    <xdr:sp macro="" textlink="'Variable Management'!D378">
      <xdr:nvSpPr>
        <xdr:cNvPr id="76" name="Text Box 262">
          <a:extLst>
            <a:ext uri="{FF2B5EF4-FFF2-40B4-BE49-F238E27FC236}">
              <a16:creationId xmlns:a16="http://schemas.microsoft.com/office/drawing/2014/main" id="{00000000-0008-0000-0100-00004C000000}"/>
            </a:ext>
          </a:extLst>
        </xdr:cNvPr>
        <xdr:cNvSpPr txBox="1">
          <a:spLocks noChangeArrowheads="1" noTextEdit="1"/>
        </xdr:cNvSpPr>
      </xdr:nvSpPr>
      <xdr:spPr bwMode="auto">
        <a:xfrm>
          <a:off x="6768021" y="5015787"/>
          <a:ext cx="420206" cy="21087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56pF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155251</xdr:colOff>
      <xdr:row>30</xdr:row>
      <xdr:rowOff>116726</xdr:rowOff>
    </xdr:from>
    <xdr:to>
      <xdr:col>5</xdr:col>
      <xdr:colOff>645073</xdr:colOff>
      <xdr:row>31</xdr:row>
      <xdr:rowOff>147551</xdr:rowOff>
    </xdr:to>
    <xdr:sp macro="" textlink="'Variable Management'!B385">
      <xdr:nvSpPr>
        <xdr:cNvPr id="77" name="Text Box 266">
          <a:extLst>
            <a:ext uri="{FF2B5EF4-FFF2-40B4-BE49-F238E27FC236}">
              <a16:creationId xmlns:a16="http://schemas.microsoft.com/office/drawing/2014/main" id="{00000000-0008-0000-0100-00004D000000}"/>
            </a:ext>
          </a:extLst>
        </xdr:cNvPr>
        <xdr:cNvSpPr txBox="1">
          <a:spLocks noChangeArrowheads="1" noTextEdit="1"/>
        </xdr:cNvSpPr>
      </xdr:nvSpPr>
      <xdr:spPr bwMode="auto">
        <a:xfrm>
          <a:off x="5877871" y="5145926"/>
          <a:ext cx="489822" cy="198465"/>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10kΩ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143222</xdr:colOff>
      <xdr:row>29</xdr:row>
      <xdr:rowOff>41549</xdr:rowOff>
    </xdr:from>
    <xdr:to>
      <xdr:col>5</xdr:col>
      <xdr:colOff>524998</xdr:colOff>
      <xdr:row>30</xdr:row>
      <xdr:rowOff>119654</xdr:rowOff>
    </xdr:to>
    <xdr:sp macro="" textlink="">
      <xdr:nvSpPr>
        <xdr:cNvPr id="78" name="Text Box 233">
          <a:extLst>
            <a:ext uri="{FF2B5EF4-FFF2-40B4-BE49-F238E27FC236}">
              <a16:creationId xmlns:a16="http://schemas.microsoft.com/office/drawing/2014/main" id="{00000000-0008-0000-0100-00004E000000}"/>
            </a:ext>
          </a:extLst>
        </xdr:cNvPr>
        <xdr:cNvSpPr txBox="1">
          <a:spLocks noChangeArrowheads="1"/>
        </xdr:cNvSpPr>
      </xdr:nvSpPr>
      <xdr:spPr bwMode="auto">
        <a:xfrm>
          <a:off x="5865842" y="4903109"/>
          <a:ext cx="381776" cy="24574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CNFG</a:t>
          </a:r>
        </a:p>
      </xdr:txBody>
    </xdr:sp>
    <xdr:clientData/>
  </xdr:twoCellAnchor>
  <xdr:twoCellAnchor editAs="absolute">
    <xdr:from>
      <xdr:col>5</xdr:col>
      <xdr:colOff>944382</xdr:colOff>
      <xdr:row>24</xdr:row>
      <xdr:rowOff>44063</xdr:rowOff>
    </xdr:from>
    <xdr:to>
      <xdr:col>5</xdr:col>
      <xdr:colOff>1401333</xdr:colOff>
      <xdr:row>25</xdr:row>
      <xdr:rowOff>89413</xdr:rowOff>
    </xdr:to>
    <xdr:sp macro="" textlink="'Variable Management'!C376">
      <xdr:nvSpPr>
        <xdr:cNvPr id="79" name="Text Box 263">
          <a:extLst>
            <a:ext uri="{FF2B5EF4-FFF2-40B4-BE49-F238E27FC236}">
              <a16:creationId xmlns:a16="http://schemas.microsoft.com/office/drawing/2014/main" id="{00000000-0008-0000-0100-00004F000000}"/>
            </a:ext>
          </a:extLst>
        </xdr:cNvPr>
        <xdr:cNvSpPr txBox="1">
          <a:spLocks noChangeArrowheads="1" noTextEdit="1"/>
        </xdr:cNvSpPr>
      </xdr:nvSpPr>
      <xdr:spPr bwMode="auto">
        <a:xfrm>
          <a:off x="6667002" y="4067423"/>
          <a:ext cx="456951" cy="212990"/>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1378924</xdr:colOff>
      <xdr:row>24</xdr:row>
      <xdr:rowOff>7620</xdr:rowOff>
    </xdr:from>
    <xdr:to>
      <xdr:col>6</xdr:col>
      <xdr:colOff>428080</xdr:colOff>
      <xdr:row>25</xdr:row>
      <xdr:rowOff>61227</xdr:rowOff>
    </xdr:to>
    <xdr:sp macro="" textlink="'Variable Management'!C377">
      <xdr:nvSpPr>
        <xdr:cNvPr id="80" name="Text Box 263">
          <a:extLst>
            <a:ext uri="{FF2B5EF4-FFF2-40B4-BE49-F238E27FC236}">
              <a16:creationId xmlns:a16="http://schemas.microsoft.com/office/drawing/2014/main" id="{00000000-0008-0000-0100-000050000000}"/>
            </a:ext>
          </a:extLst>
        </xdr:cNvPr>
        <xdr:cNvSpPr txBox="1">
          <a:spLocks noChangeArrowheads="1" noTextEdit="1"/>
        </xdr:cNvSpPr>
      </xdr:nvSpPr>
      <xdr:spPr bwMode="auto">
        <a:xfrm>
          <a:off x="7101544" y="4030980"/>
          <a:ext cx="458856" cy="22124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1129724</xdr:colOff>
      <xdr:row>28</xdr:row>
      <xdr:rowOff>124265</xdr:rowOff>
    </xdr:from>
    <xdr:to>
      <xdr:col>6</xdr:col>
      <xdr:colOff>176975</xdr:colOff>
      <xdr:row>30</xdr:row>
      <xdr:rowOff>25472</xdr:rowOff>
    </xdr:to>
    <xdr:sp macro="" textlink="'Variable Management'!C378">
      <xdr:nvSpPr>
        <xdr:cNvPr id="81" name="Text Box 263">
          <a:extLst>
            <a:ext uri="{FF2B5EF4-FFF2-40B4-BE49-F238E27FC236}">
              <a16:creationId xmlns:a16="http://schemas.microsoft.com/office/drawing/2014/main" id="{00000000-0008-0000-0100-000051000000}"/>
            </a:ext>
          </a:extLst>
        </xdr:cNvPr>
        <xdr:cNvSpPr txBox="1">
          <a:spLocks noChangeArrowheads="1" noTextEdit="1"/>
        </xdr:cNvSpPr>
      </xdr:nvSpPr>
      <xdr:spPr bwMode="auto">
        <a:xfrm>
          <a:off x="6852344" y="4818185"/>
          <a:ext cx="45695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537883</xdr:colOff>
      <xdr:row>6</xdr:row>
      <xdr:rowOff>56033</xdr:rowOff>
    </xdr:from>
    <xdr:to>
      <xdr:col>12</xdr:col>
      <xdr:colOff>591671</xdr:colOff>
      <xdr:row>47</xdr:row>
      <xdr:rowOff>31221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37883" y="1546415"/>
          <a:ext cx="7315200" cy="6407365"/>
        </a:xfrm>
        <a:prstGeom prst="rect">
          <a:avLst/>
        </a:prstGeom>
      </xdr:spPr>
    </xdr:pic>
    <xdr:clientData/>
  </xdr:twoCellAnchor>
  <xdr:twoCellAnchor editAs="oneCell">
    <xdr:from>
      <xdr:col>13</xdr:col>
      <xdr:colOff>459443</xdr:colOff>
      <xdr:row>6</xdr:row>
      <xdr:rowOff>100335</xdr:rowOff>
    </xdr:from>
    <xdr:to>
      <xdr:col>24</xdr:col>
      <xdr:colOff>421133</xdr:colOff>
      <xdr:row>47</xdr:row>
      <xdr:rowOff>44824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8325972" y="1590717"/>
          <a:ext cx="7256720" cy="637666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55</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2451660" y="4113558"/>
          <a:ext cx="6371811" cy="5428007"/>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77">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4.7nF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86">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78.7kΩ</a:t>
            </a:fld>
            <a:endParaRPr lang="el-GR" sz="1000" b="1" i="0" u="none" strike="noStrike" baseline="0">
              <a:solidFill>
                <a:srgbClr val="000000"/>
              </a:solidFill>
              <a:latin typeface="Arial"/>
              <a:cs typeface="Arial"/>
            </a:endParaRPr>
          </a:p>
        </xdr:txBody>
      </xdr:sp>
      <xdr:sp macro="" textlink="$A$387">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24.9kΩ</a:t>
            </a:fld>
            <a:endParaRPr lang="el-GR" sz="1000" b="1" i="0" u="none" strike="noStrike" baseline="0">
              <a:solidFill>
                <a:srgbClr val="000000"/>
              </a:solidFill>
              <a:latin typeface="Arial"/>
              <a:cs typeface="Arial"/>
            </a:endParaRPr>
          </a:p>
        </xdr:txBody>
      </xdr:sp>
      <xdr:sp macro="" textlink="$A$376">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9.53kΩ</a:t>
            </a:fld>
            <a:endParaRPr lang="el-GR" sz="1000" b="1" i="0" u="none" strike="noStrike" baseline="0">
              <a:solidFill>
                <a:srgbClr val="000000"/>
              </a:solidFill>
              <a:latin typeface="Arial"/>
              <a:cs typeface="Arial"/>
            </a:endParaRPr>
          </a:p>
        </xdr:txBody>
      </xdr:sp>
      <xdr:sp macro="" textlink="$A$366">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3.3V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80">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0.6mS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81">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74MΩ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82">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13MHz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89">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67°</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89">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67°</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91">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81.5%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92">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77.4%</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488758</xdr:colOff>
      <xdr:row>4</xdr:row>
      <xdr:rowOff>1021934</xdr:rowOff>
    </xdr:from>
    <xdr:to>
      <xdr:col>5</xdr:col>
      <xdr:colOff>223546</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452260</xdr:colOff>
      <xdr:row>4</xdr:row>
      <xdr:rowOff>1612609</xdr:rowOff>
    </xdr:from>
    <xdr:to>
      <xdr:col>5</xdr:col>
      <xdr:colOff>239551</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389059</xdr:colOff>
      <xdr:row>4</xdr:row>
      <xdr:rowOff>1815109</xdr:rowOff>
    </xdr:from>
    <xdr:to>
      <xdr:col>5</xdr:col>
      <xdr:colOff>297611</xdr:colOff>
      <xdr:row>4</xdr:row>
      <xdr:rowOff>1990573</xdr:rowOff>
    </xdr:to>
    <xdr:sp macro="" textlink="'Variable Management'!B387">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24.9kΩ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497470</xdr:colOff>
      <xdr:row>4</xdr:row>
      <xdr:rowOff>1194204</xdr:rowOff>
    </xdr:from>
    <xdr:to>
      <xdr:col>5</xdr:col>
      <xdr:colOff>409988</xdr:colOff>
      <xdr:row>4</xdr:row>
      <xdr:rowOff>1487293</xdr:rowOff>
    </xdr:to>
    <xdr:sp macro="" textlink="'Variable Management'!B386">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78.7kΩ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1</xdr:col>
      <xdr:colOff>0</xdr:colOff>
      <xdr:row>4</xdr:row>
      <xdr:rowOff>0</xdr:rowOff>
    </xdr:from>
    <xdr:to>
      <xdr:col>1</xdr:col>
      <xdr:colOff>8539706</xdr:colOff>
      <xdr:row>5</xdr:row>
      <xdr:rowOff>49127</xdr:rowOff>
    </xdr:to>
    <xdr:pic>
      <xdr:nvPicPr>
        <xdr:cNvPr id="23" name="Picture 22">
          <a:extLst>
            <a:ext uri="{FF2B5EF4-FFF2-40B4-BE49-F238E27FC236}">
              <a16:creationId xmlns:a16="http://schemas.microsoft.com/office/drawing/2014/main" id="{00000000-0008-0000-0A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141" y="681318"/>
          <a:ext cx="8539706" cy="52486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xdr:row>
      <xdr:rowOff>0</xdr:rowOff>
    </xdr:from>
    <xdr:to>
      <xdr:col>1</xdr:col>
      <xdr:colOff>8539705</xdr:colOff>
      <xdr:row>8</xdr:row>
      <xdr:rowOff>49127</xdr:rowOff>
    </xdr:to>
    <xdr:pic>
      <xdr:nvPicPr>
        <xdr:cNvPr id="24" name="Picture 23">
          <a:extLst>
            <a:ext uri="{FF2B5EF4-FFF2-40B4-BE49-F238E27FC236}">
              <a16:creationId xmlns:a16="http://schemas.microsoft.com/office/drawing/2014/main" id="{00000000-0008-0000-0A00-00001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6141" y="6463553"/>
          <a:ext cx="8539705" cy="52486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2</xdr:col>
      <xdr:colOff>28244</xdr:colOff>
      <xdr:row>10</xdr:row>
      <xdr:rowOff>65315</xdr:rowOff>
    </xdr:to>
    <xdr:pic>
      <xdr:nvPicPr>
        <xdr:cNvPr id="27" name="Picture 26">
          <a:extLst>
            <a:ext uri="{FF2B5EF4-FFF2-40B4-BE49-F238E27FC236}">
              <a16:creationId xmlns:a16="http://schemas.microsoft.com/office/drawing/2014/main" id="{00000000-0008-0000-0A00-00001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9343" y="11789229"/>
          <a:ext cx="8573530" cy="525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61"/>
  <sheetViews>
    <sheetView tabSelected="1" topLeftCell="A58" zoomScale="70" zoomScaleNormal="70" zoomScaleSheetLayoutView="100" workbookViewId="0">
      <selection activeCell="E45" sqref="E45"/>
    </sheetView>
  </sheetViews>
  <sheetFormatPr defaultColWidth="9.109375" defaultRowHeight="13.8" x14ac:dyDescent="0.3"/>
  <cols>
    <col min="1" max="1" width="8.33203125" style="187" customWidth="1"/>
    <col min="2" max="2" width="8.33203125" style="77" customWidth="1"/>
    <col min="3" max="3" width="13.5546875" style="77" customWidth="1"/>
    <col min="4" max="4" width="8.33203125" style="77" customWidth="1"/>
    <col min="5" max="5" width="6.88671875" style="77" customWidth="1"/>
    <col min="6" max="6" width="7.5546875" style="77" customWidth="1"/>
    <col min="7" max="7" width="12.5546875" style="77" customWidth="1"/>
    <col min="8" max="8" width="11.88671875" style="77" customWidth="1"/>
    <col min="9" max="9" width="9.109375" style="77" customWidth="1"/>
    <col min="10" max="10" width="6.88671875" style="77" customWidth="1"/>
    <col min="11" max="11" width="7.5546875" style="77" customWidth="1"/>
    <col min="12" max="12" width="12.44140625" style="77" bestFit="1" customWidth="1"/>
    <col min="13" max="15" width="9.109375" style="77"/>
    <col min="16" max="16" width="10.109375" style="77" customWidth="1"/>
    <col min="17" max="17" width="89" style="77" customWidth="1"/>
    <col min="18" max="18" width="3.109375" style="77" customWidth="1"/>
    <col min="19" max="19" width="10" style="77" bestFit="1" customWidth="1"/>
    <col min="20" max="16384" width="9.109375" style="77"/>
  </cols>
  <sheetData>
    <row r="1" spans="1:18" ht="47.25" customHeight="1" x14ac:dyDescent="0.3">
      <c r="A1" s="682" t="s">
        <v>885</v>
      </c>
      <c r="B1" s="683"/>
      <c r="C1" s="683"/>
      <c r="D1" s="683"/>
      <c r="E1" s="683"/>
      <c r="F1" s="683"/>
      <c r="G1" s="683"/>
      <c r="H1" s="683"/>
      <c r="I1" s="683"/>
      <c r="J1" s="683"/>
      <c r="K1" s="683"/>
      <c r="L1" s="683"/>
      <c r="M1" s="683"/>
      <c r="N1" s="683"/>
      <c r="O1" s="683"/>
      <c r="P1" s="683"/>
      <c r="Q1" s="683"/>
      <c r="R1" s="480"/>
    </row>
    <row r="2" spans="1:18" ht="14.1" customHeight="1" x14ac:dyDescent="0.55000000000000004">
      <c r="A2" s="483"/>
      <c r="B2" s="484"/>
      <c r="C2" s="484"/>
      <c r="D2" s="484"/>
      <c r="E2" s="484"/>
      <c r="F2" s="484"/>
      <c r="G2" s="484"/>
      <c r="H2" s="484"/>
      <c r="I2" s="484"/>
      <c r="J2" s="484"/>
      <c r="K2" s="484"/>
      <c r="L2" s="484"/>
      <c r="M2" s="484"/>
      <c r="N2" s="484"/>
      <c r="O2" s="498" t="s">
        <v>592</v>
      </c>
      <c r="P2" s="484"/>
      <c r="Q2" s="484"/>
      <c r="R2" s="480"/>
    </row>
    <row r="3" spans="1:18" ht="15.9" customHeight="1" x14ac:dyDescent="0.55000000000000004">
      <c r="A3" s="485" t="s">
        <v>232</v>
      </c>
      <c r="B3" s="486"/>
      <c r="C3" s="497" t="s">
        <v>233</v>
      </c>
      <c r="D3" s="487"/>
      <c r="E3" s="118"/>
      <c r="F3" s="491" t="s">
        <v>145</v>
      </c>
      <c r="G3" s="492"/>
      <c r="H3" s="484"/>
      <c r="I3" s="484"/>
      <c r="J3" s="492"/>
      <c r="K3" s="493"/>
      <c r="L3" s="494"/>
      <c r="M3" s="480"/>
      <c r="N3" s="480"/>
      <c r="O3" s="681" t="s">
        <v>51</v>
      </c>
      <c r="P3" s="681"/>
      <c r="Q3" s="480" t="s">
        <v>165</v>
      </c>
      <c r="R3" s="480"/>
    </row>
    <row r="4" spans="1:18" ht="13.5" customHeight="1" thickBot="1" x14ac:dyDescent="0.4">
      <c r="A4" s="488"/>
      <c r="B4" s="489"/>
      <c r="C4" s="490"/>
      <c r="D4" s="490"/>
      <c r="E4" s="490"/>
      <c r="F4" s="490"/>
      <c r="G4" s="490"/>
      <c r="H4" s="490"/>
      <c r="I4" s="490"/>
      <c r="J4" s="490"/>
      <c r="K4" s="490"/>
      <c r="L4" s="490"/>
      <c r="M4" s="495"/>
      <c r="N4" s="495"/>
      <c r="O4" s="495"/>
      <c r="P4" s="495"/>
      <c r="Q4" s="496"/>
      <c r="R4" s="480"/>
    </row>
    <row r="5" spans="1:18" ht="20.100000000000001" customHeight="1" thickBot="1" x14ac:dyDescent="0.4">
      <c r="A5" s="182" t="s">
        <v>221</v>
      </c>
      <c r="B5" s="117"/>
      <c r="C5" s="78"/>
      <c r="D5" s="78"/>
      <c r="E5" s="80"/>
      <c r="F5" s="78"/>
      <c r="G5" s="106"/>
      <c r="H5" s="81"/>
      <c r="I5" s="81"/>
      <c r="J5" s="81"/>
      <c r="K5" s="81"/>
      <c r="L5" s="81"/>
      <c r="M5" s="81"/>
      <c r="N5" s="81"/>
      <c r="O5" s="81"/>
      <c r="P5" s="81"/>
      <c r="Q5" s="105"/>
      <c r="R5" s="480"/>
    </row>
    <row r="6" spans="1:18" ht="15.75" customHeight="1" x14ac:dyDescent="0.3">
      <c r="A6" s="259"/>
      <c r="B6" s="260"/>
      <c r="C6" s="539"/>
      <c r="D6" s="539"/>
      <c r="E6" s="539"/>
      <c r="F6" s="540"/>
      <c r="G6" s="128"/>
      <c r="H6" s="126"/>
      <c r="I6" s="81"/>
      <c r="J6" s="81"/>
      <c r="K6" s="81"/>
      <c r="L6" s="81"/>
      <c r="M6" s="81"/>
      <c r="N6" s="81"/>
      <c r="O6" s="81"/>
      <c r="P6" s="81"/>
      <c r="Q6" s="105"/>
      <c r="R6" s="480"/>
    </row>
    <row r="7" spans="1:18" ht="13.5" customHeight="1" x14ac:dyDescent="0.3">
      <c r="A7" s="250"/>
      <c r="B7" s="249"/>
      <c r="C7" s="251"/>
      <c r="D7" s="263" t="s">
        <v>743</v>
      </c>
      <c r="E7" s="264">
        <v>23</v>
      </c>
      <c r="F7" s="265" t="s">
        <v>0</v>
      </c>
      <c r="G7" s="128"/>
      <c r="H7" s="126"/>
      <c r="I7" s="81"/>
      <c r="J7" s="81"/>
      <c r="K7" s="81"/>
      <c r="L7" s="81"/>
      <c r="M7" s="81"/>
      <c r="N7" s="81"/>
      <c r="O7" s="81"/>
      <c r="P7" s="81"/>
      <c r="Q7" s="105"/>
      <c r="R7" s="480"/>
    </row>
    <row r="8" spans="1:18" ht="13.5" customHeight="1" x14ac:dyDescent="0.3">
      <c r="A8" s="250"/>
      <c r="B8" s="249"/>
      <c r="C8" s="251"/>
      <c r="D8" s="263" t="s">
        <v>744</v>
      </c>
      <c r="E8" s="264">
        <v>24</v>
      </c>
      <c r="F8" s="278" t="s">
        <v>0</v>
      </c>
      <c r="G8" s="128"/>
      <c r="H8" s="126"/>
      <c r="I8" s="81"/>
      <c r="J8" s="81"/>
      <c r="K8" s="81"/>
      <c r="L8" s="81"/>
      <c r="M8" s="81"/>
      <c r="N8" s="81"/>
      <c r="O8" s="81"/>
      <c r="P8" s="81"/>
      <c r="Q8" s="105"/>
      <c r="R8" s="480"/>
    </row>
    <row r="9" spans="1:18" ht="13.5" customHeight="1" thickBot="1" x14ac:dyDescent="0.35">
      <c r="A9" s="250"/>
      <c r="B9" s="249"/>
      <c r="C9" s="251"/>
      <c r="D9" s="263" t="s">
        <v>745</v>
      </c>
      <c r="E9" s="264">
        <v>25</v>
      </c>
      <c r="F9" s="265" t="s">
        <v>0</v>
      </c>
      <c r="G9" s="128"/>
      <c r="H9" s="126"/>
      <c r="I9" s="81"/>
      <c r="J9" s="81"/>
      <c r="K9" s="81"/>
      <c r="L9" s="81"/>
      <c r="M9" s="81"/>
      <c r="N9" s="81"/>
      <c r="O9" s="81"/>
      <c r="P9" s="81"/>
      <c r="Q9" s="105"/>
      <c r="R9" s="480"/>
    </row>
    <row r="10" spans="1:18" ht="13.5" customHeight="1" x14ac:dyDescent="0.3">
      <c r="A10" s="250"/>
      <c r="B10" s="249"/>
      <c r="C10" s="251"/>
      <c r="D10" s="263" t="s">
        <v>753</v>
      </c>
      <c r="E10" s="264">
        <v>3.3</v>
      </c>
      <c r="F10" s="265" t="s">
        <v>0</v>
      </c>
      <c r="G10" s="543"/>
      <c r="H10" s="539"/>
      <c r="I10" s="544" t="s">
        <v>614</v>
      </c>
      <c r="J10" s="545">
        <v>5</v>
      </c>
      <c r="K10" s="546" t="s">
        <v>0</v>
      </c>
      <c r="L10" s="81"/>
      <c r="M10" s="81"/>
      <c r="N10" s="81"/>
      <c r="O10" s="81"/>
      <c r="P10" s="81"/>
      <c r="Q10" s="105"/>
      <c r="R10" s="480"/>
    </row>
    <row r="11" spans="1:18" ht="15.75" customHeight="1" thickBot="1" x14ac:dyDescent="0.35">
      <c r="A11" s="250"/>
      <c r="B11" s="249"/>
      <c r="C11" s="251"/>
      <c r="D11" s="263" t="s">
        <v>754</v>
      </c>
      <c r="E11" s="264">
        <v>5</v>
      </c>
      <c r="F11" s="265" t="s">
        <v>1</v>
      </c>
      <c r="G11" s="542"/>
      <c r="H11" s="547"/>
      <c r="I11" s="548" t="s">
        <v>615</v>
      </c>
      <c r="J11" s="549">
        <v>5</v>
      </c>
      <c r="K11" s="550" t="s">
        <v>1</v>
      </c>
      <c r="L11" s="81"/>
      <c r="M11" s="81"/>
      <c r="N11" s="81"/>
      <c r="O11" s="81"/>
      <c r="P11" s="81"/>
      <c r="Q11" s="105"/>
      <c r="R11" s="480"/>
    </row>
    <row r="12" spans="1:18" ht="13.5" customHeight="1" x14ac:dyDescent="0.3">
      <c r="A12" s="250"/>
      <c r="B12" s="249"/>
      <c r="C12" s="251"/>
      <c r="D12" s="263" t="s">
        <v>746</v>
      </c>
      <c r="E12" s="266">
        <v>440</v>
      </c>
      <c r="F12" s="265" t="s">
        <v>2</v>
      </c>
      <c r="G12" s="128"/>
      <c r="H12" s="126"/>
      <c r="I12" s="81"/>
      <c r="J12" s="81"/>
      <c r="K12" s="81"/>
      <c r="L12" s="81"/>
      <c r="M12" s="81"/>
      <c r="N12" s="81"/>
      <c r="O12" s="81"/>
      <c r="P12" s="81"/>
      <c r="Q12" s="105"/>
      <c r="R12" s="480"/>
    </row>
    <row r="13" spans="1:18" ht="13.5" customHeight="1" x14ac:dyDescent="0.3">
      <c r="A13" s="581"/>
      <c r="B13" s="249"/>
      <c r="C13" s="251"/>
      <c r="D13" s="251" t="s">
        <v>881</v>
      </c>
      <c r="E13" s="251">
        <f>IF('Standard Value Calculator'!O4/1000&gt;550, "N/A",'Standard Value Calculator'!O4/1000)</f>
        <v>52.3</v>
      </c>
      <c r="F13" s="253" t="s">
        <v>50</v>
      </c>
      <c r="G13" s="128"/>
      <c r="H13" s="126"/>
      <c r="I13" s="81"/>
      <c r="J13" s="81"/>
      <c r="K13" s="81"/>
      <c r="L13" s="81"/>
      <c r="M13" s="81"/>
      <c r="N13" s="81"/>
      <c r="O13" s="81"/>
      <c r="P13" s="81"/>
      <c r="Q13" s="105"/>
      <c r="R13" s="480"/>
    </row>
    <row r="14" spans="1:18" ht="17.25" customHeight="1" thickBot="1" x14ac:dyDescent="0.35">
      <c r="A14" s="255"/>
      <c r="B14" s="256"/>
      <c r="C14" s="257"/>
      <c r="D14" s="583" t="s">
        <v>742</v>
      </c>
      <c r="E14" s="615">
        <v>25</v>
      </c>
      <c r="F14" s="582" t="s">
        <v>222</v>
      </c>
      <c r="G14" s="128"/>
      <c r="H14" s="126"/>
      <c r="I14" s="81"/>
      <c r="J14" s="81"/>
      <c r="K14" s="81"/>
      <c r="L14" s="81"/>
      <c r="M14" s="81"/>
      <c r="N14" s="81"/>
      <c r="O14" s="81"/>
      <c r="P14" s="81"/>
      <c r="Q14" s="105"/>
      <c r="R14" s="480"/>
    </row>
    <row r="15" spans="1:18" ht="17.25" customHeight="1" x14ac:dyDescent="0.3">
      <c r="A15" s="581"/>
      <c r="B15" s="249"/>
      <c r="C15" s="251"/>
      <c r="D15" s="616"/>
      <c r="E15" s="616"/>
      <c r="F15" s="618"/>
      <c r="G15" s="128"/>
      <c r="H15" s="126"/>
      <c r="I15" s="81"/>
      <c r="J15" s="81"/>
      <c r="K15" s="81"/>
      <c r="L15" s="81"/>
      <c r="M15" s="81"/>
      <c r="N15" s="81"/>
      <c r="O15" s="81"/>
      <c r="P15" s="81"/>
      <c r="Q15" s="105"/>
      <c r="R15" s="480"/>
    </row>
    <row r="16" spans="1:18" ht="20.100000000000001" customHeight="1" thickBot="1" x14ac:dyDescent="0.35">
      <c r="A16" s="182" t="s">
        <v>763</v>
      </c>
      <c r="B16" s="130"/>
      <c r="C16" s="126"/>
      <c r="D16" s="126"/>
      <c r="E16" s="126"/>
      <c r="F16" s="126"/>
      <c r="G16" s="128"/>
      <c r="H16" s="126"/>
      <c r="I16" s="81"/>
      <c r="J16" s="81"/>
      <c r="K16" s="81"/>
      <c r="L16" s="81"/>
      <c r="M16" s="81"/>
      <c r="N16" s="81"/>
      <c r="O16" s="81"/>
      <c r="P16" s="81"/>
      <c r="Q16" s="105"/>
      <c r="R16" s="480"/>
    </row>
    <row r="17" spans="1:18" ht="15" customHeight="1" x14ac:dyDescent="0.35">
      <c r="A17" s="259"/>
      <c r="B17" s="152"/>
      <c r="C17" s="152"/>
      <c r="D17" s="154" t="s">
        <v>630</v>
      </c>
      <c r="E17" s="293">
        <v>6</v>
      </c>
      <c r="F17" s="155" t="s">
        <v>1</v>
      </c>
      <c r="G17" s="543"/>
      <c r="H17" s="173"/>
      <c r="I17" s="154" t="s">
        <v>630</v>
      </c>
      <c r="J17" s="293">
        <v>6</v>
      </c>
      <c r="K17" s="155" t="s">
        <v>1</v>
      </c>
      <c r="L17" s="81"/>
      <c r="M17" s="81"/>
      <c r="N17" s="81"/>
      <c r="O17" s="81"/>
      <c r="P17" s="81"/>
      <c r="Q17" s="105"/>
      <c r="R17" s="480"/>
    </row>
    <row r="18" spans="1:18" ht="15" customHeight="1" x14ac:dyDescent="0.3">
      <c r="A18" s="250"/>
      <c r="B18" s="126"/>
      <c r="C18" s="126"/>
      <c r="D18" s="123" t="s">
        <v>300</v>
      </c>
      <c r="E18" s="295">
        <f>Rs_ideal*1000</f>
        <v>8.5364588796474443</v>
      </c>
      <c r="F18" s="161" t="s">
        <v>49</v>
      </c>
      <c r="G18" s="128"/>
      <c r="H18" s="126"/>
      <c r="I18" s="123" t="s">
        <v>300</v>
      </c>
      <c r="J18" s="295">
        <f>Rs2_ideal*1000</f>
        <v>8.5879867067846618</v>
      </c>
      <c r="K18" s="161" t="s">
        <v>49</v>
      </c>
      <c r="L18" s="81"/>
      <c r="M18" s="81"/>
      <c r="N18" s="81"/>
      <c r="O18" s="81"/>
      <c r="P18" s="81"/>
      <c r="Q18" s="105"/>
      <c r="R18" s="480"/>
    </row>
    <row r="19" spans="1:18" ht="13.65" customHeight="1" x14ac:dyDescent="0.35">
      <c r="A19" s="250"/>
      <c r="B19" s="126"/>
      <c r="C19" s="126"/>
      <c r="D19" s="151" t="s">
        <v>878</v>
      </c>
      <c r="E19" s="127">
        <v>9</v>
      </c>
      <c r="F19" s="156" t="s">
        <v>49</v>
      </c>
      <c r="G19" s="128"/>
      <c r="H19" s="126"/>
      <c r="I19" s="151" t="s">
        <v>879</v>
      </c>
      <c r="J19" s="127">
        <v>8</v>
      </c>
      <c r="K19" s="156" t="s">
        <v>49</v>
      </c>
      <c r="L19" s="81"/>
      <c r="M19" s="81"/>
      <c r="N19" s="81"/>
      <c r="O19" s="81"/>
      <c r="P19" s="81"/>
      <c r="Q19" s="105"/>
      <c r="R19" s="480"/>
    </row>
    <row r="20" spans="1:18" ht="13.5" customHeight="1" x14ac:dyDescent="0.35">
      <c r="A20" s="250"/>
      <c r="B20" s="126"/>
      <c r="C20" s="126"/>
      <c r="D20" s="508" t="s">
        <v>662</v>
      </c>
      <c r="E20" s="533">
        <f>'Variable Management'!B96</f>
        <v>6.666666666666667</v>
      </c>
      <c r="F20" s="161" t="s">
        <v>1</v>
      </c>
      <c r="G20" s="128"/>
      <c r="H20" s="126"/>
      <c r="I20" s="508" t="s">
        <v>650</v>
      </c>
      <c r="J20" s="533">
        <f>'Variable Management'!D96</f>
        <v>7.5</v>
      </c>
      <c r="K20" s="161" t="s">
        <v>1</v>
      </c>
      <c r="L20" s="81"/>
      <c r="M20" s="81"/>
      <c r="N20" s="81"/>
      <c r="O20" s="81"/>
      <c r="P20" s="81"/>
      <c r="Q20" s="105"/>
      <c r="R20" s="480"/>
    </row>
    <row r="21" spans="1:18" ht="13.65" customHeight="1" x14ac:dyDescent="0.35">
      <c r="A21" s="250"/>
      <c r="B21" s="126"/>
      <c r="C21" s="126"/>
      <c r="D21" s="508" t="s">
        <v>645</v>
      </c>
      <c r="E21" s="509">
        <f>'Variable Management'!B106</f>
        <v>0.28994513910905223</v>
      </c>
      <c r="F21" s="161" t="s">
        <v>116</v>
      </c>
      <c r="G21" s="128"/>
      <c r="H21" s="126"/>
      <c r="I21" s="508" t="s">
        <v>651</v>
      </c>
      <c r="J21" s="509">
        <f>'Variable Management'!D106</f>
        <v>0.34312553455950912</v>
      </c>
      <c r="K21" s="161" t="s">
        <v>116</v>
      </c>
      <c r="L21" s="81"/>
      <c r="M21" s="81"/>
      <c r="N21" s="81"/>
      <c r="O21" s="81"/>
      <c r="P21" s="81"/>
      <c r="Q21" s="105"/>
      <c r="R21" s="480"/>
    </row>
    <row r="22" spans="1:18" ht="13.65" customHeight="1" x14ac:dyDescent="0.35">
      <c r="A22" s="250"/>
      <c r="B22" s="126"/>
      <c r="C22" s="111"/>
      <c r="D22" s="294" t="s">
        <v>278</v>
      </c>
      <c r="E22" s="252">
        <f>'Variable Management'!B98</f>
        <v>5.6452042864989869</v>
      </c>
      <c r="F22" s="253" t="s">
        <v>1</v>
      </c>
      <c r="G22" s="128"/>
      <c r="H22" s="126"/>
      <c r="I22" s="294" t="s">
        <v>278</v>
      </c>
      <c r="J22" s="252">
        <f>'Variable Management'!D98</f>
        <v>6.5248541767408126</v>
      </c>
      <c r="K22" s="253" t="s">
        <v>1</v>
      </c>
      <c r="L22" s="81"/>
      <c r="M22" s="81"/>
      <c r="N22" s="81"/>
      <c r="O22" s="81"/>
      <c r="P22" s="81"/>
      <c r="Q22" s="105"/>
      <c r="R22" s="480"/>
    </row>
    <row r="23" spans="1:18" ht="13.65" customHeight="1" x14ac:dyDescent="0.35">
      <c r="A23" s="250"/>
      <c r="B23" s="126"/>
      <c r="C23" s="123" t="s">
        <v>504</v>
      </c>
      <c r="D23" s="294" t="s">
        <v>279</v>
      </c>
      <c r="E23" s="252">
        <f>'Variable Management'!B99</f>
        <v>5.637991094521464</v>
      </c>
      <c r="F23" s="253" t="s">
        <v>1</v>
      </c>
      <c r="G23" s="128"/>
      <c r="H23" s="123" t="s">
        <v>649</v>
      </c>
      <c r="I23" s="294" t="s">
        <v>279</v>
      </c>
      <c r="J23" s="252">
        <f>'Variable Management'!D99</f>
        <v>6.5134964050888753</v>
      </c>
      <c r="K23" s="253" t="s">
        <v>1</v>
      </c>
      <c r="L23" s="81"/>
      <c r="M23" s="81"/>
      <c r="N23" s="81"/>
      <c r="O23" s="81"/>
      <c r="P23" s="81"/>
      <c r="Q23" s="105"/>
      <c r="R23" s="480"/>
    </row>
    <row r="24" spans="1:18" ht="13.5" customHeight="1" thickBot="1" x14ac:dyDescent="0.4">
      <c r="A24" s="273"/>
      <c r="B24" s="174"/>
      <c r="C24" s="174"/>
      <c r="D24" s="551" t="s">
        <v>280</v>
      </c>
      <c r="E24" s="552">
        <f>'Variable Management'!B100</f>
        <v>5.6313539210687988</v>
      </c>
      <c r="F24" s="275" t="s">
        <v>1</v>
      </c>
      <c r="G24" s="542"/>
      <c r="H24" s="174"/>
      <c r="I24" s="551" t="s">
        <v>280</v>
      </c>
      <c r="J24" s="552">
        <f>'Variable Management'!D100</f>
        <v>6.5030458036966774</v>
      </c>
      <c r="K24" s="275" t="s">
        <v>1</v>
      </c>
      <c r="L24" s="81"/>
      <c r="M24" s="81"/>
      <c r="N24" s="81"/>
      <c r="O24" s="81"/>
      <c r="P24" s="81"/>
      <c r="Q24" s="105"/>
      <c r="R24" s="480"/>
    </row>
    <row r="25" spans="1:18" ht="17.25" customHeight="1" x14ac:dyDescent="0.3">
      <c r="A25" s="581"/>
      <c r="B25" s="249"/>
      <c r="C25" s="251"/>
      <c r="D25" s="616"/>
      <c r="E25" s="616"/>
      <c r="F25" s="618"/>
      <c r="G25" s="128"/>
      <c r="H25" s="126"/>
      <c r="I25" s="81"/>
      <c r="J25" s="81"/>
      <c r="K25" s="81"/>
      <c r="L25" s="81"/>
      <c r="M25" s="81"/>
      <c r="N25" s="81"/>
      <c r="O25" s="81"/>
      <c r="P25" s="81"/>
      <c r="Q25" s="105"/>
      <c r="R25" s="480"/>
    </row>
    <row r="26" spans="1:18" ht="19.5" customHeight="1" thickBot="1" x14ac:dyDescent="0.35">
      <c r="A26" s="182" t="s">
        <v>764</v>
      </c>
      <c r="B26" s="130"/>
      <c r="C26" s="131"/>
      <c r="D26" s="131"/>
      <c r="E26" s="132"/>
      <c r="F26" s="131"/>
      <c r="G26" s="128"/>
      <c r="H26" s="126"/>
      <c r="I26" s="81"/>
      <c r="J26" s="81"/>
      <c r="K26" s="81"/>
      <c r="L26" s="81"/>
      <c r="M26" s="81"/>
      <c r="N26" s="81"/>
      <c r="O26" s="81"/>
      <c r="P26" s="81"/>
      <c r="Q26" s="105"/>
      <c r="R26" s="480"/>
    </row>
    <row r="27" spans="1:18" ht="13.5" customHeight="1" x14ac:dyDescent="0.3">
      <c r="A27" s="183"/>
      <c r="B27" s="152"/>
      <c r="C27" s="153"/>
      <c r="D27" s="153" t="s">
        <v>670</v>
      </c>
      <c r="E27" s="646">
        <f>IF('Variable Management'!B45&lt;1.1, ROUND('Variable Management'!B45,2), ROUND('Variable Management'!B45,1))</f>
        <v>3.1</v>
      </c>
      <c r="F27" s="160" t="s">
        <v>213</v>
      </c>
      <c r="G27" s="541"/>
      <c r="H27" s="173"/>
      <c r="I27" s="153" t="s">
        <v>609</v>
      </c>
      <c r="J27" s="646">
        <f>IF('Variable Management'!D45&lt;1, ROUND('Variable Management'!D45,2), ROUND('Variable Management'!D45,1))</f>
        <v>4.2</v>
      </c>
      <c r="K27" s="160" t="s">
        <v>213</v>
      </c>
      <c r="L27" s="81"/>
      <c r="M27" s="81"/>
      <c r="N27" s="81"/>
      <c r="O27" s="81"/>
      <c r="P27" s="81"/>
      <c r="Q27" s="105"/>
      <c r="R27" s="480"/>
    </row>
    <row r="28" spans="1:18" ht="13.5" customHeight="1" x14ac:dyDescent="0.35">
      <c r="A28" s="125"/>
      <c r="B28" s="126"/>
      <c r="C28" s="123"/>
      <c r="D28" s="151" t="s">
        <v>611</v>
      </c>
      <c r="E28" s="127">
        <v>3.3</v>
      </c>
      <c r="F28" s="156" t="s">
        <v>213</v>
      </c>
      <c r="G28" s="128"/>
      <c r="H28" s="123"/>
      <c r="I28" s="151" t="s">
        <v>610</v>
      </c>
      <c r="J28" s="127">
        <v>4.7</v>
      </c>
      <c r="K28" s="156" t="s">
        <v>213</v>
      </c>
      <c r="L28" s="81"/>
      <c r="M28" s="81"/>
      <c r="N28" s="81"/>
      <c r="O28" s="81"/>
      <c r="P28" s="81"/>
      <c r="Q28" s="105"/>
      <c r="R28" s="480"/>
    </row>
    <row r="29" spans="1:18" ht="13.5" customHeight="1" x14ac:dyDescent="0.3">
      <c r="A29" s="125"/>
      <c r="B29" s="126"/>
      <c r="C29" s="123"/>
      <c r="D29" s="151" t="s">
        <v>612</v>
      </c>
      <c r="E29" s="127">
        <v>25</v>
      </c>
      <c r="F29" s="156" t="s">
        <v>49</v>
      </c>
      <c r="G29" s="128"/>
      <c r="H29" s="123"/>
      <c r="I29" s="151" t="s">
        <v>613</v>
      </c>
      <c r="J29" s="127">
        <v>24.5</v>
      </c>
      <c r="K29" s="156" t="s">
        <v>49</v>
      </c>
      <c r="L29" s="81"/>
      <c r="M29" s="81"/>
      <c r="N29" s="81"/>
      <c r="O29" s="81"/>
      <c r="P29" s="81"/>
      <c r="Q29" s="105"/>
      <c r="R29" s="480"/>
    </row>
    <row r="30" spans="1:18" ht="16.5" customHeight="1" x14ac:dyDescent="0.3">
      <c r="A30" s="581"/>
      <c r="B30" s="249"/>
      <c r="C30" s="251"/>
      <c r="D30" s="251" t="s">
        <v>299</v>
      </c>
      <c r="E30" s="254">
        <f>'Variable Management'!B69*100</f>
        <v>41.147022885808113</v>
      </c>
      <c r="F30" s="253" t="s">
        <v>154</v>
      </c>
      <c r="G30" s="645"/>
      <c r="H30" s="126"/>
      <c r="I30" s="251" t="s">
        <v>652</v>
      </c>
      <c r="J30" s="254">
        <f>'Variable Management'!D69*100</f>
        <v>39.460143796444989</v>
      </c>
      <c r="K30" s="253" t="s">
        <v>154</v>
      </c>
      <c r="L30" s="81"/>
      <c r="M30" s="81"/>
      <c r="N30" s="81"/>
      <c r="O30" s="81"/>
      <c r="P30" s="81"/>
      <c r="Q30" s="105"/>
      <c r="R30" s="480"/>
    </row>
    <row r="31" spans="1:18" ht="16.5" customHeight="1" thickBot="1" x14ac:dyDescent="0.35">
      <c r="A31" s="273"/>
      <c r="B31" s="274"/>
      <c r="C31" s="272"/>
      <c r="D31" s="643" t="s">
        <v>855</v>
      </c>
      <c r="E31" s="245">
        <v>0.65</v>
      </c>
      <c r="F31" s="644" t="s">
        <v>116</v>
      </c>
      <c r="G31" s="542"/>
      <c r="H31" s="174"/>
      <c r="I31" s="643" t="s">
        <v>855</v>
      </c>
      <c r="J31" s="245">
        <v>0.4</v>
      </c>
      <c r="K31" s="550" t="s">
        <v>116</v>
      </c>
      <c r="L31" s="81"/>
      <c r="M31" s="81"/>
      <c r="N31" s="81"/>
      <c r="O31" s="81"/>
      <c r="P31" s="81"/>
      <c r="Q31" s="105"/>
      <c r="R31" s="480"/>
    </row>
    <row r="32" spans="1:18" ht="14.1" customHeight="1" x14ac:dyDescent="0.3">
      <c r="A32" s="125"/>
      <c r="B32" s="126"/>
      <c r="C32" s="133"/>
      <c r="D32" s="133"/>
      <c r="E32" s="133"/>
      <c r="F32" s="133"/>
      <c r="G32" s="126"/>
      <c r="H32" s="126"/>
      <c r="I32" s="81"/>
      <c r="J32" s="81"/>
      <c r="K32" s="81"/>
      <c r="L32" s="81"/>
      <c r="M32" s="81"/>
      <c r="N32" s="81"/>
      <c r="O32" s="81"/>
      <c r="P32" s="81"/>
      <c r="Q32" s="105"/>
      <c r="R32" s="480"/>
    </row>
    <row r="33" spans="1:18" ht="18" thickBot="1" x14ac:dyDescent="0.35">
      <c r="A33" s="182" t="s">
        <v>594</v>
      </c>
      <c r="B33" s="130"/>
      <c r="C33" s="131"/>
      <c r="D33" s="131"/>
      <c r="E33" s="132"/>
      <c r="F33" s="131"/>
      <c r="G33" s="126"/>
      <c r="H33" s="126"/>
      <c r="I33" s="81"/>
      <c r="J33" s="81"/>
      <c r="K33" s="81"/>
      <c r="L33" s="81"/>
      <c r="M33" s="81"/>
      <c r="N33" s="81"/>
      <c r="O33" s="81"/>
      <c r="P33" s="81"/>
      <c r="Q33" s="105"/>
      <c r="R33" s="480"/>
    </row>
    <row r="34" spans="1:18" ht="15.75" customHeight="1" x14ac:dyDescent="0.35">
      <c r="A34" s="171"/>
      <c r="B34" s="162"/>
      <c r="C34" s="153"/>
      <c r="D34" s="163" t="str">
        <f>IF(MODE=1, "Ch1 Output Voltage Ripple Spec", "Output Voltage Ripple Spec")</f>
        <v>Ch1 Output Voltage Ripple Spec</v>
      </c>
      <c r="E34" s="164">
        <v>20</v>
      </c>
      <c r="F34" s="155" t="s">
        <v>843</v>
      </c>
      <c r="G34" s="562"/>
      <c r="H34" s="173"/>
      <c r="I34" s="163" t="s">
        <v>665</v>
      </c>
      <c r="J34" s="164">
        <v>20</v>
      </c>
      <c r="K34" s="155" t="s">
        <v>843</v>
      </c>
      <c r="L34" s="81"/>
      <c r="M34" s="81"/>
      <c r="N34" s="81"/>
      <c r="O34" s="81"/>
      <c r="P34" s="81"/>
      <c r="Q34" s="105"/>
      <c r="R34" s="480"/>
    </row>
    <row r="35" spans="1:18" ht="14.1" customHeight="1" x14ac:dyDescent="0.3">
      <c r="A35" s="125"/>
      <c r="B35" s="126"/>
      <c r="C35" s="123"/>
      <c r="D35" s="123" t="str">
        <f>IF(MODE=1, "Ch1 Minimum Output Capacitance", "Minimum Output Capacitance")</f>
        <v>Ch1 Minimum Output Capacitance</v>
      </c>
      <c r="E35" s="651">
        <f>'Variable Management'!B122</f>
        <v>29.223737845034169</v>
      </c>
      <c r="F35" s="161" t="s">
        <v>214</v>
      </c>
      <c r="G35" s="126"/>
      <c r="H35" s="126"/>
      <c r="I35" s="123" t="s">
        <v>666</v>
      </c>
      <c r="J35" s="506">
        <f>'Variable Management'!D122</f>
        <v>28.025670309975137</v>
      </c>
      <c r="K35" s="161" t="s">
        <v>214</v>
      </c>
      <c r="L35" s="81"/>
      <c r="M35" s="81"/>
      <c r="N35" s="81"/>
      <c r="O35" s="81"/>
      <c r="P35" s="81"/>
      <c r="Q35" s="105"/>
      <c r="R35" s="480"/>
    </row>
    <row r="36" spans="1:18" ht="14.1" customHeight="1" x14ac:dyDescent="0.35">
      <c r="A36" s="125"/>
      <c r="B36" s="126"/>
      <c r="C36" s="123"/>
      <c r="D36" s="151" t="s">
        <v>862</v>
      </c>
      <c r="E36" s="129">
        <v>66</v>
      </c>
      <c r="F36" s="156" t="s">
        <v>214</v>
      </c>
      <c r="G36" s="128"/>
      <c r="H36" s="126"/>
      <c r="I36" s="151" t="s">
        <v>863</v>
      </c>
      <c r="J36" s="129">
        <v>66</v>
      </c>
      <c r="K36" s="156" t="s">
        <v>214</v>
      </c>
      <c r="L36" s="686" t="str">
        <f>CHOOSE(SCH_MODE, "", "** For Single-Output Operation in 2-Phase Mode, use FB1 to set VOUT **", "** For Single-Output Operation in 3-Phase Mode, use FB1 of master IC to set VOUT. Connect FB2 of master IC to AGND. Connect FB2 of slave IC to VDDA to configure it as a slave **", "** For Single-Output Operation in 4-Phase Mode, use FB1 of master IC to set VOUT. Connect FB2 of master IC to AGND. Connect FB2 of slave IC to VDDA to configure it as a slave **")</f>
        <v/>
      </c>
      <c r="M36" s="687"/>
      <c r="N36" s="687"/>
      <c r="O36" s="687"/>
      <c r="P36" s="687"/>
      <c r="Q36" s="688"/>
      <c r="R36" s="480"/>
    </row>
    <row r="37" spans="1:18" ht="14.1" customHeight="1" x14ac:dyDescent="0.3">
      <c r="A37" s="125"/>
      <c r="B37" s="126"/>
      <c r="C37" s="123"/>
      <c r="D37" s="123" t="str">
        <f>IF(MODE=1, "Ch1 Maximum Permitted ESR", "Maximum Permitted ESR")</f>
        <v>Ch1 Maximum Permitted ESR</v>
      </c>
      <c r="E37" s="570">
        <f>'Variable Management'!B126</f>
        <v>8.716337609579158</v>
      </c>
      <c r="F37" s="161" t="s">
        <v>49</v>
      </c>
      <c r="G37" s="128"/>
      <c r="H37" s="126"/>
      <c r="I37" s="123" t="s">
        <v>664</v>
      </c>
      <c r="J37" s="570">
        <f>'Variable Management'!D126</f>
        <v>9.1775269743911601</v>
      </c>
      <c r="K37" s="161" t="s">
        <v>49</v>
      </c>
      <c r="L37" s="686"/>
      <c r="M37" s="687"/>
      <c r="N37" s="687"/>
      <c r="O37" s="687"/>
      <c r="P37" s="687"/>
      <c r="Q37" s="688"/>
      <c r="R37" s="480"/>
    </row>
    <row r="38" spans="1:18" ht="14.1" customHeight="1" x14ac:dyDescent="0.3">
      <c r="A38" s="125"/>
      <c r="B38" s="126"/>
      <c r="C38" s="123"/>
      <c r="D38" s="122" t="str">
        <f>IF(MODE=1, "Ch1 Output Capacitor ESR", "Output Capacitor ESR")</f>
        <v>Ch1 Output Capacitor ESR</v>
      </c>
      <c r="E38" s="129">
        <v>1</v>
      </c>
      <c r="F38" s="156" t="s">
        <v>49</v>
      </c>
      <c r="G38" s="128"/>
      <c r="H38" s="126"/>
      <c r="I38" s="122" t="s">
        <v>663</v>
      </c>
      <c r="J38" s="129">
        <v>1</v>
      </c>
      <c r="K38" s="156" t="s">
        <v>49</v>
      </c>
      <c r="L38" s="613"/>
      <c r="M38" s="131"/>
      <c r="N38" s="81"/>
      <c r="O38" s="81"/>
      <c r="P38" s="81"/>
      <c r="Q38" s="614"/>
      <c r="R38" s="480"/>
    </row>
    <row r="39" spans="1:18" ht="14.1" customHeight="1" x14ac:dyDescent="0.35">
      <c r="A39" s="125"/>
      <c r="B39" s="126"/>
      <c r="C39" s="126"/>
      <c r="D39" s="123" t="s">
        <v>541</v>
      </c>
      <c r="E39" s="150">
        <f>'Variable Management'!B128*1000</f>
        <v>9.0915196177058277</v>
      </c>
      <c r="F39" s="161" t="s">
        <v>844</v>
      </c>
      <c r="G39" s="128"/>
      <c r="H39" s="126"/>
      <c r="I39" s="123" t="s">
        <v>541</v>
      </c>
      <c r="J39" s="150">
        <f>'Variable Management'!D128*1000</f>
        <v>8.7188002018636652</v>
      </c>
      <c r="K39" s="161" t="s">
        <v>844</v>
      </c>
      <c r="L39" s="270"/>
      <c r="M39" s="111"/>
      <c r="N39" s="81"/>
      <c r="O39" s="81"/>
      <c r="P39" s="81"/>
      <c r="Q39" s="105"/>
      <c r="R39" s="480"/>
    </row>
    <row r="40" spans="1:18" ht="14.1" customHeight="1" thickBot="1" x14ac:dyDescent="0.4">
      <c r="A40" s="157"/>
      <c r="B40" s="158"/>
      <c r="C40" s="158"/>
      <c r="D40" s="124" t="s">
        <v>542</v>
      </c>
      <c r="E40" s="647">
        <f>'Variable Management'!B115</f>
        <v>0.59773809236637998</v>
      </c>
      <c r="F40" s="159" t="s">
        <v>842</v>
      </c>
      <c r="G40" s="563"/>
      <c r="H40" s="174"/>
      <c r="I40" s="124" t="s">
        <v>542</v>
      </c>
      <c r="J40" s="647">
        <f>'Variable Management'!D115</f>
        <v>0.57559177360545044</v>
      </c>
      <c r="K40" s="159" t="s">
        <v>842</v>
      </c>
      <c r="L40" s="111"/>
      <c r="M40" s="81"/>
      <c r="N40" s="81"/>
      <c r="O40" s="81"/>
      <c r="P40" s="81"/>
      <c r="Q40" s="580"/>
      <c r="R40" s="480"/>
    </row>
    <row r="41" spans="1:18" ht="13.5" customHeight="1" x14ac:dyDescent="0.3">
      <c r="A41" s="184"/>
      <c r="B41" s="133"/>
      <c r="C41" s="133"/>
      <c r="D41" s="133"/>
      <c r="E41" s="133"/>
      <c r="F41" s="133"/>
      <c r="G41" s="126"/>
      <c r="H41" s="126"/>
      <c r="I41" s="81"/>
      <c r="J41" s="81"/>
      <c r="K41" s="81"/>
      <c r="L41" s="81"/>
      <c r="M41" s="111"/>
      <c r="N41" s="111"/>
      <c r="O41" s="111"/>
      <c r="P41" s="111"/>
      <c r="Q41" s="105"/>
      <c r="R41" s="480"/>
    </row>
    <row r="42" spans="1:18" ht="18" thickBot="1" x14ac:dyDescent="0.35">
      <c r="A42" s="182" t="s">
        <v>595</v>
      </c>
      <c r="B42" s="130"/>
      <c r="C42" s="131"/>
      <c r="D42" s="131"/>
      <c r="E42" s="126"/>
      <c r="F42" s="126"/>
      <c r="G42" s="126"/>
      <c r="H42" s="126"/>
      <c r="I42" s="81"/>
      <c r="J42" s="81"/>
      <c r="K42" s="81"/>
      <c r="L42" s="107"/>
      <c r="M42" s="111"/>
      <c r="N42" s="111"/>
      <c r="O42" s="81"/>
      <c r="P42" s="81"/>
      <c r="Q42" s="105"/>
      <c r="R42" s="480"/>
    </row>
    <row r="43" spans="1:18" ht="14.1" customHeight="1" x14ac:dyDescent="0.35">
      <c r="A43" s="171"/>
      <c r="B43" s="162"/>
      <c r="C43" s="152"/>
      <c r="D43" s="154" t="s">
        <v>547</v>
      </c>
      <c r="E43" s="164">
        <v>1000</v>
      </c>
      <c r="F43" s="155" t="s">
        <v>226</v>
      </c>
      <c r="G43" s="126"/>
      <c r="H43" s="126"/>
      <c r="I43" s="81"/>
      <c r="J43" s="108"/>
      <c r="K43" s="81"/>
      <c r="L43" s="81"/>
      <c r="M43" s="81"/>
      <c r="N43" s="81"/>
      <c r="O43" s="81"/>
      <c r="P43" s="81"/>
      <c r="Q43" s="105"/>
      <c r="R43" s="480"/>
    </row>
    <row r="44" spans="1:18" ht="14.1" customHeight="1" x14ac:dyDescent="0.3">
      <c r="A44" s="134"/>
      <c r="B44" s="131"/>
      <c r="C44" s="126"/>
      <c r="D44" s="123" t="s">
        <v>548</v>
      </c>
      <c r="E44" s="570">
        <f>'Variable Management'!B147</f>
        <v>10</v>
      </c>
      <c r="F44" s="161" t="s">
        <v>214</v>
      </c>
      <c r="G44" s="126"/>
      <c r="H44" s="126"/>
      <c r="I44" s="81"/>
      <c r="J44" s="108"/>
      <c r="K44" s="81"/>
      <c r="L44" s="81"/>
      <c r="M44" s="263"/>
      <c r="N44" s="290"/>
      <c r="O44" s="81"/>
      <c r="P44" s="81"/>
      <c r="Q44" s="105"/>
      <c r="R44" s="480"/>
    </row>
    <row r="45" spans="1:18" ht="14.1" customHeight="1" x14ac:dyDescent="0.35">
      <c r="A45" s="125"/>
      <c r="B45" s="126"/>
      <c r="C45" s="131"/>
      <c r="D45" s="151" t="s">
        <v>276</v>
      </c>
      <c r="E45" s="127">
        <v>40</v>
      </c>
      <c r="F45" s="156" t="s">
        <v>214</v>
      </c>
      <c r="G45" s="126"/>
      <c r="H45" s="126"/>
      <c r="I45" s="81"/>
      <c r="J45" s="108"/>
      <c r="K45" s="81"/>
      <c r="L45" s="81"/>
      <c r="M45" s="81"/>
      <c r="N45" s="81"/>
      <c r="O45" s="81"/>
      <c r="P45" s="81"/>
      <c r="Q45" s="105"/>
      <c r="R45" s="480"/>
    </row>
    <row r="46" spans="1:18" ht="14.1" customHeight="1" x14ac:dyDescent="0.3">
      <c r="A46" s="125"/>
      <c r="B46" s="126"/>
      <c r="C46" s="131"/>
      <c r="D46" s="123" t="s">
        <v>778</v>
      </c>
      <c r="E46" s="505">
        <f>'Variable Management'!B153</f>
        <v>160.27459247941965</v>
      </c>
      <c r="F46" s="161" t="s">
        <v>49</v>
      </c>
      <c r="G46" s="126"/>
      <c r="H46" s="126"/>
      <c r="I46" s="81"/>
      <c r="J46" s="109"/>
      <c r="K46" s="81"/>
      <c r="L46" s="81"/>
      <c r="M46" s="81"/>
      <c r="N46" s="81"/>
      <c r="O46" s="81"/>
      <c r="P46" s="81"/>
      <c r="Q46" s="105" t="s">
        <v>175</v>
      </c>
      <c r="R46" s="480"/>
    </row>
    <row r="47" spans="1:18" ht="14.1" customHeight="1" x14ac:dyDescent="0.3">
      <c r="A47" s="125"/>
      <c r="B47" s="126"/>
      <c r="C47" s="131"/>
      <c r="D47" s="151" t="s">
        <v>468</v>
      </c>
      <c r="E47" s="127">
        <v>1</v>
      </c>
      <c r="F47" s="156" t="s">
        <v>49</v>
      </c>
      <c r="G47" s="126"/>
      <c r="H47" s="126"/>
      <c r="I47" s="81"/>
      <c r="J47" s="109"/>
      <c r="K47" s="81"/>
      <c r="L47" s="81"/>
      <c r="M47" s="81"/>
      <c r="N47" s="81"/>
      <c r="O47" s="81"/>
      <c r="P47" s="81"/>
      <c r="Q47" s="105"/>
      <c r="R47" s="480"/>
    </row>
    <row r="48" spans="1:18" ht="14.1" customHeight="1" x14ac:dyDescent="0.35">
      <c r="A48" s="125"/>
      <c r="B48" s="126"/>
      <c r="C48" s="131"/>
      <c r="D48" s="251" t="s">
        <v>779</v>
      </c>
      <c r="E48" s="150">
        <f>'Variable Management'!B159*1000</f>
        <v>42.357298414323814</v>
      </c>
      <c r="F48" s="161" t="s">
        <v>844</v>
      </c>
      <c r="G48" s="126"/>
      <c r="H48" s="126"/>
      <c r="I48" s="81"/>
      <c r="J48" s="109"/>
      <c r="K48" s="81"/>
      <c r="L48" s="81"/>
      <c r="M48" s="81"/>
      <c r="N48" s="81"/>
      <c r="O48" s="81"/>
      <c r="P48" s="81"/>
      <c r="Q48" s="105"/>
      <c r="R48" s="480"/>
    </row>
    <row r="49" spans="1:35" ht="15" customHeight="1" thickBot="1" x14ac:dyDescent="0.35">
      <c r="A49" s="157"/>
      <c r="B49" s="158"/>
      <c r="C49" s="158"/>
      <c r="D49" s="257" t="s">
        <v>543</v>
      </c>
      <c r="E49" s="572">
        <f>'Variable Management'!B139</f>
        <v>2.1017955904288135</v>
      </c>
      <c r="F49" s="258" t="s">
        <v>842</v>
      </c>
      <c r="G49" s="126"/>
      <c r="H49" s="126"/>
      <c r="I49" s="81"/>
      <c r="J49" s="81"/>
      <c r="K49" s="81"/>
      <c r="L49" s="81"/>
      <c r="M49" s="81"/>
      <c r="N49" s="81"/>
      <c r="O49" s="81"/>
      <c r="P49" s="81"/>
      <c r="Q49" s="105"/>
      <c r="R49" s="480"/>
    </row>
    <row r="50" spans="1:35" ht="14.1" customHeight="1" x14ac:dyDescent="0.3">
      <c r="A50" s="125"/>
      <c r="B50" s="126"/>
      <c r="C50" s="126"/>
      <c r="D50" s="123"/>
      <c r="E50" s="126"/>
      <c r="F50" s="126"/>
      <c r="G50" s="126"/>
      <c r="H50" s="126"/>
      <c r="I50" s="81"/>
      <c r="J50" s="81"/>
      <c r="K50" s="81"/>
      <c r="L50" s="81"/>
      <c r="M50" s="81"/>
      <c r="N50" s="81"/>
      <c r="O50" s="81"/>
      <c r="P50" s="81"/>
      <c r="Q50" s="105"/>
      <c r="R50" s="480"/>
    </row>
    <row r="51" spans="1:35" ht="18" thickBot="1" x14ac:dyDescent="0.35">
      <c r="A51" s="182" t="s">
        <v>839</v>
      </c>
      <c r="B51" s="130"/>
      <c r="C51" s="126"/>
      <c r="D51" s="123"/>
      <c r="E51" s="126"/>
      <c r="F51" s="126"/>
      <c r="G51" s="126"/>
      <c r="H51" s="135"/>
      <c r="I51" s="111"/>
      <c r="J51" s="111"/>
      <c r="K51" s="111"/>
      <c r="L51" s="111"/>
      <c r="M51" s="111"/>
      <c r="N51" s="81"/>
      <c r="O51" s="81"/>
      <c r="P51" s="81"/>
      <c r="Q51" s="105"/>
      <c r="R51" s="480"/>
    </row>
    <row r="52" spans="1:35" ht="13.65" customHeight="1" x14ac:dyDescent="0.3">
      <c r="A52" s="259"/>
      <c r="B52" s="260"/>
      <c r="C52" s="260"/>
      <c r="D52" s="267" t="s">
        <v>277</v>
      </c>
      <c r="E52" s="268">
        <v>4.5999999999999996</v>
      </c>
      <c r="F52" s="262" t="s">
        <v>148</v>
      </c>
      <c r="G52" s="126"/>
      <c r="H52" s="133"/>
      <c r="I52" s="111"/>
      <c r="J52" s="111"/>
      <c r="K52" s="111"/>
      <c r="L52" s="111"/>
      <c r="M52" s="111"/>
      <c r="N52" s="81"/>
      <c r="O52" s="81"/>
      <c r="P52" s="81"/>
      <c r="Q52" s="105"/>
      <c r="R52" s="480"/>
    </row>
    <row r="53" spans="1:35" ht="13.65" customHeight="1" x14ac:dyDescent="0.3">
      <c r="A53" s="250"/>
      <c r="B53" s="249"/>
      <c r="C53" s="249"/>
      <c r="D53" s="251" t="s">
        <v>800</v>
      </c>
      <c r="E53" s="251">
        <f>IF(Tss&gt;1.5/1000, Rss_u/1000, 0)</f>
        <v>20</v>
      </c>
      <c r="F53" s="253" t="s">
        <v>50</v>
      </c>
      <c r="G53" s="126"/>
      <c r="H53" s="133"/>
      <c r="I53" s="111"/>
      <c r="J53" s="111"/>
      <c r="K53" s="111"/>
      <c r="L53" s="111"/>
      <c r="M53" s="111"/>
      <c r="N53" s="81"/>
      <c r="O53" s="81"/>
      <c r="P53" s="81"/>
      <c r="Q53" s="105"/>
      <c r="R53" s="480"/>
    </row>
    <row r="54" spans="1:35" ht="13.65" customHeight="1" x14ac:dyDescent="0.3">
      <c r="A54" s="250"/>
      <c r="B54" s="249"/>
      <c r="C54" s="270"/>
      <c r="D54" s="269" t="s">
        <v>818</v>
      </c>
      <c r="E54" s="264">
        <v>20</v>
      </c>
      <c r="F54" s="265" t="s">
        <v>0</v>
      </c>
      <c r="G54" s="126"/>
      <c r="H54" s="133"/>
      <c r="I54" s="111"/>
      <c r="J54" s="111"/>
      <c r="K54" s="111"/>
      <c r="L54" s="111"/>
      <c r="M54" s="111"/>
      <c r="N54" s="81"/>
      <c r="O54" s="81"/>
      <c r="P54" s="81"/>
      <c r="Q54" s="105"/>
      <c r="R54" s="480"/>
    </row>
    <row r="55" spans="1:35" ht="13.65" customHeight="1" x14ac:dyDescent="0.3">
      <c r="A55" s="250"/>
      <c r="B55" s="249"/>
      <c r="C55" s="249"/>
      <c r="D55" s="271" t="s">
        <v>819</v>
      </c>
      <c r="E55" s="637">
        <v>14</v>
      </c>
      <c r="F55" s="265" t="s">
        <v>0</v>
      </c>
      <c r="G55" s="126"/>
      <c r="H55" s="133"/>
      <c r="I55" s="111"/>
      <c r="J55" s="111"/>
      <c r="K55" s="111"/>
      <c r="L55" s="111"/>
      <c r="M55" s="111"/>
      <c r="N55" s="81"/>
      <c r="O55" s="81"/>
      <c r="P55" s="81"/>
      <c r="Q55" s="105"/>
      <c r="R55" s="480"/>
    </row>
    <row r="56" spans="1:35" ht="13.65" customHeight="1" x14ac:dyDescent="0.3">
      <c r="A56" s="581"/>
      <c r="B56" s="249"/>
      <c r="C56" s="249"/>
      <c r="D56" s="271" t="s">
        <v>880</v>
      </c>
      <c r="E56" s="637">
        <v>2.5</v>
      </c>
      <c r="F56" s="265" t="s">
        <v>50</v>
      </c>
      <c r="G56" s="126"/>
      <c r="H56" s="133"/>
      <c r="I56" s="111"/>
      <c r="J56" s="111"/>
      <c r="K56" s="111"/>
      <c r="L56" s="111"/>
      <c r="M56" s="111"/>
      <c r="N56" s="81"/>
      <c r="O56" s="81"/>
      <c r="P56" s="81"/>
      <c r="Q56" s="105"/>
      <c r="R56" s="480"/>
    </row>
    <row r="57" spans="1:35" ht="13.65" customHeight="1" x14ac:dyDescent="0.3">
      <c r="A57" s="581"/>
      <c r="B57" s="249"/>
      <c r="C57" s="249"/>
      <c r="D57" s="271" t="s">
        <v>873</v>
      </c>
      <c r="E57" s="637">
        <v>20</v>
      </c>
      <c r="F57" s="265" t="s">
        <v>871</v>
      </c>
      <c r="G57" s="126"/>
      <c r="H57" s="133"/>
      <c r="I57" s="111"/>
      <c r="J57" s="111"/>
      <c r="K57" s="111"/>
      <c r="L57" s="111"/>
      <c r="M57" s="111"/>
      <c r="N57" s="81"/>
      <c r="O57" s="81"/>
      <c r="P57" s="81"/>
      <c r="Q57" s="105"/>
      <c r="R57" s="480"/>
    </row>
    <row r="58" spans="1:35" ht="15.75" customHeight="1" x14ac:dyDescent="0.3">
      <c r="A58" s="250"/>
      <c r="B58" s="249"/>
      <c r="C58" s="249"/>
      <c r="D58" s="631" t="s">
        <v>807</v>
      </c>
      <c r="E58" s="659">
        <f>'Variable Management'!D186</f>
        <v>200</v>
      </c>
      <c r="F58" s="253" t="s">
        <v>50</v>
      </c>
      <c r="G58" s="126"/>
      <c r="H58" s="126"/>
      <c r="I58" s="81"/>
      <c r="J58" s="79"/>
      <c r="K58" s="121"/>
      <c r="L58" s="81"/>
      <c r="M58" s="111"/>
      <c r="N58" s="81"/>
      <c r="O58" s="81"/>
      <c r="P58" s="81"/>
      <c r="Q58" s="105"/>
      <c r="R58" s="480"/>
    </row>
    <row r="59" spans="1:35" ht="13.65" customHeight="1" x14ac:dyDescent="0.3">
      <c r="A59" s="250"/>
      <c r="B59" s="249"/>
      <c r="C59" s="249"/>
      <c r="D59" s="631" t="s">
        <v>808</v>
      </c>
      <c r="E59" s="251">
        <f>'Variable Management'!D185</f>
        <v>10.5</v>
      </c>
      <c r="F59" s="253" t="s">
        <v>50</v>
      </c>
      <c r="G59" s="126"/>
      <c r="H59" s="126"/>
      <c r="I59" s="81"/>
      <c r="J59" s="79"/>
      <c r="K59" s="121"/>
      <c r="L59" s="81"/>
      <c r="M59" s="111"/>
      <c r="N59" s="81"/>
      <c r="O59" s="81"/>
      <c r="P59" s="81"/>
      <c r="Q59" s="105"/>
      <c r="R59" s="480"/>
    </row>
    <row r="60" spans="1:35" ht="15.6" customHeight="1" x14ac:dyDescent="0.3">
      <c r="A60" s="250"/>
      <c r="B60" s="249"/>
      <c r="C60" s="270"/>
      <c r="D60" s="565" t="str">
        <f>IF(DEMB=1, "* Tie PFM/SYNCIN to AGND", "*Tie PFM/SYNCIN to VDDA")</f>
        <v>* Tie PFM/SYNCIN to AGND</v>
      </c>
      <c r="E60" s="616"/>
      <c r="F60" s="253"/>
      <c r="G60" s="126"/>
      <c r="H60" s="126"/>
      <c r="I60" s="81"/>
      <c r="J60" s="79"/>
      <c r="K60" s="121"/>
      <c r="L60" s="81"/>
      <c r="M60" s="111"/>
      <c r="N60" s="81"/>
      <c r="O60" s="81"/>
      <c r="P60" s="81"/>
      <c r="Q60" s="105"/>
      <c r="R60" s="480"/>
    </row>
    <row r="61" spans="1:35" ht="16.2" customHeight="1" thickBot="1" x14ac:dyDescent="0.35">
      <c r="A61" s="273"/>
      <c r="B61" s="274"/>
      <c r="C61" s="274"/>
      <c r="D61" s="636" t="s">
        <v>840</v>
      </c>
      <c r="E61" s="564">
        <f>Rcnfg</f>
        <v>10</v>
      </c>
      <c r="F61" s="275" t="s">
        <v>50</v>
      </c>
      <c r="G61" s="126"/>
      <c r="H61" s="126"/>
      <c r="I61" s="81"/>
      <c r="J61" s="79"/>
      <c r="K61" s="121"/>
      <c r="L61" s="81"/>
      <c r="M61" s="111"/>
      <c r="N61" s="81"/>
      <c r="O61" s="81"/>
      <c r="P61" s="81"/>
      <c r="Q61" s="105"/>
      <c r="R61" s="480"/>
    </row>
    <row r="62" spans="1:35" ht="14.1" customHeight="1" x14ac:dyDescent="0.3">
      <c r="A62" s="125"/>
      <c r="B62" s="126"/>
      <c r="C62" s="126"/>
      <c r="D62" s="123"/>
      <c r="E62" s="136"/>
      <c r="F62" s="126"/>
      <c r="G62" s="126"/>
      <c r="H62" s="126"/>
      <c r="I62" s="81"/>
      <c r="J62" s="79"/>
      <c r="K62" s="121"/>
      <c r="L62" s="81"/>
      <c r="M62" s="111"/>
      <c r="N62" s="81"/>
      <c r="O62" s="81"/>
      <c r="P62" s="81"/>
      <c r="Q62" s="105"/>
      <c r="R62" s="480"/>
    </row>
    <row r="63" spans="1:35" ht="19.5" customHeight="1" thickBot="1" x14ac:dyDescent="0.35">
      <c r="A63" s="182" t="s">
        <v>230</v>
      </c>
      <c r="B63" s="138"/>
      <c r="C63" s="131"/>
      <c r="D63" s="534"/>
      <c r="E63" s="132"/>
      <c r="F63" s="131"/>
      <c r="G63" s="126"/>
      <c r="H63" s="126"/>
      <c r="I63" s="81"/>
      <c r="J63" s="81"/>
      <c r="K63" s="81"/>
      <c r="L63" s="81"/>
      <c r="M63" s="81"/>
      <c r="N63" s="81"/>
      <c r="O63" s="81"/>
      <c r="P63" s="81"/>
      <c r="Q63" s="105"/>
      <c r="R63" s="479"/>
      <c r="S63" s="53"/>
      <c r="T63" s="53"/>
      <c r="W63" s="53"/>
      <c r="X63" s="53"/>
      <c r="Y63" s="53"/>
      <c r="AB63" s="53"/>
      <c r="AC63" s="53"/>
      <c r="AD63" s="53"/>
      <c r="AG63" s="53"/>
      <c r="AH63" s="53"/>
      <c r="AI63" s="53"/>
    </row>
    <row r="64" spans="1:35" ht="15" customHeight="1" x14ac:dyDescent="0.3">
      <c r="A64" s="259"/>
      <c r="B64" s="260"/>
      <c r="C64" s="261"/>
      <c r="D64" s="261" t="str">
        <f>IF(MODE=1, "Ch1 Load Pole Frequency", "Load Pole Frequency")</f>
        <v>Ch1 Load Pole Frequency</v>
      </c>
      <c r="E64" s="359">
        <f>Fp_dominant</f>
        <v>4455.8582868057547</v>
      </c>
      <c r="F64" s="276" t="s">
        <v>9</v>
      </c>
      <c r="G64" s="562"/>
      <c r="H64" s="173"/>
      <c r="I64" s="261" t="s">
        <v>672</v>
      </c>
      <c r="J64" s="359">
        <f>Fp_dominant_Ch2</f>
        <v>2981.8965866605963</v>
      </c>
      <c r="K64" s="276" t="s">
        <v>9</v>
      </c>
      <c r="L64" s="81"/>
      <c r="M64" s="81"/>
      <c r="N64" s="81"/>
      <c r="O64" s="81"/>
      <c r="P64" s="81"/>
      <c r="Q64" s="105"/>
      <c r="R64" s="479"/>
      <c r="S64" s="53"/>
      <c r="T64" s="53"/>
      <c r="W64" s="53"/>
      <c r="X64" s="53"/>
      <c r="Y64" s="53"/>
      <c r="AB64" s="53"/>
      <c r="AC64" s="53"/>
      <c r="AD64" s="53"/>
      <c r="AG64" s="53"/>
      <c r="AH64" s="53"/>
      <c r="AI64" s="53"/>
    </row>
    <row r="65" spans="1:35" ht="15" customHeight="1" x14ac:dyDescent="0.3">
      <c r="A65" s="250"/>
      <c r="B65" s="249"/>
      <c r="C65" s="251"/>
      <c r="D65" s="251" t="str">
        <f>IF(MODE=1, "Ch1 ESR Zero Frequency", "ESR Zero Frequency")</f>
        <v>Ch1 ESR Zero Frequency</v>
      </c>
      <c r="E65" s="254">
        <f>Fesr/1000</f>
        <v>2411.4385344508541</v>
      </c>
      <c r="F65" s="253" t="s">
        <v>2</v>
      </c>
      <c r="G65" s="126"/>
      <c r="H65" s="126"/>
      <c r="I65" s="251" t="s">
        <v>675</v>
      </c>
      <c r="J65" s="254">
        <f>Fesr_Ch2/1000</f>
        <v>2411.4385344508541</v>
      </c>
      <c r="K65" s="253" t="s">
        <v>2</v>
      </c>
      <c r="L65" s="81"/>
      <c r="M65" s="81"/>
      <c r="N65" s="81"/>
      <c r="O65" s="81"/>
      <c r="P65" s="81"/>
      <c r="Q65" s="105"/>
      <c r="R65" s="479"/>
      <c r="S65" s="53"/>
      <c r="T65" s="53"/>
      <c r="W65" s="53"/>
      <c r="X65" s="53"/>
      <c r="Y65" s="53"/>
      <c r="AB65" s="53"/>
      <c r="AC65" s="53"/>
      <c r="AD65" s="53"/>
      <c r="AG65" s="53"/>
      <c r="AH65" s="53"/>
      <c r="AI65" s="53"/>
    </row>
    <row r="66" spans="1:35" ht="15" customHeight="1" x14ac:dyDescent="0.3">
      <c r="A66" s="250"/>
      <c r="B66" s="249"/>
      <c r="C66" s="251"/>
      <c r="D66" s="271" t="str">
        <f>IF(MODE=1, "Ch1 Desired Crossover Frequency", "Desired Crossover Frequency")</f>
        <v>Ch1 Desired Crossover Frequency</v>
      </c>
      <c r="E66" s="277">
        <v>37</v>
      </c>
      <c r="F66" s="278" t="str">
        <f>"     kHz "</f>
        <v xml:space="preserve">     kHz </v>
      </c>
      <c r="G66" s="126"/>
      <c r="H66" s="126"/>
      <c r="I66" s="271" t="s">
        <v>674</v>
      </c>
      <c r="J66" s="277">
        <v>35</v>
      </c>
      <c r="K66" s="278" t="str">
        <f>"     kHz "</f>
        <v xml:space="preserve">     kHz </v>
      </c>
      <c r="L66" s="81"/>
      <c r="M66" s="81"/>
      <c r="N66" s="81"/>
      <c r="O66" s="81"/>
      <c r="P66" s="81"/>
      <c r="Q66" s="105"/>
      <c r="R66" s="479"/>
      <c r="S66" s="53"/>
      <c r="T66" s="53"/>
      <c r="W66" s="53"/>
      <c r="X66" s="53"/>
      <c r="Y66" s="53"/>
      <c r="AB66" s="53"/>
      <c r="AC66" s="53"/>
      <c r="AD66" s="53"/>
      <c r="AG66" s="53"/>
      <c r="AH66" s="53"/>
      <c r="AI66" s="53"/>
    </row>
    <row r="67" spans="1:35" ht="15" customHeight="1" x14ac:dyDescent="0.3">
      <c r="A67" s="250"/>
      <c r="B67" s="249"/>
      <c r="C67" s="251"/>
      <c r="D67" s="251" t="str">
        <f>IF(MODE=1, "Ch1 Error Amp Pole Frequency", "Error Amp Pole Frequency")</f>
        <v>Ch1 Error Amp Pole Frequency</v>
      </c>
      <c r="E67" s="252">
        <f>Fp1_u</f>
        <v>0.45754585778389983</v>
      </c>
      <c r="F67" s="253" t="s">
        <v>9</v>
      </c>
      <c r="G67" s="126"/>
      <c r="H67" s="126"/>
      <c r="I67" s="251" t="s">
        <v>673</v>
      </c>
      <c r="J67" s="252">
        <f>Fp1_u_Ch2</f>
        <v>0.5513822714634995</v>
      </c>
      <c r="K67" s="253" t="s">
        <v>9</v>
      </c>
      <c r="L67" s="81"/>
      <c r="M67" s="81"/>
      <c r="N67" s="81"/>
      <c r="O67" s="81"/>
      <c r="P67" s="81"/>
      <c r="Q67" s="105"/>
      <c r="R67" s="479"/>
      <c r="S67" s="53"/>
      <c r="T67" s="53"/>
      <c r="W67" s="53"/>
      <c r="X67" s="53"/>
      <c r="Y67" s="53"/>
      <c r="AB67" s="53"/>
      <c r="AC67" s="53"/>
      <c r="AD67" s="53"/>
      <c r="AG67" s="53"/>
      <c r="AH67" s="53"/>
      <c r="AI67" s="53"/>
    </row>
    <row r="68" spans="1:35" ht="15" customHeight="1" x14ac:dyDescent="0.3">
      <c r="A68" s="250"/>
      <c r="B68" s="249"/>
      <c r="C68" s="251"/>
      <c r="D68" s="271" t="str">
        <f>CHOOSE(Ch1_VOUT, "Ch1 3.3V Out: Tie 7.5kΩ FB1 to VDDA", "Ch1 5V Out: Tie 24.9kΩ FB1 to VDDA", "Ch1 12V Out: Tie 48.7kΩ FB1 to VDDA", IF(MODE=1, "Ch1 Upper Feedback Resistor", "Upper Feedback Resistor"))</f>
        <v>Ch1 3.3V Out: Tie 7.5kΩ FB1 to VDDA</v>
      </c>
      <c r="E68" s="279">
        <v>78.7</v>
      </c>
      <c r="F68" s="265" t="s">
        <v>50</v>
      </c>
      <c r="G68" s="126"/>
      <c r="H68" s="126"/>
      <c r="I68" s="271" t="str">
        <f>CHOOSE(Ch2_VOUT, "Ch2 3.3V Out: Tie 7.5kΩ FB2 to VDDA", "Ch2 5V Out: Tie 24.9kΩ FB2 to VDDA", "Ch2 12V: Tie 48.7kΩ FB2 to VDDA", "Ch2 Upper Feedback Resistor")</f>
        <v>Ch2 5V Out: Tie 24.9kΩ FB2 to VDDA</v>
      </c>
      <c r="J68" s="279">
        <v>78.7</v>
      </c>
      <c r="K68" s="265" t="s">
        <v>50</v>
      </c>
      <c r="L68" s="81"/>
      <c r="M68" s="81"/>
      <c r="N68" s="81"/>
      <c r="O68" s="81"/>
      <c r="P68" s="81"/>
      <c r="Q68" s="105"/>
      <c r="R68" s="479"/>
      <c r="S68" s="53"/>
      <c r="T68" s="53"/>
      <c r="W68" s="53"/>
      <c r="X68" s="53"/>
      <c r="Y68" s="53"/>
      <c r="AB68" s="53"/>
      <c r="AC68" s="53"/>
      <c r="AD68" s="53"/>
      <c r="AG68" s="53"/>
      <c r="AH68" s="53"/>
      <c r="AI68" s="53"/>
    </row>
    <row r="69" spans="1:35" ht="15" customHeight="1" x14ac:dyDescent="0.3">
      <c r="A69" s="111"/>
      <c r="B69" s="111"/>
      <c r="C69" s="251"/>
      <c r="D69" s="251" t="str">
        <f>IF(Ch1_VOUT=4, IF(MODE=1,"Ch1 Lower Feedback Resistor","Lower Feedback Resistor"),"")</f>
        <v/>
      </c>
      <c r="E69" s="251">
        <f>IF(Vout=Vref,"OPEN",Rfb2_u/1000)</f>
        <v>24.9</v>
      </c>
      <c r="F69" s="253" t="str">
        <f>IF(Vout=Vref,"","kΩ")</f>
        <v>kΩ</v>
      </c>
      <c r="G69" s="610"/>
      <c r="H69" s="126"/>
      <c r="I69" s="251" t="str">
        <f>IF(Ch2_VOUT=4, "Ch2 Lower Feedback Resistor","")</f>
        <v/>
      </c>
      <c r="J69" s="251">
        <f>IF(Vout2=Vref,"OPEN",Rfb4_u/1000)</f>
        <v>15</v>
      </c>
      <c r="K69" s="253" t="str">
        <f>IF(Vout=Vref,"","kΩ")</f>
        <v>kΩ</v>
      </c>
      <c r="L69" s="81"/>
      <c r="M69" s="81"/>
      <c r="N69" s="81"/>
      <c r="O69" s="81"/>
      <c r="P69" s="81"/>
      <c r="Q69" s="105"/>
      <c r="R69" s="479"/>
      <c r="S69" s="53"/>
      <c r="T69" s="53"/>
      <c r="W69" s="53"/>
      <c r="X69" s="53"/>
      <c r="Y69" s="53"/>
      <c r="AB69" s="53"/>
      <c r="AC69" s="53"/>
      <c r="AD69" s="53"/>
      <c r="AG69" s="53"/>
      <c r="AH69" s="53"/>
      <c r="AI69" s="53"/>
    </row>
    <row r="70" spans="1:35" ht="16.2" customHeight="1" thickBot="1" x14ac:dyDescent="0.35">
      <c r="A70" s="255"/>
      <c r="B70" s="256"/>
      <c r="C70" s="679"/>
      <c r="D70" s="564" t="str">
        <f>IF(Ch1_VOUT=4, IF(MODE=1,"Ch1 Actual Voltage Setpoint","Actual Voltage Setpoint"),"")</f>
        <v/>
      </c>
      <c r="E70" s="676">
        <f>'Variable Management'!B261</f>
        <v>3.3285140562249</v>
      </c>
      <c r="F70" s="677" t="s">
        <v>0</v>
      </c>
      <c r="G70" s="678"/>
      <c r="H70" s="678"/>
      <c r="I70" s="564" t="str">
        <f>IF(Ch2_VOUT=4, "Ch2 Actual Voltage Setpoint","")</f>
        <v/>
      </c>
      <c r="J70" s="676">
        <f>'Variable Management'!D261</f>
        <v>4.9973333333333336</v>
      </c>
      <c r="K70" s="677" t="s">
        <v>0</v>
      </c>
      <c r="L70" s="81"/>
      <c r="M70" s="81"/>
      <c r="N70" s="81"/>
      <c r="O70" s="81"/>
      <c r="P70" s="81"/>
      <c r="Q70" s="105"/>
      <c r="R70" s="479"/>
      <c r="S70" s="53"/>
      <c r="T70" s="53"/>
      <c r="W70" s="53"/>
      <c r="X70" s="53"/>
      <c r="Y70" s="53"/>
      <c r="AB70" s="53"/>
      <c r="AC70" s="53"/>
      <c r="AD70" s="53"/>
      <c r="AG70" s="53"/>
      <c r="AH70" s="53"/>
      <c r="AI70" s="53"/>
    </row>
    <row r="71" spans="1:35" ht="13.5" customHeight="1" x14ac:dyDescent="0.3">
      <c r="A71" s="185"/>
      <c r="B71" s="528"/>
      <c r="C71" s="144"/>
      <c r="D71" s="133"/>
      <c r="E71" s="133"/>
      <c r="F71" s="133"/>
      <c r="G71" s="143"/>
      <c r="H71" s="142"/>
      <c r="I71" s="81"/>
      <c r="J71" s="81"/>
      <c r="K71" s="81"/>
      <c r="L71" s="81"/>
      <c r="M71" s="81"/>
      <c r="N71" s="81"/>
      <c r="O71" s="81"/>
      <c r="P71" s="81"/>
      <c r="Q71" s="105"/>
      <c r="R71" s="479"/>
      <c r="S71" s="53"/>
      <c r="T71" s="53"/>
      <c r="W71" s="53"/>
      <c r="X71" s="53"/>
      <c r="Y71" s="53"/>
      <c r="AB71" s="53"/>
      <c r="AC71" s="53"/>
      <c r="AD71" s="53"/>
      <c r="AG71" s="53"/>
      <c r="AH71" s="53"/>
      <c r="AI71" s="53"/>
    </row>
    <row r="72" spans="1:35" ht="15.75" customHeight="1" x14ac:dyDescent="0.3">
      <c r="A72" s="458" t="s">
        <v>224</v>
      </c>
      <c r="B72" s="145"/>
      <c r="C72" s="123"/>
      <c r="D72" s="139"/>
      <c r="E72" s="140"/>
      <c r="F72" s="141"/>
      <c r="G72" s="146"/>
      <c r="H72" s="126"/>
      <c r="I72" s="81"/>
      <c r="J72" s="81"/>
      <c r="K72" s="81"/>
      <c r="L72" s="81"/>
      <c r="M72" s="81"/>
      <c r="N72" s="81"/>
      <c r="O72" s="81"/>
      <c r="P72" s="81"/>
      <c r="Q72" s="105"/>
      <c r="R72" s="479"/>
      <c r="S72" s="188"/>
      <c r="T72" s="188"/>
      <c r="U72" s="189"/>
      <c r="V72" s="189"/>
      <c r="W72" s="188"/>
      <c r="X72" s="188"/>
      <c r="Y72" s="188"/>
      <c r="Z72" s="189"/>
      <c r="AA72" s="189"/>
      <c r="AB72" s="188"/>
      <c r="AC72" s="188"/>
      <c r="AD72" s="188"/>
      <c r="AE72" s="189"/>
      <c r="AF72" s="189"/>
      <c r="AG72" s="53"/>
      <c r="AH72" s="53"/>
      <c r="AI72" s="53"/>
    </row>
    <row r="73" spans="1:35" s="199" customFormat="1" ht="13.5" customHeight="1" thickBot="1" x14ac:dyDescent="0.35">
      <c r="A73" s="204"/>
      <c r="B73" s="205" t="s">
        <v>231</v>
      </c>
      <c r="C73" s="206" t="s">
        <v>223</v>
      </c>
      <c r="D73" s="584" t="str">
        <f t="shared" ref="D73" si="0">C73</f>
        <v>Std Values</v>
      </c>
      <c r="E73" s="534"/>
      <c r="F73" s="680" t="s">
        <v>225</v>
      </c>
      <c r="G73" s="680"/>
      <c r="H73" s="680"/>
      <c r="I73" s="194"/>
      <c r="J73" s="194"/>
      <c r="K73" s="194"/>
      <c r="L73" s="194"/>
      <c r="M73" s="194"/>
      <c r="N73" s="194"/>
      <c r="O73" s="194"/>
      <c r="P73" s="194"/>
      <c r="Q73" s="195"/>
      <c r="R73" s="481"/>
      <c r="S73" s="196"/>
      <c r="T73" s="196"/>
      <c r="U73" s="197"/>
      <c r="V73" s="197"/>
      <c r="W73" s="196"/>
      <c r="X73" s="196"/>
      <c r="Y73" s="196"/>
      <c r="Z73" s="197"/>
      <c r="AA73" s="197"/>
      <c r="AB73" s="196"/>
      <c r="AC73" s="196"/>
      <c r="AD73" s="196"/>
      <c r="AE73" s="197"/>
      <c r="AF73" s="197"/>
      <c r="AG73" s="198"/>
      <c r="AH73" s="198"/>
      <c r="AI73" s="198"/>
    </row>
    <row r="74" spans="1:35" ht="15.6" x14ac:dyDescent="0.35">
      <c r="A74" s="169" t="s">
        <v>676</v>
      </c>
      <c r="B74" s="180">
        <f>Rcea1/1000</f>
        <v>9.4938144484837501</v>
      </c>
      <c r="C74" s="165">
        <f>'Standard Value Calculator'!O26</f>
        <v>9.5299999999999994</v>
      </c>
      <c r="D74" s="166">
        <f t="shared" ref="D74:D79" si="1">C74</f>
        <v>9.5299999999999994</v>
      </c>
      <c r="E74" s="167" t="s">
        <v>50</v>
      </c>
      <c r="F74" s="499">
        <f>Fp1_u</f>
        <v>0.45754585778389983</v>
      </c>
      <c r="G74" s="420" t="s">
        <v>688</v>
      </c>
      <c r="H74" s="133"/>
      <c r="I74" s="123"/>
      <c r="J74" s="474"/>
      <c r="K74" s="126"/>
      <c r="L74" s="81"/>
      <c r="M74" s="81"/>
      <c r="N74" s="81"/>
      <c r="O74" s="81"/>
      <c r="P74" s="81"/>
      <c r="Q74" s="105"/>
      <c r="R74" s="479"/>
      <c r="S74" s="188"/>
      <c r="T74" s="188"/>
      <c r="U74" s="189"/>
      <c r="V74" s="189"/>
      <c r="W74" s="188"/>
      <c r="X74" s="188"/>
      <c r="Y74" s="188"/>
      <c r="Z74" s="189"/>
      <c r="AA74" s="189"/>
      <c r="AB74" s="188"/>
      <c r="AC74" s="188"/>
      <c r="AD74" s="188"/>
      <c r="AE74" s="189"/>
      <c r="AF74" s="189"/>
      <c r="AG74" s="53"/>
      <c r="AH74" s="53"/>
      <c r="AI74" s="53"/>
    </row>
    <row r="75" spans="1:35" ht="15.6" x14ac:dyDescent="0.35">
      <c r="A75" s="170" t="s">
        <v>227</v>
      </c>
      <c r="B75" s="467">
        <f>Cc1ea*1000000000</f>
        <v>4.5308289694157162</v>
      </c>
      <c r="C75" s="142">
        <f>'Standard Value Calculator'!O27</f>
        <v>4.7</v>
      </c>
      <c r="D75" s="147">
        <f t="shared" si="1"/>
        <v>4.7</v>
      </c>
      <c r="E75" s="168" t="s">
        <v>141</v>
      </c>
      <c r="F75" s="421">
        <f>Fz1_u/1000</f>
        <v>3.5532795265512345</v>
      </c>
      <c r="G75" s="422" t="s">
        <v>498</v>
      </c>
      <c r="H75" s="133"/>
      <c r="I75" s="123"/>
      <c r="J75" s="474"/>
      <c r="K75" s="126"/>
      <c r="L75" s="81"/>
      <c r="M75" s="81"/>
      <c r="N75" s="81"/>
      <c r="O75" s="81"/>
      <c r="P75" s="81"/>
      <c r="Q75" s="105"/>
      <c r="R75" s="479"/>
      <c r="S75" s="188"/>
      <c r="T75" s="188"/>
      <c r="U75" s="189"/>
      <c r="V75" s="189"/>
      <c r="W75" s="188"/>
      <c r="X75" s="188"/>
      <c r="Y75" s="188"/>
      <c r="Z75" s="189"/>
      <c r="AA75" s="189"/>
      <c r="AB75" s="188"/>
      <c r="AC75" s="188"/>
      <c r="AD75" s="188"/>
      <c r="AE75" s="189"/>
      <c r="AF75" s="189"/>
      <c r="AG75" s="53"/>
      <c r="AH75" s="53"/>
      <c r="AI75" s="53"/>
    </row>
    <row r="76" spans="1:35" ht="16.2" thickBot="1" x14ac:dyDescent="0.4">
      <c r="A76" s="360" t="s">
        <v>228</v>
      </c>
      <c r="B76" s="181">
        <f>IF(Cc2ea&lt;0, "N/A", Cc2ea*1000000000000)</f>
        <v>68.854692628237814</v>
      </c>
      <c r="C76" s="177">
        <f>'Standard Value Calculator'!O28</f>
        <v>68</v>
      </c>
      <c r="D76" s="178">
        <f t="shared" si="1"/>
        <v>68</v>
      </c>
      <c r="E76" s="179" t="s">
        <v>30</v>
      </c>
      <c r="F76" s="425">
        <f>Fp2_u/1000</f>
        <v>221.65077914424108</v>
      </c>
      <c r="G76" s="423" t="s">
        <v>499</v>
      </c>
      <c r="H76" s="133"/>
      <c r="I76" s="81"/>
      <c r="J76" s="81"/>
      <c r="K76" s="81"/>
      <c r="L76" s="81"/>
      <c r="M76" s="81"/>
      <c r="N76" s="81"/>
      <c r="O76" s="81"/>
      <c r="P76" s="81"/>
      <c r="Q76" s="105"/>
      <c r="R76" s="479"/>
      <c r="S76" s="188"/>
      <c r="T76" s="188"/>
      <c r="U76" s="189"/>
      <c r="V76" s="189"/>
      <c r="W76" s="188"/>
      <c r="X76" s="188"/>
      <c r="Y76" s="188"/>
      <c r="Z76" s="189"/>
      <c r="AA76" s="189"/>
      <c r="AB76" s="188"/>
      <c r="AC76" s="188"/>
      <c r="AD76" s="188"/>
      <c r="AE76" s="189"/>
      <c r="AF76" s="189"/>
      <c r="AG76" s="53"/>
      <c r="AH76" s="53"/>
      <c r="AI76" s="53"/>
    </row>
    <row r="77" spans="1:35" ht="15.6" x14ac:dyDescent="0.35">
      <c r="A77" s="169" t="s">
        <v>677</v>
      </c>
      <c r="B77" s="180">
        <f>Rcea2/1000</f>
        <v>12.095131702500005</v>
      </c>
      <c r="C77" s="142">
        <f>'Standard Value Calculator'!O30</f>
        <v>12.1</v>
      </c>
      <c r="D77" s="147">
        <f t="shared" si="1"/>
        <v>12.1</v>
      </c>
      <c r="E77" s="167" t="s">
        <v>50</v>
      </c>
      <c r="F77" s="499">
        <f>Fp1_u_Ch2</f>
        <v>0.5513822714634995</v>
      </c>
      <c r="G77" s="420" t="s">
        <v>687</v>
      </c>
      <c r="H77" s="133"/>
      <c r="I77" s="81"/>
      <c r="J77" s="81"/>
      <c r="K77" s="81"/>
      <c r="L77" s="81"/>
      <c r="M77" s="81"/>
      <c r="N77" s="81"/>
      <c r="O77" s="81"/>
      <c r="P77" s="81"/>
      <c r="Q77" s="105"/>
      <c r="R77" s="479"/>
      <c r="S77" s="188"/>
      <c r="T77" s="188"/>
      <c r="U77" s="189"/>
      <c r="V77" s="189"/>
      <c r="W77" s="188"/>
      <c r="X77" s="188"/>
      <c r="Y77" s="188"/>
      <c r="Z77" s="189"/>
      <c r="AA77" s="189"/>
      <c r="AB77" s="188"/>
      <c r="AC77" s="188"/>
      <c r="AD77" s="188"/>
      <c r="AE77" s="189"/>
      <c r="AF77" s="189"/>
      <c r="AG77" s="53"/>
      <c r="AH77" s="53"/>
      <c r="AI77" s="53"/>
    </row>
    <row r="78" spans="1:35" ht="15.6" x14ac:dyDescent="0.35">
      <c r="A78" s="170" t="s">
        <v>678</v>
      </c>
      <c r="B78" s="467">
        <f>Cc3ea*1000000000</f>
        <v>3.7595986595135584</v>
      </c>
      <c r="C78" s="142">
        <f>'Standard Value Calculator'!O31</f>
        <v>3.9000000000000004</v>
      </c>
      <c r="D78" s="147">
        <f t="shared" si="1"/>
        <v>3.9000000000000004</v>
      </c>
      <c r="E78" s="168" t="s">
        <v>141</v>
      </c>
      <c r="F78" s="421">
        <f>Fz1_u_Ch2/1000</f>
        <v>3.3726413069242707</v>
      </c>
      <c r="G78" s="422" t="s">
        <v>685</v>
      </c>
      <c r="H78" s="133"/>
      <c r="I78" s="81"/>
      <c r="J78" s="81"/>
      <c r="K78" s="81"/>
      <c r="L78" s="81"/>
      <c r="M78" s="81"/>
      <c r="N78" s="81"/>
      <c r="O78" s="81"/>
      <c r="P78" s="81"/>
      <c r="Q78" s="105"/>
      <c r="R78" s="479"/>
      <c r="S78" s="188"/>
      <c r="T78" s="188"/>
      <c r="U78" s="189"/>
      <c r="V78" s="189"/>
      <c r="W78" s="188"/>
      <c r="X78" s="188"/>
      <c r="Y78" s="188"/>
      <c r="Z78" s="189"/>
      <c r="AA78" s="189"/>
      <c r="AB78" s="188"/>
      <c r="AC78" s="188"/>
      <c r="AD78" s="188"/>
      <c r="AE78" s="189"/>
      <c r="AF78" s="189"/>
      <c r="AG78" s="53"/>
      <c r="AH78" s="53"/>
      <c r="AI78" s="53"/>
    </row>
    <row r="79" spans="1:35" ht="16.2" thickBot="1" x14ac:dyDescent="0.4">
      <c r="A79" s="360" t="s">
        <v>679</v>
      </c>
      <c r="B79" s="181">
        <f>IF(Cc4ea&lt;0, "N/A", Cc4ea*1000000000000)</f>
        <v>52.466184089416465</v>
      </c>
      <c r="C79" s="177">
        <f>IF(1, 'Standard Value Calculator'!O32)</f>
        <v>56</v>
      </c>
      <c r="D79" s="178">
        <f t="shared" si="1"/>
        <v>56</v>
      </c>
      <c r="E79" s="179" t="s">
        <v>30</v>
      </c>
      <c r="F79" s="425">
        <f>Fp2_u_Ch2/1000</f>
        <v>207.64344241949851</v>
      </c>
      <c r="G79" s="423" t="s">
        <v>686</v>
      </c>
      <c r="H79" s="133"/>
      <c r="I79" s="81"/>
      <c r="J79" s="81"/>
      <c r="K79" s="81"/>
      <c r="L79" s="81"/>
      <c r="M79" s="81"/>
      <c r="N79" s="122"/>
      <c r="O79" s="608"/>
      <c r="P79" s="131"/>
      <c r="Q79" s="105"/>
      <c r="R79" s="479"/>
      <c r="S79" s="188"/>
      <c r="T79" s="188"/>
      <c r="U79" s="189"/>
      <c r="V79" s="189"/>
      <c r="W79" s="188"/>
      <c r="X79" s="188"/>
      <c r="Y79" s="188"/>
      <c r="Z79" s="189"/>
      <c r="AA79" s="189"/>
      <c r="AB79" s="188"/>
      <c r="AC79" s="188"/>
      <c r="AD79" s="188"/>
      <c r="AE79" s="189"/>
      <c r="AF79" s="189"/>
      <c r="AG79" s="53"/>
      <c r="AH79" s="53"/>
      <c r="AI79" s="53"/>
    </row>
    <row r="80" spans="1:35" ht="14.4" thickBot="1" x14ac:dyDescent="0.35">
      <c r="A80" s="125"/>
      <c r="B80" s="123"/>
      <c r="C80" s="123"/>
      <c r="D80" s="126"/>
      <c r="E80" s="126"/>
      <c r="F80" s="126"/>
      <c r="G80" s="126"/>
      <c r="H80" s="126"/>
      <c r="I80" s="81"/>
      <c r="J80" s="81"/>
      <c r="K80" s="81"/>
      <c r="L80" s="81"/>
      <c r="M80" s="81"/>
      <c r="N80" s="81"/>
      <c r="O80" s="81"/>
      <c r="P80" s="81"/>
      <c r="Q80" s="105"/>
      <c r="R80" s="479"/>
      <c r="S80" s="188"/>
      <c r="T80" s="188"/>
      <c r="U80" s="189"/>
      <c r="V80" s="189"/>
      <c r="W80" s="188"/>
      <c r="X80" s="188"/>
      <c r="Y80" s="188"/>
      <c r="Z80" s="189"/>
      <c r="AA80" s="189"/>
      <c r="AB80" s="188"/>
      <c r="AC80" s="188"/>
      <c r="AD80" s="188"/>
      <c r="AE80" s="189"/>
      <c r="AF80" s="189"/>
      <c r="AG80" s="53"/>
      <c r="AH80" s="53"/>
      <c r="AI80" s="53"/>
    </row>
    <row r="81" spans="1:35" s="84" customFormat="1" ht="18" thickBot="1" x14ac:dyDescent="0.35">
      <c r="A81" s="186" t="s">
        <v>229</v>
      </c>
      <c r="B81" s="137"/>
      <c r="C81" s="148"/>
      <c r="D81" s="148"/>
      <c r="E81" s="148"/>
      <c r="F81" s="148"/>
      <c r="G81" s="148"/>
      <c r="H81" s="148"/>
      <c r="I81" s="82"/>
      <c r="J81" s="82"/>
      <c r="K81" s="82"/>
      <c r="L81" s="82"/>
      <c r="M81" s="82"/>
      <c r="N81" s="82"/>
      <c r="O81" s="82"/>
      <c r="P81" s="82"/>
      <c r="Q81" s="83"/>
      <c r="R81" s="482"/>
      <c r="S81" s="190"/>
      <c r="T81" s="190"/>
      <c r="U81" s="191"/>
      <c r="V81" s="191"/>
      <c r="W81" s="190"/>
      <c r="X81" s="190"/>
      <c r="Y81" s="190"/>
      <c r="Z81" s="191"/>
      <c r="AA81" s="191"/>
      <c r="AB81" s="190"/>
      <c r="AC81" s="190"/>
      <c r="AD81" s="190"/>
      <c r="AE81" s="191"/>
      <c r="AF81" s="191"/>
      <c r="AG81" s="54"/>
      <c r="AH81" s="54"/>
      <c r="AI81" s="54"/>
    </row>
    <row r="82" spans="1:35" x14ac:dyDescent="0.3">
      <c r="A82" s="184"/>
      <c r="B82" s="133"/>
      <c r="C82" s="126"/>
      <c r="D82" s="126"/>
      <c r="E82" s="126"/>
      <c r="F82" s="126"/>
      <c r="G82" s="126"/>
      <c r="H82" s="126"/>
      <c r="I82" s="81"/>
      <c r="J82" s="81"/>
      <c r="K82" s="81"/>
      <c r="L82" s="81"/>
      <c r="M82" s="81"/>
      <c r="N82" s="81"/>
      <c r="O82" s="81"/>
      <c r="P82" s="81"/>
      <c r="Q82" s="105"/>
      <c r="R82" s="479"/>
      <c r="S82" s="188"/>
      <c r="T82" s="188"/>
      <c r="U82" s="189"/>
      <c r="V82" s="189"/>
      <c r="W82" s="188"/>
      <c r="X82" s="188"/>
      <c r="Y82" s="188"/>
      <c r="Z82" s="189"/>
      <c r="AA82" s="189"/>
      <c r="AB82" s="188"/>
      <c r="AC82" s="188"/>
      <c r="AD82" s="188"/>
      <c r="AE82" s="189"/>
      <c r="AF82" s="189"/>
      <c r="AG82" s="53"/>
      <c r="AH82" s="53"/>
      <c r="AI82" s="53"/>
    </row>
    <row r="83" spans="1:35" ht="18" thickBot="1" x14ac:dyDescent="0.35">
      <c r="A83" s="149" t="s">
        <v>190</v>
      </c>
      <c r="B83" s="130"/>
      <c r="C83" s="126"/>
      <c r="D83" s="126"/>
      <c r="E83" s="126"/>
      <c r="F83" s="126"/>
      <c r="G83" s="126"/>
      <c r="H83" s="126"/>
      <c r="I83" s="81"/>
      <c r="J83" s="81"/>
      <c r="K83" s="81"/>
      <c r="L83" s="81"/>
      <c r="M83" s="81"/>
      <c r="N83" s="81"/>
      <c r="O83" s="81"/>
      <c r="P83" s="81"/>
      <c r="Q83" s="105"/>
      <c r="R83" s="479"/>
      <c r="S83" s="188"/>
      <c r="T83" s="188"/>
      <c r="U83" s="189"/>
      <c r="V83" s="189"/>
      <c r="W83" s="188"/>
      <c r="X83" s="188"/>
      <c r="Y83" s="188"/>
      <c r="Z83" s="189"/>
      <c r="AA83" s="189"/>
      <c r="AB83" s="188"/>
      <c r="AC83" s="188"/>
      <c r="AD83" s="188"/>
      <c r="AE83" s="189"/>
      <c r="AF83" s="189"/>
      <c r="AG83" s="53"/>
      <c r="AH83" s="53"/>
      <c r="AI83" s="53"/>
    </row>
    <row r="84" spans="1:35" ht="18" customHeight="1" x14ac:dyDescent="0.35">
      <c r="A84" s="171"/>
      <c r="B84" s="172"/>
      <c r="C84" s="539"/>
      <c r="D84" s="539"/>
      <c r="E84" s="539"/>
      <c r="F84" s="200" t="str">
        <f>IF(MODE=1, "Ch1 Power MOSFETs", "Power MOSFETs")</f>
        <v>Ch1 Power MOSFETs</v>
      </c>
      <c r="G84" s="606" t="s">
        <v>736</v>
      </c>
      <c r="H84" s="666"/>
      <c r="I84" s="200" t="str">
        <f>IF(MODE=1, "Ch2 Power MOSFETs ", "Power MOSFETs ")</f>
        <v xml:space="preserve">Ch2 Power MOSFETs </v>
      </c>
      <c r="J84" s="667" t="s">
        <v>874</v>
      </c>
      <c r="K84" s="81"/>
      <c r="L84" s="81"/>
      <c r="M84" s="81"/>
      <c r="N84" s="81"/>
      <c r="O84" s="81"/>
      <c r="P84" s="81"/>
      <c r="Q84" s="105"/>
      <c r="R84" s="479"/>
      <c r="S84" s="188"/>
      <c r="T84" s="119"/>
      <c r="U84" s="119"/>
      <c r="V84" s="189"/>
      <c r="W84" s="188"/>
      <c r="X84" s="188"/>
      <c r="Y84" s="188"/>
      <c r="Z84" s="189"/>
      <c r="AA84" s="189"/>
      <c r="AB84" s="188"/>
      <c r="AC84" s="188"/>
      <c r="AD84" s="188"/>
      <c r="AE84" s="189"/>
      <c r="AF84" s="189"/>
      <c r="AG84" s="53"/>
      <c r="AH84" s="53"/>
      <c r="AI84" s="53"/>
    </row>
    <row r="85" spans="1:35" ht="14.25" customHeight="1" x14ac:dyDescent="0.3">
      <c r="A85" s="603"/>
      <c r="B85" s="131"/>
      <c r="C85" s="604"/>
      <c r="D85" s="605"/>
      <c r="E85" s="689" t="s">
        <v>877</v>
      </c>
      <c r="F85" s="689"/>
      <c r="G85" s="690"/>
      <c r="H85" s="669" t="s">
        <v>877</v>
      </c>
      <c r="I85" s="650"/>
      <c r="J85" s="649"/>
      <c r="K85" s="81"/>
      <c r="L85" s="81"/>
      <c r="M85" s="81"/>
      <c r="N85" s="81"/>
      <c r="O85" s="81"/>
      <c r="P85" s="81"/>
      <c r="Q85" s="105"/>
      <c r="R85" s="479"/>
      <c r="S85" s="188"/>
      <c r="T85" s="119"/>
      <c r="U85" s="119"/>
      <c r="V85" s="189"/>
      <c r="W85" s="188"/>
      <c r="X85" s="188"/>
      <c r="Y85" s="188"/>
      <c r="Z85" s="189"/>
      <c r="AA85" s="189"/>
      <c r="AB85" s="188"/>
      <c r="AC85" s="188"/>
      <c r="AD85" s="188"/>
      <c r="AE85" s="189"/>
      <c r="AF85" s="189"/>
      <c r="AG85" s="53"/>
      <c r="AH85" s="53"/>
      <c r="AI85" s="53"/>
    </row>
    <row r="86" spans="1:35" ht="14.4" customHeight="1" x14ac:dyDescent="0.3">
      <c r="A86" s="465"/>
      <c r="B86" s="111"/>
      <c r="C86" s="111"/>
      <c r="D86" s="111"/>
      <c r="E86" s="466" t="s">
        <v>875</v>
      </c>
      <c r="F86" s="684" t="s">
        <v>876</v>
      </c>
      <c r="G86" s="685"/>
      <c r="H86" s="661" t="s">
        <v>875</v>
      </c>
      <c r="I86" s="662" t="s">
        <v>876</v>
      </c>
      <c r="J86" s="663"/>
      <c r="K86" s="81"/>
      <c r="L86" s="81"/>
      <c r="M86" s="81"/>
      <c r="N86" s="81"/>
      <c r="O86" s="81"/>
      <c r="P86" s="81"/>
      <c r="Q86" s="105"/>
      <c r="R86" s="479"/>
      <c r="S86" s="188"/>
      <c r="T86" s="119"/>
      <c r="U86" s="119"/>
      <c r="V86" s="189"/>
      <c r="W86" s="188"/>
      <c r="X86" s="188"/>
      <c r="Y86" s="188"/>
      <c r="Z86" s="189"/>
      <c r="AA86" s="189"/>
      <c r="AB86" s="188"/>
      <c r="AC86" s="188"/>
      <c r="AD86" s="188"/>
      <c r="AE86" s="189"/>
      <c r="AF86" s="189"/>
      <c r="AG86" s="53"/>
      <c r="AH86" s="53"/>
      <c r="AI86" s="53"/>
    </row>
    <row r="87" spans="1:35" ht="14.4" customHeight="1" x14ac:dyDescent="0.35">
      <c r="A87" s="125"/>
      <c r="B87" s="126"/>
      <c r="C87" s="131"/>
      <c r="D87" s="122" t="s">
        <v>267</v>
      </c>
      <c r="E87" s="127">
        <v>11.5</v>
      </c>
      <c r="F87" s="127">
        <v>3.3</v>
      </c>
      <c r="G87" s="161" t="s">
        <v>49</v>
      </c>
      <c r="H87" s="668">
        <v>11.5</v>
      </c>
      <c r="I87" s="668">
        <v>3.3</v>
      </c>
      <c r="J87" s="664" t="s">
        <v>49</v>
      </c>
      <c r="K87" s="81"/>
      <c r="L87" s="81"/>
      <c r="M87" s="81"/>
      <c r="N87" s="81"/>
      <c r="O87" s="81"/>
      <c r="P87" s="81"/>
      <c r="Q87" s="105"/>
      <c r="R87" s="479"/>
      <c r="S87" s="188"/>
      <c r="T87" s="119"/>
      <c r="U87" s="119"/>
      <c r="V87" s="189"/>
      <c r="W87" s="188"/>
      <c r="X87" s="188"/>
      <c r="Y87" s="188"/>
      <c r="Z87" s="189"/>
      <c r="AA87" s="189"/>
      <c r="AB87" s="188"/>
      <c r="AC87" s="188"/>
      <c r="AD87" s="188"/>
      <c r="AE87" s="189"/>
      <c r="AF87" s="189"/>
      <c r="AG87" s="53"/>
      <c r="AH87" s="53"/>
      <c r="AI87" s="53"/>
    </row>
    <row r="88" spans="1:35" ht="14.4" customHeight="1" x14ac:dyDescent="0.35">
      <c r="A88" s="125"/>
      <c r="B88" s="126"/>
      <c r="C88" s="131"/>
      <c r="D88" s="122" t="s">
        <v>268</v>
      </c>
      <c r="E88" s="127">
        <v>8</v>
      </c>
      <c r="F88" s="127">
        <v>31</v>
      </c>
      <c r="G88" s="161" t="s">
        <v>65</v>
      </c>
      <c r="H88" s="668">
        <v>8</v>
      </c>
      <c r="I88" s="668">
        <v>31</v>
      </c>
      <c r="J88" s="664" t="s">
        <v>65</v>
      </c>
      <c r="K88" s="81"/>
      <c r="L88" s="81"/>
      <c r="M88" s="81"/>
      <c r="N88" s="81"/>
      <c r="O88" s="81"/>
      <c r="P88" s="81"/>
      <c r="Q88" s="105"/>
      <c r="R88" s="479"/>
      <c r="S88" s="188"/>
      <c r="T88" s="119"/>
      <c r="U88" s="119"/>
      <c r="V88" s="189"/>
      <c r="W88" s="188"/>
      <c r="X88" s="188"/>
      <c r="Y88" s="188"/>
      <c r="Z88" s="189"/>
      <c r="AA88" s="189"/>
      <c r="AB88" s="188"/>
      <c r="AC88" s="188"/>
      <c r="AD88" s="188"/>
      <c r="AE88" s="189"/>
      <c r="AF88" s="189"/>
      <c r="AG88" s="53"/>
      <c r="AH88" s="53"/>
      <c r="AI88" s="53"/>
    </row>
    <row r="89" spans="1:35" ht="14.4" customHeight="1" x14ac:dyDescent="0.35">
      <c r="A89" s="125"/>
      <c r="B89" s="126"/>
      <c r="C89" s="131"/>
      <c r="D89" s="122" t="s">
        <v>269</v>
      </c>
      <c r="E89" s="127">
        <v>2.8</v>
      </c>
      <c r="F89" s="127">
        <v>11.2</v>
      </c>
      <c r="G89" s="161" t="s">
        <v>65</v>
      </c>
      <c r="H89" s="668">
        <v>2.8</v>
      </c>
      <c r="I89" s="668">
        <v>11.2</v>
      </c>
      <c r="J89" s="664" t="s">
        <v>65</v>
      </c>
      <c r="K89" s="81"/>
      <c r="L89" s="81"/>
      <c r="M89" s="81"/>
      <c r="N89" s="81"/>
      <c r="O89" s="81"/>
      <c r="P89" s="81"/>
      <c r="Q89" s="105"/>
      <c r="R89" s="479"/>
      <c r="S89" s="188"/>
      <c r="T89" s="119"/>
      <c r="U89" s="119"/>
      <c r="V89" s="189"/>
      <c r="W89" s="188"/>
      <c r="X89" s="188"/>
      <c r="Y89" s="188"/>
      <c r="Z89" s="189"/>
      <c r="AA89" s="189"/>
      <c r="AB89" s="188"/>
      <c r="AC89" s="188"/>
      <c r="AD89" s="188"/>
      <c r="AE89" s="189"/>
      <c r="AF89" s="189"/>
      <c r="AG89" s="53"/>
      <c r="AH89" s="53"/>
      <c r="AI89" s="53"/>
    </row>
    <row r="90" spans="1:35" ht="14.4" customHeight="1" x14ac:dyDescent="0.35">
      <c r="A90" s="125"/>
      <c r="B90" s="126"/>
      <c r="C90" s="131"/>
      <c r="D90" s="122" t="s">
        <v>270</v>
      </c>
      <c r="E90" s="127">
        <v>3.1</v>
      </c>
      <c r="F90" s="127">
        <v>11</v>
      </c>
      <c r="G90" s="161" t="s">
        <v>65</v>
      </c>
      <c r="H90" s="668">
        <v>3.1</v>
      </c>
      <c r="I90" s="668">
        <v>11</v>
      </c>
      <c r="J90" s="664" t="s">
        <v>65</v>
      </c>
      <c r="K90" s="81"/>
      <c r="L90" s="81"/>
      <c r="M90" s="81"/>
      <c r="N90" s="81"/>
      <c r="O90" s="81"/>
      <c r="P90" s="81"/>
      <c r="Q90" s="105"/>
      <c r="R90" s="479"/>
      <c r="S90" s="188"/>
      <c r="T90" s="119"/>
      <c r="U90" s="119"/>
      <c r="V90" s="189"/>
      <c r="W90" s="188"/>
      <c r="X90" s="188"/>
      <c r="Y90" s="188"/>
      <c r="Z90" s="189"/>
      <c r="AA90" s="189"/>
      <c r="AB90" s="188"/>
      <c r="AC90" s="188"/>
      <c r="AD90" s="188"/>
      <c r="AE90" s="189"/>
      <c r="AF90" s="189"/>
      <c r="AG90" s="53"/>
      <c r="AH90" s="53"/>
      <c r="AI90" s="53"/>
    </row>
    <row r="91" spans="1:35" ht="14.4" customHeight="1" x14ac:dyDescent="0.35">
      <c r="A91" s="465"/>
      <c r="B91" s="111"/>
      <c r="C91" s="111"/>
      <c r="D91" s="122" t="s">
        <v>766</v>
      </c>
      <c r="E91" s="608"/>
      <c r="F91" s="127">
        <v>55</v>
      </c>
      <c r="G91" s="161" t="s">
        <v>65</v>
      </c>
      <c r="H91" s="665"/>
      <c r="I91" s="668">
        <v>55</v>
      </c>
      <c r="J91" s="664" t="s">
        <v>65</v>
      </c>
      <c r="K91" s="81"/>
      <c r="L91" s="81"/>
      <c r="M91" s="81"/>
      <c r="N91" s="81"/>
      <c r="O91" s="81"/>
      <c r="P91" s="81"/>
      <c r="Q91" s="105"/>
      <c r="R91" s="479"/>
      <c r="S91" s="188"/>
      <c r="T91" s="119"/>
      <c r="U91" s="119"/>
      <c r="V91" s="189"/>
      <c r="W91" s="188"/>
      <c r="X91" s="188"/>
      <c r="Y91" s="188"/>
      <c r="Z91" s="189"/>
      <c r="AA91" s="189"/>
      <c r="AB91" s="188"/>
      <c r="AC91" s="188"/>
      <c r="AD91" s="188"/>
      <c r="AE91" s="189"/>
      <c r="AF91" s="189"/>
      <c r="AG91" s="53"/>
      <c r="AH91" s="53"/>
      <c r="AI91" s="53"/>
    </row>
    <row r="92" spans="1:35" ht="14.4" customHeight="1" x14ac:dyDescent="0.35">
      <c r="A92" s="465"/>
      <c r="B92" s="111"/>
      <c r="C92" s="111"/>
      <c r="D92" s="122" t="s">
        <v>765</v>
      </c>
      <c r="E92" s="127">
        <v>116</v>
      </c>
      <c r="F92" s="127">
        <v>484</v>
      </c>
      <c r="G92" s="161" t="s">
        <v>30</v>
      </c>
      <c r="H92" s="668">
        <v>116</v>
      </c>
      <c r="I92" s="668">
        <v>484</v>
      </c>
      <c r="J92" s="664" t="s">
        <v>30</v>
      </c>
      <c r="K92" s="81"/>
      <c r="L92" s="81"/>
      <c r="M92" s="81"/>
      <c r="N92" s="81"/>
      <c r="O92" s="81"/>
      <c r="P92" s="81"/>
      <c r="Q92" s="105"/>
      <c r="R92" s="479"/>
      <c r="S92" s="188"/>
      <c r="T92" s="119"/>
      <c r="U92" s="119"/>
      <c r="V92" s="189"/>
      <c r="W92" s="188"/>
      <c r="X92" s="188"/>
      <c r="Y92" s="188"/>
      <c r="Z92" s="189"/>
      <c r="AA92" s="189"/>
      <c r="AB92" s="188"/>
      <c r="AC92" s="188"/>
      <c r="AD92" s="188"/>
      <c r="AE92" s="189"/>
      <c r="AF92" s="189"/>
      <c r="AG92" s="53"/>
      <c r="AH92" s="53"/>
      <c r="AI92" s="53"/>
    </row>
    <row r="93" spans="1:35" ht="14.4" customHeight="1" x14ac:dyDescent="0.35">
      <c r="A93" s="125"/>
      <c r="B93" s="126"/>
      <c r="C93" s="131"/>
      <c r="D93" s="122" t="s">
        <v>271</v>
      </c>
      <c r="E93" s="127">
        <v>1.2</v>
      </c>
      <c r="F93" s="127">
        <v>1.2</v>
      </c>
      <c r="G93" s="161" t="s">
        <v>138</v>
      </c>
      <c r="H93" s="668">
        <v>1.2</v>
      </c>
      <c r="I93" s="668">
        <v>1.2</v>
      </c>
      <c r="J93" s="664" t="s">
        <v>138</v>
      </c>
      <c r="K93" s="81"/>
      <c r="L93" s="81"/>
      <c r="M93" s="81"/>
      <c r="N93" s="81"/>
      <c r="O93" s="81"/>
      <c r="P93" s="81"/>
      <c r="Q93" s="105"/>
      <c r="R93" s="479"/>
      <c r="S93" s="188"/>
      <c r="T93" s="119"/>
      <c r="U93" s="119"/>
      <c r="V93" s="189"/>
      <c r="W93" s="188"/>
      <c r="X93" s="188"/>
      <c r="Y93" s="188"/>
      <c r="Z93" s="189"/>
      <c r="AA93" s="189"/>
      <c r="AB93" s="188"/>
      <c r="AC93" s="188"/>
      <c r="AD93" s="188"/>
      <c r="AE93" s="189"/>
      <c r="AF93" s="189"/>
      <c r="AG93" s="53"/>
      <c r="AH93" s="53"/>
      <c r="AI93" s="53"/>
    </row>
    <row r="94" spans="1:35" ht="14.4" customHeight="1" x14ac:dyDescent="0.35">
      <c r="A94" s="125"/>
      <c r="B94" s="126"/>
      <c r="C94" s="131"/>
      <c r="D94" s="122" t="s">
        <v>272</v>
      </c>
      <c r="E94" s="127">
        <v>55</v>
      </c>
      <c r="F94" s="127">
        <v>200</v>
      </c>
      <c r="G94" s="161" t="s">
        <v>66</v>
      </c>
      <c r="H94" s="668">
        <v>55</v>
      </c>
      <c r="I94" s="668">
        <v>200</v>
      </c>
      <c r="J94" s="664" t="s">
        <v>66</v>
      </c>
      <c r="K94" s="81"/>
      <c r="L94" s="81"/>
      <c r="M94" s="81"/>
      <c r="N94" s="81"/>
      <c r="O94" s="81"/>
      <c r="P94" s="81"/>
      <c r="Q94" s="105"/>
      <c r="R94" s="479"/>
      <c r="S94" s="188"/>
      <c r="T94" s="119"/>
      <c r="U94" s="119"/>
      <c r="V94" s="189"/>
      <c r="W94" s="188"/>
      <c r="X94" s="188"/>
      <c r="Y94" s="188"/>
      <c r="Z94" s="189"/>
      <c r="AA94" s="189"/>
      <c r="AB94" s="188"/>
      <c r="AC94" s="188"/>
      <c r="AD94" s="188"/>
      <c r="AE94" s="189"/>
      <c r="AF94" s="189"/>
      <c r="AG94" s="53"/>
      <c r="AH94" s="53"/>
      <c r="AI94" s="53"/>
    </row>
    <row r="95" spans="1:35" ht="14.4" customHeight="1" x14ac:dyDescent="0.35">
      <c r="A95" s="125"/>
      <c r="B95" s="126"/>
      <c r="C95" s="131"/>
      <c r="D95" s="122" t="s">
        <v>825</v>
      </c>
      <c r="E95" s="127">
        <v>3</v>
      </c>
      <c r="F95" s="127">
        <v>3</v>
      </c>
      <c r="G95" s="161" t="s">
        <v>0</v>
      </c>
      <c r="H95" s="668">
        <v>3</v>
      </c>
      <c r="I95" s="668">
        <v>3</v>
      </c>
      <c r="J95" s="664" t="s">
        <v>0</v>
      </c>
      <c r="K95" s="81"/>
      <c r="L95" s="81"/>
      <c r="M95" s="81"/>
      <c r="N95" s="81"/>
      <c r="O95" s="81"/>
      <c r="P95" s="81"/>
      <c r="Q95" s="105"/>
      <c r="R95" s="479"/>
      <c r="S95" s="188"/>
      <c r="T95" s="119"/>
      <c r="U95" s="119"/>
      <c r="V95" s="189"/>
      <c r="W95" s="188"/>
      <c r="X95" s="188"/>
      <c r="Y95" s="188"/>
      <c r="Z95" s="189"/>
      <c r="AA95" s="189"/>
      <c r="AB95" s="188"/>
      <c r="AC95" s="188"/>
      <c r="AD95" s="188"/>
      <c r="AE95" s="189"/>
      <c r="AF95" s="189"/>
      <c r="AG95" s="53"/>
      <c r="AH95" s="53"/>
      <c r="AI95" s="53"/>
    </row>
    <row r="96" spans="1:35" ht="14.4" customHeight="1" x14ac:dyDescent="0.35">
      <c r="A96" s="125"/>
      <c r="B96" s="126"/>
      <c r="C96" s="131"/>
      <c r="D96" s="122" t="s">
        <v>529</v>
      </c>
      <c r="E96" s="127">
        <v>0.7</v>
      </c>
      <c r="F96" s="127">
        <v>0.7</v>
      </c>
      <c r="G96" s="161" t="s">
        <v>0</v>
      </c>
      <c r="H96" s="668">
        <v>0.7</v>
      </c>
      <c r="I96" s="668">
        <v>0.7</v>
      </c>
      <c r="J96" s="664" t="s">
        <v>0</v>
      </c>
      <c r="K96" s="81"/>
      <c r="L96" s="81"/>
      <c r="M96" s="81"/>
      <c r="N96" s="81"/>
      <c r="O96" s="81"/>
      <c r="P96" s="81"/>
      <c r="Q96" s="105"/>
      <c r="R96" s="479"/>
      <c r="S96" s="188"/>
      <c r="T96" s="119"/>
      <c r="U96" s="119"/>
      <c r="V96" s="189"/>
      <c r="W96" s="188"/>
      <c r="X96" s="188"/>
      <c r="Y96" s="188"/>
      <c r="Z96" s="189"/>
      <c r="AA96" s="189"/>
      <c r="AB96" s="188"/>
      <c r="AC96" s="188"/>
      <c r="AD96" s="188"/>
      <c r="AE96" s="189"/>
      <c r="AF96" s="189"/>
      <c r="AG96" s="53"/>
      <c r="AH96" s="53"/>
      <c r="AI96" s="53"/>
    </row>
    <row r="97" spans="1:35" ht="14.25" customHeight="1" x14ac:dyDescent="0.35">
      <c r="A97" s="125"/>
      <c r="B97" s="126"/>
      <c r="C97" s="126"/>
      <c r="D97" s="122" t="s">
        <v>530</v>
      </c>
      <c r="E97" s="2"/>
      <c r="F97" s="127">
        <v>73</v>
      </c>
      <c r="G97" s="161" t="s">
        <v>65</v>
      </c>
      <c r="H97" s="111"/>
      <c r="I97" s="127">
        <v>73</v>
      </c>
      <c r="J97" s="161" t="s">
        <v>65</v>
      </c>
      <c r="K97" s="81"/>
      <c r="L97" s="81"/>
      <c r="M97" s="81"/>
      <c r="N97" s="81"/>
      <c r="O97" s="81"/>
      <c r="P97" s="81"/>
      <c r="Q97" s="105"/>
      <c r="R97" s="479"/>
      <c r="S97" s="188"/>
      <c r="T97" s="119"/>
      <c r="U97" s="119"/>
      <c r="V97" s="189"/>
      <c r="W97" s="188"/>
      <c r="X97" s="188"/>
      <c r="Y97" s="188"/>
      <c r="Z97" s="189"/>
      <c r="AA97" s="189"/>
      <c r="AB97" s="188"/>
      <c r="AC97" s="188"/>
      <c r="AD97" s="188"/>
      <c r="AE97" s="189"/>
      <c r="AF97" s="189"/>
      <c r="AG97" s="53"/>
      <c r="AH97" s="53"/>
      <c r="AI97" s="53"/>
    </row>
    <row r="98" spans="1:35" ht="14.4" customHeight="1" thickBot="1" x14ac:dyDescent="0.4">
      <c r="A98" s="192"/>
      <c r="B98" s="174"/>
      <c r="C98" s="193"/>
      <c r="D98" s="175" t="s">
        <v>273</v>
      </c>
      <c r="E98" s="245">
        <v>42</v>
      </c>
      <c r="F98" s="245">
        <v>40</v>
      </c>
      <c r="G98" s="176" t="s">
        <v>202</v>
      </c>
      <c r="H98" s="245">
        <v>42</v>
      </c>
      <c r="I98" s="245">
        <v>40</v>
      </c>
      <c r="J98" s="176" t="s">
        <v>202</v>
      </c>
      <c r="K98" s="81"/>
      <c r="L98" s="81"/>
      <c r="M98" s="81"/>
      <c r="N98" s="81"/>
      <c r="O98" s="81"/>
      <c r="P98" s="81"/>
      <c r="Q98" s="105"/>
      <c r="R98" s="479"/>
      <c r="S98" s="188"/>
      <c r="T98" s="119"/>
      <c r="U98" s="119"/>
      <c r="V98" s="189"/>
      <c r="W98" s="188"/>
      <c r="X98" s="188"/>
      <c r="Y98" s="188"/>
      <c r="Z98" s="189"/>
      <c r="AA98" s="189"/>
      <c r="AB98" s="188"/>
      <c r="AC98" s="188"/>
      <c r="AD98" s="188"/>
      <c r="AE98" s="189"/>
      <c r="AF98" s="189"/>
      <c r="AG98" s="53"/>
      <c r="AH98" s="53"/>
      <c r="AI98" s="53"/>
    </row>
    <row r="99" spans="1:35" ht="14.4" customHeight="1" x14ac:dyDescent="0.3">
      <c r="A99" s="610"/>
      <c r="B99" s="126"/>
      <c r="C99" s="131"/>
      <c r="D99" s="122"/>
      <c r="E99" s="133"/>
      <c r="F99" s="173"/>
      <c r="G99" s="126"/>
      <c r="H99" s="126"/>
      <c r="I99" s="81"/>
      <c r="J99" s="81"/>
      <c r="K99" s="81"/>
      <c r="L99" s="81"/>
      <c r="M99" s="81"/>
      <c r="N99" s="81"/>
      <c r="O99" s="81"/>
      <c r="P99" s="81"/>
      <c r="Q99" s="105"/>
      <c r="R99" s="479"/>
      <c r="S99" s="188"/>
      <c r="T99" s="119"/>
      <c r="U99" s="119"/>
      <c r="V99" s="189"/>
      <c r="W99" s="188"/>
      <c r="X99" s="188"/>
      <c r="Y99" s="188"/>
      <c r="Z99" s="189"/>
      <c r="AA99" s="189"/>
      <c r="AB99" s="188"/>
      <c r="AC99" s="188"/>
      <c r="AD99" s="188"/>
      <c r="AE99" s="189"/>
      <c r="AF99" s="189"/>
      <c r="AG99" s="53"/>
      <c r="AH99" s="53"/>
      <c r="AI99" s="53"/>
    </row>
    <row r="100" spans="1:35" ht="14.4" customHeight="1" x14ac:dyDescent="0.3">
      <c r="A100" s="640"/>
      <c r="B100" s="131"/>
      <c r="C100" s="126"/>
      <c r="D100" s="605"/>
      <c r="E100" s="641"/>
      <c r="F100" s="641"/>
      <c r="G100" s="126"/>
      <c r="H100" s="126"/>
      <c r="I100" s="81"/>
      <c r="J100" s="81"/>
      <c r="K100" s="81"/>
      <c r="L100" s="81"/>
      <c r="M100" s="81"/>
      <c r="N100" s="81"/>
      <c r="O100" s="81"/>
      <c r="P100" s="81"/>
      <c r="Q100" s="105"/>
      <c r="R100" s="479"/>
      <c r="S100" s="188"/>
      <c r="T100" s="119"/>
      <c r="U100" s="119"/>
      <c r="V100" s="189"/>
      <c r="W100" s="188"/>
      <c r="X100" s="188"/>
      <c r="Y100" s="188"/>
      <c r="Z100" s="189"/>
      <c r="AA100" s="189"/>
      <c r="AB100" s="188"/>
      <c r="AC100" s="188"/>
      <c r="AD100" s="188"/>
      <c r="AE100" s="189"/>
      <c r="AF100" s="189"/>
      <c r="AG100" s="53"/>
      <c r="AH100" s="53"/>
      <c r="AI100" s="53"/>
    </row>
    <row r="101" spans="1:35" ht="14.4" customHeight="1" x14ac:dyDescent="0.3">
      <c r="A101" s="610"/>
      <c r="B101" s="126"/>
      <c r="C101" s="126"/>
      <c r="D101" s="122"/>
      <c r="E101" s="607"/>
      <c r="F101" s="607"/>
      <c r="G101" s="126"/>
      <c r="H101" s="126"/>
      <c r="I101" s="81"/>
      <c r="J101" s="81"/>
      <c r="K101" s="81"/>
      <c r="L101" s="81"/>
      <c r="M101" s="81"/>
      <c r="N101" s="81"/>
      <c r="O101" s="81"/>
      <c r="P101" s="81"/>
      <c r="Q101" s="105"/>
      <c r="R101" s="479"/>
      <c r="S101" s="188"/>
      <c r="T101" s="119"/>
      <c r="U101" s="119"/>
      <c r="V101" s="189"/>
      <c r="W101" s="188"/>
      <c r="X101" s="188"/>
      <c r="Y101" s="188"/>
      <c r="Z101" s="189"/>
      <c r="AA101" s="189"/>
      <c r="AB101" s="188"/>
      <c r="AC101" s="188"/>
      <c r="AD101" s="188"/>
      <c r="AE101" s="189"/>
      <c r="AF101" s="189"/>
      <c r="AG101" s="53"/>
      <c r="AH101" s="53"/>
      <c r="AI101" s="53"/>
    </row>
    <row r="102" spans="1:35" ht="14.4" customHeight="1" x14ac:dyDescent="0.3">
      <c r="A102" s="610"/>
      <c r="B102" s="126"/>
      <c r="C102" s="126"/>
      <c r="D102" s="122"/>
      <c r="E102" s="607"/>
      <c r="F102" s="607"/>
      <c r="G102" s="126"/>
      <c r="H102" s="126"/>
      <c r="I102" s="81"/>
      <c r="J102" s="81"/>
      <c r="K102" s="81"/>
      <c r="L102" s="81"/>
      <c r="M102" s="81"/>
      <c r="N102" s="81"/>
      <c r="O102" s="81"/>
      <c r="P102" s="81"/>
      <c r="Q102" s="105"/>
      <c r="R102" s="479"/>
      <c r="S102" s="188"/>
      <c r="T102" s="119"/>
      <c r="U102" s="119"/>
      <c r="V102" s="189"/>
      <c r="W102" s="188"/>
      <c r="X102" s="188"/>
      <c r="Y102" s="188"/>
      <c r="Z102" s="189"/>
      <c r="AA102" s="189"/>
      <c r="AB102" s="188"/>
      <c r="AC102" s="188"/>
      <c r="AD102" s="188"/>
      <c r="AE102" s="189"/>
      <c r="AF102" s="189"/>
      <c r="AG102" s="53"/>
      <c r="AH102" s="53"/>
      <c r="AI102" s="53"/>
    </row>
    <row r="103" spans="1:35" ht="14.4" customHeight="1" x14ac:dyDescent="0.3">
      <c r="A103" s="184"/>
      <c r="B103" s="133"/>
      <c r="C103" s="133"/>
      <c r="D103" s="607"/>
      <c r="E103" s="111"/>
      <c r="F103" s="111"/>
      <c r="G103" s="111"/>
      <c r="H103" s="126"/>
      <c r="I103" s="81"/>
      <c r="J103" s="81"/>
      <c r="K103" s="81"/>
      <c r="L103" s="81"/>
      <c r="M103" s="81"/>
      <c r="N103" s="81"/>
      <c r="O103" s="81"/>
      <c r="P103" s="81"/>
      <c r="Q103" s="105"/>
      <c r="R103" s="479"/>
      <c r="S103" s="188"/>
      <c r="T103" s="119"/>
      <c r="U103" s="119"/>
      <c r="V103" s="189"/>
      <c r="W103" s="188"/>
      <c r="X103" s="188"/>
      <c r="Y103" s="188"/>
      <c r="Z103" s="189"/>
      <c r="AA103" s="189"/>
      <c r="AB103" s="188"/>
      <c r="AC103" s="188"/>
      <c r="AD103" s="188"/>
      <c r="AE103" s="189"/>
      <c r="AF103" s="189"/>
      <c r="AG103" s="53"/>
      <c r="AH103" s="53"/>
      <c r="AI103" s="53"/>
    </row>
    <row r="104" spans="1:35" ht="18" customHeight="1" thickBot="1" x14ac:dyDescent="0.35">
      <c r="A104" s="149" t="s">
        <v>799</v>
      </c>
      <c r="B104" s="133"/>
      <c r="C104" s="608"/>
      <c r="D104" s="607"/>
      <c r="E104" s="111"/>
      <c r="F104" s="111"/>
      <c r="G104" s="111"/>
      <c r="H104" s="126"/>
      <c r="I104" s="81"/>
      <c r="J104" s="81"/>
      <c r="K104" s="81"/>
      <c r="L104" s="81"/>
      <c r="M104" s="81"/>
      <c r="N104" s="81"/>
      <c r="O104" s="81"/>
      <c r="P104" s="81"/>
      <c r="Q104" s="105"/>
      <c r="R104" s="479"/>
      <c r="S104" s="188"/>
      <c r="T104" s="119"/>
      <c r="U104" s="119"/>
      <c r="V104" s="189"/>
      <c r="W104" s="188"/>
      <c r="X104" s="188"/>
      <c r="Y104" s="188"/>
      <c r="Z104" s="189"/>
      <c r="AA104" s="189"/>
      <c r="AB104" s="188"/>
      <c r="AC104" s="188"/>
      <c r="AD104" s="188"/>
      <c r="AE104" s="189"/>
      <c r="AF104" s="189"/>
      <c r="AG104" s="53"/>
      <c r="AH104" s="53"/>
      <c r="AI104" s="53"/>
    </row>
    <row r="105" spans="1:35" ht="15" customHeight="1" x14ac:dyDescent="0.3">
      <c r="A105" s="183"/>
      <c r="B105" s="152"/>
      <c r="C105" s="153"/>
      <c r="D105" s="153" t="s">
        <v>762</v>
      </c>
      <c r="E105" s="538">
        <f>'Variable Management'!B345</f>
        <v>0.82367999999999997</v>
      </c>
      <c r="F105" s="160" t="s">
        <v>116</v>
      </c>
      <c r="G105" s="111"/>
      <c r="H105" s="126"/>
      <c r="I105" s="81"/>
      <c r="J105" s="81"/>
      <c r="K105" s="81"/>
      <c r="L105" s="81"/>
      <c r="M105" s="81"/>
      <c r="N105" s="81"/>
      <c r="O105" s="81"/>
      <c r="P105" s="81"/>
      <c r="Q105" s="105"/>
      <c r="R105" s="479"/>
      <c r="S105" s="53"/>
      <c r="T105" s="6"/>
      <c r="U105" s="6"/>
      <c r="W105" s="53"/>
      <c r="X105" s="53"/>
      <c r="Y105" s="53"/>
      <c r="AB105" s="53"/>
      <c r="AC105" s="53"/>
      <c r="AD105" s="53"/>
      <c r="AG105" s="53"/>
      <c r="AH105" s="53"/>
      <c r="AI105" s="53"/>
    </row>
    <row r="106" spans="1:35" ht="15" customHeight="1" thickBot="1" x14ac:dyDescent="0.35">
      <c r="A106" s="157"/>
      <c r="B106" s="158"/>
      <c r="C106" s="158"/>
      <c r="D106" s="257" t="s">
        <v>755</v>
      </c>
      <c r="E106" s="638">
        <f>'Variable Management'!B349</f>
        <v>53.664063999999996</v>
      </c>
      <c r="F106" s="275" t="s">
        <v>222</v>
      </c>
      <c r="G106" s="111"/>
      <c r="H106" s="126"/>
      <c r="I106" s="81"/>
      <c r="J106" s="81"/>
      <c r="K106" s="81"/>
      <c r="L106" s="81"/>
      <c r="M106" s="81"/>
      <c r="N106" s="81"/>
      <c r="O106" s="81"/>
      <c r="P106" s="81"/>
      <c r="Q106" s="105"/>
      <c r="R106" s="479"/>
      <c r="S106" s="53"/>
      <c r="T106" s="53"/>
      <c r="W106" s="53"/>
      <c r="X106" s="53"/>
      <c r="Y106" s="53"/>
      <c r="AB106" s="53"/>
      <c r="AC106" s="53"/>
      <c r="AD106" s="53"/>
      <c r="AG106" s="53"/>
      <c r="AH106" s="53"/>
      <c r="AI106" s="53"/>
    </row>
    <row r="107" spans="1:35" ht="15.75" customHeight="1" x14ac:dyDescent="0.3">
      <c r="A107" s="465"/>
      <c r="B107" s="111"/>
      <c r="C107" s="111"/>
      <c r="D107" s="111"/>
      <c r="E107" s="111"/>
      <c r="F107" s="111"/>
      <c r="G107" s="111"/>
      <c r="H107" s="126"/>
      <c r="I107" s="81"/>
      <c r="J107" s="81"/>
      <c r="K107" s="81"/>
      <c r="L107" s="81"/>
      <c r="M107" s="81"/>
      <c r="N107" s="81"/>
      <c r="O107" s="81"/>
      <c r="P107" s="81"/>
      <c r="Q107" s="105"/>
      <c r="R107" s="479"/>
      <c r="S107" s="53"/>
      <c r="T107" s="53"/>
      <c r="W107" s="53"/>
      <c r="X107" s="53"/>
      <c r="Y107" s="53"/>
      <c r="AB107" s="53"/>
      <c r="AC107" s="53"/>
      <c r="AD107" s="53"/>
      <c r="AG107" s="53"/>
      <c r="AH107" s="53"/>
      <c r="AI107" s="53"/>
    </row>
    <row r="108" spans="1:35" ht="14.4" customHeight="1" x14ac:dyDescent="0.3">
      <c r="A108" s="465"/>
      <c r="B108" s="111"/>
      <c r="C108" s="111"/>
      <c r="D108" s="111"/>
      <c r="E108" s="111"/>
      <c r="F108" s="111"/>
      <c r="G108" s="111"/>
      <c r="H108" s="126"/>
      <c r="I108" s="81"/>
      <c r="J108" s="81"/>
      <c r="K108" s="81"/>
      <c r="L108" s="81"/>
      <c r="M108" s="81"/>
      <c r="N108" s="81"/>
      <c r="O108" s="81"/>
      <c r="P108" s="81"/>
      <c r="Q108" s="105"/>
      <c r="R108" s="479"/>
      <c r="S108" s="53"/>
      <c r="T108" s="53"/>
      <c r="W108" s="53"/>
      <c r="X108" s="53"/>
      <c r="Y108" s="53"/>
      <c r="AB108" s="53"/>
      <c r="AC108" s="53"/>
      <c r="AD108" s="53"/>
      <c r="AG108" s="53"/>
      <c r="AH108" s="53"/>
      <c r="AI108" s="53"/>
    </row>
    <row r="109" spans="1:35" ht="14.25" customHeight="1" x14ac:dyDescent="0.3">
      <c r="A109" s="609"/>
      <c r="B109" s="133"/>
      <c r="C109" s="133"/>
      <c r="D109" s="607"/>
      <c r="E109" s="111"/>
      <c r="F109" s="111"/>
      <c r="G109" s="111"/>
      <c r="H109" s="126"/>
      <c r="I109" s="81"/>
      <c r="J109" s="81"/>
      <c r="K109" s="81"/>
      <c r="L109" s="81"/>
      <c r="M109" s="81"/>
      <c r="N109" s="81"/>
      <c r="O109" s="81"/>
      <c r="P109" s="81"/>
      <c r="Q109" s="105"/>
      <c r="R109" s="479"/>
      <c r="S109" s="53"/>
      <c r="T109" s="53"/>
      <c r="W109" s="53"/>
      <c r="X109" s="53"/>
      <c r="Y109" s="53"/>
      <c r="AB109" s="53"/>
      <c r="AC109" s="53"/>
      <c r="AD109" s="53"/>
      <c r="AG109" s="53"/>
      <c r="AH109" s="53"/>
      <c r="AI109" s="53"/>
    </row>
    <row r="110" spans="1:35" ht="14.4" customHeight="1" x14ac:dyDescent="0.3">
      <c r="A110" s="610"/>
      <c r="B110" s="126"/>
      <c r="C110" s="126"/>
      <c r="D110" s="122"/>
      <c r="E110" s="2"/>
      <c r="F110" s="126"/>
      <c r="G110" s="126"/>
      <c r="H110" s="126"/>
      <c r="I110" s="85"/>
      <c r="J110" s="86"/>
      <c r="K110" s="81"/>
      <c r="L110" s="81"/>
      <c r="M110" s="81"/>
      <c r="N110" s="81"/>
      <c r="O110" s="81"/>
      <c r="P110" s="81"/>
      <c r="Q110" s="105"/>
      <c r="R110" s="479"/>
      <c r="S110" s="53"/>
      <c r="T110" s="53"/>
      <c r="W110" s="53"/>
      <c r="X110" s="53"/>
      <c r="Y110" s="53"/>
      <c r="AB110" s="53"/>
      <c r="AC110" s="53"/>
      <c r="AD110" s="53"/>
      <c r="AG110" s="53"/>
      <c r="AH110" s="53"/>
      <c r="AI110" s="53"/>
    </row>
    <row r="111" spans="1:35" ht="14.4" customHeight="1" x14ac:dyDescent="0.3">
      <c r="A111" s="617"/>
      <c r="B111" s="111"/>
      <c r="C111" s="111"/>
      <c r="D111" s="111"/>
      <c r="E111" s="111"/>
      <c r="F111" s="111"/>
      <c r="G111" s="111"/>
      <c r="H111" s="126"/>
      <c r="I111" s="81"/>
      <c r="J111" s="81"/>
      <c r="K111" s="81"/>
      <c r="L111" s="81"/>
      <c r="M111" s="81"/>
      <c r="N111" s="81"/>
      <c r="O111" s="81"/>
      <c r="P111" s="81"/>
      <c r="Q111" s="105"/>
      <c r="R111" s="479"/>
      <c r="S111" s="53"/>
      <c r="T111" s="53"/>
      <c r="W111" s="53"/>
      <c r="X111" s="53"/>
      <c r="Y111" s="53"/>
      <c r="AB111" s="53"/>
      <c r="AC111" s="53"/>
      <c r="AD111" s="53"/>
      <c r="AG111" s="53"/>
      <c r="AH111" s="53"/>
      <c r="AI111" s="53"/>
    </row>
    <row r="112" spans="1:35" ht="14.4" customHeight="1" x14ac:dyDescent="0.3">
      <c r="A112" s="617"/>
      <c r="B112" s="111"/>
      <c r="C112" s="111"/>
      <c r="D112" s="111"/>
      <c r="E112" s="111"/>
      <c r="F112" s="111"/>
      <c r="G112" s="111"/>
      <c r="H112" s="126"/>
      <c r="I112" s="81"/>
      <c r="J112" s="81"/>
      <c r="K112" s="81"/>
      <c r="L112" s="81"/>
      <c r="M112" s="81"/>
      <c r="N112" s="81"/>
      <c r="O112" s="81"/>
      <c r="P112" s="81"/>
      <c r="Q112" s="105"/>
      <c r="R112" s="479"/>
      <c r="S112" s="53"/>
      <c r="T112" s="53"/>
      <c r="W112" s="53"/>
      <c r="X112" s="53"/>
      <c r="Y112" s="53"/>
      <c r="AB112" s="53"/>
      <c r="AC112" s="53"/>
      <c r="AD112" s="53"/>
      <c r="AG112" s="53"/>
      <c r="AH112" s="53"/>
      <c r="AI112" s="53"/>
    </row>
    <row r="113" spans="1:35" ht="14.4" thickBot="1" x14ac:dyDescent="0.35">
      <c r="A113" s="157"/>
      <c r="B113" s="158"/>
      <c r="C113" s="158"/>
      <c r="D113" s="158"/>
      <c r="E113" s="201"/>
      <c r="F113" s="158"/>
      <c r="G113" s="158"/>
      <c r="H113" s="158"/>
      <c r="I113" s="202"/>
      <c r="J113" s="202"/>
      <c r="K113" s="202"/>
      <c r="L113" s="202"/>
      <c r="M113" s="202"/>
      <c r="N113" s="202"/>
      <c r="O113" s="202"/>
      <c r="P113" s="202"/>
      <c r="Q113" s="203"/>
      <c r="R113" s="479"/>
      <c r="S113" s="53"/>
      <c r="T113" s="53"/>
      <c r="W113" s="53"/>
      <c r="X113" s="53"/>
      <c r="Y113" s="53"/>
      <c r="AB113" s="53"/>
      <c r="AC113" s="53"/>
      <c r="AD113" s="53"/>
      <c r="AG113" s="53"/>
      <c r="AH113" s="53"/>
      <c r="AI113" s="53"/>
    </row>
    <row r="114" spans="1:35" x14ac:dyDescent="0.3">
      <c r="A114" s="476"/>
      <c r="B114" s="477"/>
      <c r="C114" s="478"/>
      <c r="D114" s="478"/>
      <c r="E114" s="478"/>
      <c r="F114" s="478"/>
      <c r="G114" s="478"/>
      <c r="H114" s="478"/>
      <c r="I114" s="478"/>
      <c r="J114" s="478"/>
      <c r="K114" s="478"/>
      <c r="L114" s="478"/>
      <c r="M114" s="478"/>
      <c r="N114" s="478"/>
      <c r="O114" s="478"/>
      <c r="P114" s="478"/>
      <c r="Q114" s="478"/>
      <c r="R114" s="479"/>
      <c r="S114" s="53"/>
      <c r="T114" s="53"/>
      <c r="W114" s="53"/>
      <c r="X114" s="53"/>
      <c r="Y114" s="53"/>
      <c r="AB114" s="53"/>
      <c r="AC114" s="53"/>
      <c r="AD114" s="53"/>
      <c r="AG114" s="53"/>
      <c r="AH114" s="53"/>
      <c r="AI114" s="53"/>
    </row>
    <row r="115" spans="1:35" x14ac:dyDescent="0.3">
      <c r="A115" s="77"/>
      <c r="R115" s="53"/>
      <c r="S115" s="53"/>
      <c r="T115" s="53"/>
      <c r="W115" s="53"/>
      <c r="X115" s="53"/>
      <c r="Y115" s="53"/>
      <c r="AB115" s="53"/>
      <c r="AC115" s="53"/>
      <c r="AD115" s="53"/>
      <c r="AG115" s="53"/>
      <c r="AH115" s="53"/>
      <c r="AI115" s="53"/>
    </row>
    <row r="116" spans="1:35" x14ac:dyDescent="0.3">
      <c r="R116" s="53"/>
      <c r="S116" s="53"/>
      <c r="T116" s="53"/>
      <c r="W116" s="53"/>
      <c r="X116" s="53"/>
      <c r="Y116" s="53"/>
      <c r="AB116" s="53"/>
      <c r="AC116" s="53"/>
      <c r="AD116" s="53"/>
      <c r="AG116" s="53"/>
      <c r="AH116" s="53"/>
      <c r="AI116" s="53"/>
    </row>
    <row r="117" spans="1:35" x14ac:dyDescent="0.3">
      <c r="R117" s="53"/>
      <c r="S117" s="53"/>
      <c r="T117" s="53"/>
      <c r="W117" s="53"/>
      <c r="X117" s="53"/>
      <c r="Y117" s="53"/>
      <c r="AB117" s="53"/>
      <c r="AC117" s="53"/>
      <c r="AD117" s="53"/>
      <c r="AG117" s="53"/>
      <c r="AH117" s="53"/>
      <c r="AI117" s="53"/>
    </row>
    <row r="118" spans="1:35" x14ac:dyDescent="0.3">
      <c r="R118" s="53"/>
      <c r="S118" s="53"/>
      <c r="T118" s="53"/>
      <c r="W118" s="53"/>
      <c r="X118" s="53"/>
      <c r="Y118" s="53"/>
      <c r="AB118" s="53"/>
      <c r="AC118" s="53"/>
      <c r="AD118" s="53"/>
      <c r="AG118" s="53"/>
      <c r="AH118" s="53"/>
      <c r="AI118" s="53"/>
    </row>
    <row r="119" spans="1:35" x14ac:dyDescent="0.3">
      <c r="R119" s="53"/>
      <c r="S119" s="53"/>
      <c r="T119" s="53"/>
      <c r="W119" s="53"/>
      <c r="X119" s="53"/>
      <c r="Y119" s="53"/>
      <c r="AB119" s="53"/>
      <c r="AC119" s="53"/>
      <c r="AD119" s="53"/>
      <c r="AG119" s="53"/>
      <c r="AH119" s="53"/>
      <c r="AI119" s="53"/>
    </row>
    <row r="120" spans="1:35" x14ac:dyDescent="0.3">
      <c r="R120" s="53"/>
      <c r="S120" s="53"/>
      <c r="T120" s="53"/>
      <c r="W120" s="53"/>
      <c r="X120" s="53"/>
      <c r="Y120" s="53"/>
      <c r="AB120" s="53"/>
      <c r="AC120" s="53"/>
      <c r="AD120" s="53"/>
      <c r="AG120" s="53"/>
      <c r="AH120" s="53"/>
      <c r="AI120" s="53"/>
    </row>
    <row r="121" spans="1:35" x14ac:dyDescent="0.3">
      <c r="R121" s="53"/>
      <c r="S121" s="53"/>
      <c r="T121" s="53"/>
      <c r="W121" s="53"/>
      <c r="X121" s="53"/>
      <c r="Y121" s="53"/>
      <c r="AB121" s="53"/>
      <c r="AC121" s="53"/>
      <c r="AD121" s="53"/>
      <c r="AG121" s="53"/>
      <c r="AH121" s="53"/>
      <c r="AI121" s="53"/>
    </row>
    <row r="122" spans="1:35" x14ac:dyDescent="0.3">
      <c r="R122" s="53"/>
      <c r="S122" s="53"/>
      <c r="T122" s="53"/>
      <c r="W122" s="53"/>
      <c r="X122" s="53"/>
      <c r="Y122" s="53"/>
      <c r="AB122" s="53"/>
      <c r="AC122" s="53"/>
      <c r="AD122" s="53"/>
      <c r="AG122" s="53"/>
      <c r="AH122" s="53"/>
      <c r="AI122" s="53"/>
    </row>
    <row r="123" spans="1:35" x14ac:dyDescent="0.3">
      <c r="R123" s="53"/>
      <c r="S123" s="53"/>
      <c r="T123" s="53"/>
      <c r="W123" s="53"/>
      <c r="X123" s="53"/>
      <c r="Y123" s="53"/>
      <c r="AB123" s="53"/>
      <c r="AC123" s="53"/>
      <c r="AD123" s="53"/>
      <c r="AG123" s="53"/>
      <c r="AH123" s="53"/>
      <c r="AI123" s="53"/>
    </row>
    <row r="124" spans="1:35" x14ac:dyDescent="0.3">
      <c r="R124" s="53"/>
      <c r="S124" s="53"/>
      <c r="T124" s="53"/>
      <c r="W124" s="53"/>
      <c r="X124" s="53"/>
      <c r="Y124" s="53"/>
      <c r="AB124" s="53"/>
      <c r="AC124" s="53"/>
      <c r="AD124" s="53"/>
      <c r="AG124" s="53"/>
      <c r="AH124" s="53"/>
      <c r="AI124" s="53"/>
    </row>
    <row r="125" spans="1:35" x14ac:dyDescent="0.3">
      <c r="R125" s="53"/>
      <c r="S125" s="53"/>
      <c r="T125" s="53"/>
      <c r="W125" s="53"/>
      <c r="X125" s="53"/>
      <c r="Y125" s="53"/>
      <c r="AB125" s="53"/>
      <c r="AC125" s="53"/>
      <c r="AD125" s="53"/>
      <c r="AG125" s="53"/>
      <c r="AH125" s="53"/>
      <c r="AI125" s="53"/>
    </row>
    <row r="126" spans="1:35" x14ac:dyDescent="0.3">
      <c r="R126" s="53"/>
      <c r="S126" s="53"/>
      <c r="T126" s="53"/>
      <c r="W126" s="53"/>
      <c r="X126" s="53"/>
      <c r="Y126" s="53"/>
      <c r="AB126" s="53"/>
      <c r="AC126" s="53"/>
      <c r="AD126" s="53"/>
      <c r="AG126" s="53"/>
      <c r="AH126" s="53"/>
      <c r="AI126" s="53"/>
    </row>
    <row r="127" spans="1:35" x14ac:dyDescent="0.3">
      <c r="R127" s="53"/>
      <c r="S127" s="53"/>
      <c r="T127" s="53"/>
      <c r="W127" s="53"/>
      <c r="X127" s="53"/>
      <c r="Y127" s="53"/>
      <c r="AB127" s="53"/>
      <c r="AC127" s="53"/>
      <c r="AD127" s="53"/>
      <c r="AG127" s="53"/>
      <c r="AH127" s="53"/>
      <c r="AI127" s="53"/>
    </row>
    <row r="128" spans="1:35" x14ac:dyDescent="0.3">
      <c r="R128" s="53"/>
      <c r="S128" s="53"/>
      <c r="T128" s="53"/>
      <c r="W128" s="53"/>
      <c r="X128" s="53"/>
      <c r="Y128" s="53"/>
      <c r="AB128" s="53"/>
      <c r="AC128" s="53"/>
      <c r="AD128" s="53"/>
      <c r="AG128" s="53"/>
      <c r="AH128" s="53"/>
      <c r="AI128" s="53"/>
    </row>
    <row r="129" spans="18:35" x14ac:dyDescent="0.3">
      <c r="R129" s="53"/>
      <c r="S129" s="53"/>
      <c r="T129" s="53"/>
      <c r="W129" s="53"/>
      <c r="X129" s="53"/>
      <c r="Y129" s="53"/>
      <c r="AB129" s="53"/>
      <c r="AC129" s="53"/>
      <c r="AD129" s="53"/>
      <c r="AG129" s="53"/>
      <c r="AH129" s="53"/>
      <c r="AI129" s="53"/>
    </row>
    <row r="130" spans="18:35" x14ac:dyDescent="0.3">
      <c r="R130" s="53"/>
      <c r="S130" s="53"/>
      <c r="T130" s="53"/>
      <c r="W130" s="53"/>
      <c r="X130" s="53"/>
      <c r="Y130" s="53"/>
      <c r="AB130" s="53"/>
      <c r="AC130" s="53"/>
      <c r="AD130" s="53"/>
      <c r="AG130" s="53"/>
      <c r="AH130" s="53"/>
      <c r="AI130" s="53"/>
    </row>
    <row r="131" spans="18:35" x14ac:dyDescent="0.3">
      <c r="R131" s="53"/>
      <c r="S131" s="53"/>
      <c r="T131" s="53"/>
      <c r="W131" s="53"/>
      <c r="X131" s="53"/>
      <c r="Y131" s="53"/>
      <c r="AB131" s="53"/>
      <c r="AC131" s="53"/>
      <c r="AD131" s="53"/>
      <c r="AG131" s="53"/>
      <c r="AH131" s="53"/>
      <c r="AI131" s="53"/>
    </row>
    <row r="132" spans="18:35" x14ac:dyDescent="0.3">
      <c r="R132" s="53"/>
      <c r="S132" s="53"/>
      <c r="T132" s="53"/>
      <c r="W132" s="53"/>
      <c r="X132" s="53"/>
      <c r="Y132" s="53"/>
      <c r="AB132" s="53"/>
      <c r="AC132" s="53"/>
      <c r="AD132" s="53"/>
      <c r="AG132" s="53"/>
      <c r="AH132" s="53"/>
      <c r="AI132" s="53"/>
    </row>
    <row r="133" spans="18:35" x14ac:dyDescent="0.3">
      <c r="R133" s="53"/>
      <c r="S133" s="53"/>
      <c r="T133" s="53"/>
      <c r="W133" s="53"/>
      <c r="X133" s="53"/>
      <c r="Y133" s="53"/>
      <c r="AB133" s="53"/>
      <c r="AC133" s="53"/>
      <c r="AD133" s="53"/>
      <c r="AG133" s="53"/>
      <c r="AH133" s="53"/>
      <c r="AI133" s="53"/>
    </row>
    <row r="134" spans="18:35" x14ac:dyDescent="0.3">
      <c r="R134" s="53"/>
      <c r="S134" s="53"/>
      <c r="T134" s="53"/>
      <c r="W134" s="53"/>
      <c r="X134" s="53"/>
      <c r="Y134" s="53"/>
      <c r="AB134" s="53"/>
      <c r="AC134" s="53"/>
      <c r="AD134" s="53"/>
      <c r="AG134" s="53"/>
      <c r="AH134" s="53"/>
      <c r="AI134" s="53"/>
    </row>
    <row r="135" spans="18:35" x14ac:dyDescent="0.3">
      <c r="R135" s="53"/>
      <c r="S135" s="53"/>
      <c r="T135" s="53"/>
      <c r="W135" s="53"/>
      <c r="X135" s="53"/>
      <c r="Y135" s="53"/>
      <c r="AB135" s="53"/>
      <c r="AC135" s="53"/>
      <c r="AD135" s="53"/>
      <c r="AG135" s="53"/>
      <c r="AH135" s="53"/>
      <c r="AI135" s="53"/>
    </row>
    <row r="136" spans="18:35" x14ac:dyDescent="0.3">
      <c r="R136" s="53"/>
      <c r="S136" s="53"/>
      <c r="T136" s="53"/>
      <c r="W136" s="53"/>
      <c r="X136" s="53"/>
      <c r="Y136" s="53"/>
      <c r="AB136" s="53"/>
      <c r="AC136" s="53"/>
      <c r="AD136" s="53"/>
      <c r="AG136" s="53"/>
      <c r="AH136" s="53"/>
      <c r="AI136" s="53"/>
    </row>
    <row r="137" spans="18:35" x14ac:dyDescent="0.3">
      <c r="R137" s="53"/>
      <c r="S137" s="53"/>
      <c r="T137" s="53"/>
      <c r="W137" s="53"/>
      <c r="X137" s="53"/>
      <c r="Y137" s="53"/>
      <c r="AB137" s="53"/>
      <c r="AC137" s="53"/>
      <c r="AD137" s="53"/>
      <c r="AG137" s="53"/>
      <c r="AH137" s="53"/>
      <c r="AI137" s="53"/>
    </row>
    <row r="138" spans="18:35" x14ac:dyDescent="0.3">
      <c r="R138" s="53"/>
      <c r="S138" s="53"/>
      <c r="T138" s="53"/>
      <c r="W138" s="53"/>
      <c r="X138" s="53"/>
      <c r="Y138" s="53"/>
      <c r="AB138" s="53"/>
      <c r="AC138" s="53"/>
      <c r="AD138" s="53"/>
      <c r="AG138" s="53"/>
      <c r="AH138" s="53"/>
      <c r="AI138" s="53"/>
    </row>
    <row r="139" spans="18:35" x14ac:dyDescent="0.3">
      <c r="R139" s="53"/>
      <c r="S139" s="53"/>
      <c r="T139" s="53"/>
      <c r="W139" s="53"/>
      <c r="X139" s="53"/>
      <c r="Y139" s="53"/>
      <c r="AB139" s="53"/>
      <c r="AC139" s="53"/>
      <c r="AD139" s="53"/>
      <c r="AG139" s="53"/>
      <c r="AH139" s="53"/>
      <c r="AI139" s="53"/>
    </row>
    <row r="140" spans="18:35" x14ac:dyDescent="0.3">
      <c r="R140" s="53"/>
      <c r="S140" s="53"/>
      <c r="T140" s="53"/>
      <c r="W140" s="53"/>
      <c r="X140" s="53"/>
      <c r="Y140" s="53"/>
      <c r="AB140" s="53"/>
      <c r="AC140" s="53"/>
      <c r="AD140" s="53"/>
      <c r="AG140" s="53"/>
      <c r="AH140" s="53"/>
      <c r="AI140" s="53"/>
    </row>
    <row r="141" spans="18:35" x14ac:dyDescent="0.3">
      <c r="R141" s="53"/>
      <c r="S141" s="53"/>
      <c r="T141" s="53"/>
      <c r="W141" s="53"/>
      <c r="X141" s="53"/>
      <c r="Y141" s="53"/>
      <c r="AB141" s="53"/>
      <c r="AC141" s="53"/>
      <c r="AD141" s="53"/>
      <c r="AG141" s="53"/>
      <c r="AH141" s="53"/>
      <c r="AI141" s="53"/>
    </row>
    <row r="142" spans="18:35" x14ac:dyDescent="0.3">
      <c r="R142" s="53"/>
      <c r="S142" s="53"/>
      <c r="T142" s="53"/>
      <c r="W142" s="53"/>
      <c r="X142" s="53"/>
      <c r="Y142" s="53"/>
      <c r="AB142" s="53"/>
      <c r="AC142" s="53"/>
      <c r="AD142" s="53"/>
      <c r="AG142" s="53"/>
      <c r="AH142" s="53"/>
      <c r="AI142" s="53"/>
    </row>
    <row r="143" spans="18:35" x14ac:dyDescent="0.3">
      <c r="R143" s="53"/>
      <c r="S143" s="53"/>
      <c r="T143" s="53"/>
      <c r="W143" s="53"/>
      <c r="X143" s="53"/>
      <c r="Y143" s="53"/>
      <c r="AB143" s="53"/>
      <c r="AC143" s="53"/>
      <c r="AD143" s="53"/>
      <c r="AG143" s="53"/>
      <c r="AH143" s="53"/>
      <c r="AI143" s="53"/>
    </row>
    <row r="144" spans="18:35" x14ac:dyDescent="0.3">
      <c r="R144" s="53"/>
      <c r="S144" s="53"/>
      <c r="T144" s="53"/>
      <c r="W144" s="53"/>
      <c r="X144" s="53"/>
      <c r="Y144" s="53"/>
      <c r="AB144" s="53"/>
      <c r="AC144" s="53"/>
      <c r="AD144" s="53"/>
      <c r="AG144" s="53"/>
      <c r="AH144" s="53"/>
      <c r="AI144" s="53"/>
    </row>
    <row r="145" spans="18:35" x14ac:dyDescent="0.3">
      <c r="R145" s="53"/>
      <c r="S145" s="53"/>
      <c r="T145" s="53"/>
      <c r="W145" s="53"/>
      <c r="X145" s="53"/>
      <c r="Y145" s="53"/>
      <c r="AB145" s="53"/>
      <c r="AC145" s="53"/>
      <c r="AD145" s="53"/>
      <c r="AG145" s="53"/>
      <c r="AH145" s="53"/>
      <c r="AI145" s="53"/>
    </row>
    <row r="146" spans="18:35" x14ac:dyDescent="0.3">
      <c r="R146" s="53"/>
      <c r="S146" s="53"/>
      <c r="T146" s="53"/>
      <c r="W146" s="53"/>
      <c r="X146" s="53"/>
      <c r="Y146" s="53"/>
      <c r="AB146" s="53"/>
      <c r="AC146" s="53"/>
      <c r="AD146" s="53"/>
      <c r="AG146" s="53"/>
      <c r="AH146" s="53"/>
      <c r="AI146" s="53"/>
    </row>
    <row r="147" spans="18:35" x14ac:dyDescent="0.3">
      <c r="R147" s="53"/>
      <c r="S147" s="53"/>
      <c r="T147" s="53"/>
      <c r="W147" s="53"/>
      <c r="X147" s="53"/>
      <c r="Y147" s="53"/>
      <c r="AB147" s="53"/>
      <c r="AC147" s="53"/>
      <c r="AD147" s="53"/>
      <c r="AG147" s="53"/>
      <c r="AH147" s="53"/>
      <c r="AI147" s="53"/>
    </row>
    <row r="148" spans="18:35" x14ac:dyDescent="0.3">
      <c r="R148" s="53"/>
      <c r="S148" s="53"/>
      <c r="T148" s="53"/>
      <c r="W148" s="53"/>
      <c r="X148" s="53"/>
      <c r="Y148" s="53"/>
      <c r="AB148" s="53"/>
      <c r="AC148" s="53"/>
      <c r="AD148" s="53"/>
      <c r="AG148" s="53"/>
      <c r="AH148" s="53"/>
      <c r="AI148" s="53"/>
    </row>
    <row r="149" spans="18:35" x14ac:dyDescent="0.3">
      <c r="R149" s="53"/>
      <c r="S149" s="53"/>
      <c r="T149" s="53"/>
      <c r="W149" s="53"/>
      <c r="X149" s="53"/>
      <c r="Y149" s="53"/>
      <c r="AB149" s="53"/>
      <c r="AC149" s="53"/>
      <c r="AD149" s="53"/>
      <c r="AG149" s="53"/>
      <c r="AH149" s="53"/>
      <c r="AI149" s="53"/>
    </row>
    <row r="150" spans="18:35" x14ac:dyDescent="0.3">
      <c r="R150" s="53"/>
      <c r="S150" s="53"/>
      <c r="T150" s="53"/>
      <c r="W150" s="53"/>
      <c r="X150" s="53"/>
      <c r="Y150" s="53"/>
      <c r="AB150" s="53"/>
      <c r="AC150" s="53"/>
      <c r="AD150" s="53"/>
      <c r="AG150" s="53"/>
      <c r="AH150" s="53"/>
      <c r="AI150" s="53"/>
    </row>
    <row r="151" spans="18:35" x14ac:dyDescent="0.3">
      <c r="R151" s="53"/>
      <c r="S151" s="53"/>
      <c r="T151" s="53"/>
      <c r="W151" s="53"/>
      <c r="X151" s="53"/>
      <c r="Y151" s="53"/>
      <c r="AB151" s="53"/>
      <c r="AC151" s="53"/>
      <c r="AD151" s="53"/>
      <c r="AG151" s="53"/>
      <c r="AH151" s="53"/>
      <c r="AI151" s="53"/>
    </row>
    <row r="152" spans="18:35" x14ac:dyDescent="0.3">
      <c r="R152" s="53"/>
      <c r="S152" s="53"/>
      <c r="T152" s="53"/>
      <c r="W152" s="53"/>
      <c r="X152" s="53"/>
      <c r="Y152" s="53"/>
      <c r="AB152" s="53"/>
      <c r="AC152" s="53"/>
      <c r="AD152" s="53"/>
      <c r="AG152" s="53"/>
      <c r="AH152" s="53"/>
      <c r="AI152" s="53"/>
    </row>
    <row r="153" spans="18:35" x14ac:dyDescent="0.3">
      <c r="R153" s="53"/>
      <c r="S153" s="53"/>
      <c r="T153" s="53"/>
      <c r="W153" s="53"/>
      <c r="X153" s="53"/>
      <c r="Y153" s="53"/>
      <c r="AB153" s="53"/>
      <c r="AC153" s="53"/>
      <c r="AD153" s="53"/>
      <c r="AG153" s="53"/>
      <c r="AH153" s="53"/>
      <c r="AI153" s="53"/>
    </row>
    <row r="154" spans="18:35" x14ac:dyDescent="0.3">
      <c r="R154" s="53"/>
      <c r="S154" s="53"/>
      <c r="T154" s="53"/>
      <c r="W154" s="53"/>
      <c r="X154" s="53"/>
      <c r="Y154" s="53"/>
      <c r="AB154" s="53"/>
      <c r="AC154" s="53"/>
      <c r="AD154" s="53"/>
      <c r="AG154" s="53"/>
      <c r="AH154" s="53"/>
      <c r="AI154" s="53"/>
    </row>
    <row r="155" spans="18:35" x14ac:dyDescent="0.3">
      <c r="R155" s="53"/>
      <c r="S155" s="53"/>
      <c r="T155" s="53"/>
      <c r="W155" s="53"/>
      <c r="X155" s="53"/>
      <c r="Y155" s="53"/>
      <c r="AB155" s="53"/>
      <c r="AC155" s="53"/>
      <c r="AD155" s="53"/>
      <c r="AG155" s="53"/>
      <c r="AH155" s="53"/>
      <c r="AI155" s="53"/>
    </row>
    <row r="156" spans="18:35" x14ac:dyDescent="0.3">
      <c r="R156" s="53"/>
      <c r="S156" s="53"/>
      <c r="T156" s="53"/>
      <c r="W156" s="53"/>
      <c r="X156" s="53"/>
      <c r="Y156" s="53"/>
      <c r="AB156" s="53"/>
      <c r="AC156" s="53"/>
      <c r="AD156" s="53"/>
      <c r="AG156" s="53"/>
      <c r="AH156" s="53"/>
      <c r="AI156" s="53"/>
    </row>
    <row r="157" spans="18:35" x14ac:dyDescent="0.3">
      <c r="R157" s="53"/>
      <c r="S157" s="53"/>
      <c r="T157" s="53"/>
      <c r="W157" s="53"/>
      <c r="X157" s="53"/>
      <c r="Y157" s="53"/>
      <c r="AB157" s="53"/>
      <c r="AC157" s="53"/>
      <c r="AD157" s="53"/>
      <c r="AG157" s="53"/>
      <c r="AH157" s="53"/>
      <c r="AI157" s="53"/>
    </row>
    <row r="158" spans="18:35" x14ac:dyDescent="0.3">
      <c r="R158" s="53"/>
      <c r="S158" s="53"/>
      <c r="T158" s="53"/>
      <c r="W158" s="53"/>
      <c r="X158" s="53"/>
      <c r="Y158" s="53"/>
      <c r="AB158" s="53"/>
      <c r="AC158" s="53"/>
      <c r="AD158" s="53"/>
      <c r="AG158" s="53"/>
      <c r="AH158" s="53"/>
      <c r="AI158" s="53"/>
    </row>
    <row r="159" spans="18:35" x14ac:dyDescent="0.3">
      <c r="R159" s="53"/>
      <c r="S159" s="53"/>
      <c r="T159" s="53"/>
      <c r="W159" s="53"/>
      <c r="X159" s="53"/>
      <c r="Y159" s="53"/>
      <c r="AB159" s="53"/>
      <c r="AC159" s="53"/>
      <c r="AD159" s="53"/>
      <c r="AG159" s="53"/>
      <c r="AH159" s="53"/>
      <c r="AI159" s="53"/>
    </row>
    <row r="160" spans="18:35" x14ac:dyDescent="0.3">
      <c r="R160" s="53"/>
      <c r="S160" s="53"/>
      <c r="T160" s="53"/>
      <c r="W160" s="53"/>
      <c r="X160" s="53"/>
      <c r="Y160" s="53"/>
      <c r="AB160" s="53"/>
      <c r="AC160" s="53"/>
      <c r="AD160" s="53"/>
      <c r="AG160" s="53"/>
      <c r="AH160" s="53"/>
      <c r="AI160" s="53"/>
    </row>
    <row r="161" spans="18:35" x14ac:dyDescent="0.3">
      <c r="R161" s="53"/>
      <c r="S161" s="53"/>
      <c r="T161" s="53"/>
      <c r="W161" s="53"/>
      <c r="X161" s="53"/>
      <c r="Y161" s="53"/>
      <c r="AB161" s="53"/>
      <c r="AC161" s="53"/>
      <c r="AD161" s="53"/>
      <c r="AG161" s="53"/>
      <c r="AH161" s="53"/>
      <c r="AI161" s="53"/>
    </row>
    <row r="162" spans="18:35" x14ac:dyDescent="0.3">
      <c r="R162" s="53"/>
      <c r="S162" s="53"/>
      <c r="T162" s="53"/>
      <c r="W162" s="53"/>
      <c r="X162" s="53"/>
      <c r="Y162" s="53"/>
      <c r="AB162" s="53"/>
      <c r="AC162" s="53"/>
      <c r="AD162" s="53"/>
      <c r="AG162" s="53"/>
      <c r="AH162" s="53"/>
      <c r="AI162" s="53"/>
    </row>
    <row r="163" spans="18:35" x14ac:dyDescent="0.3">
      <c r="R163" s="53"/>
      <c r="S163" s="53"/>
      <c r="T163" s="53"/>
      <c r="W163" s="53"/>
      <c r="X163" s="53"/>
      <c r="Y163" s="53"/>
      <c r="AB163" s="53"/>
      <c r="AC163" s="53"/>
      <c r="AD163" s="53"/>
      <c r="AG163" s="53"/>
      <c r="AH163" s="53"/>
      <c r="AI163" s="53"/>
    </row>
    <row r="164" spans="18:35" x14ac:dyDescent="0.3">
      <c r="R164" s="53"/>
      <c r="S164" s="53"/>
      <c r="T164" s="53"/>
      <c r="W164" s="53"/>
      <c r="X164" s="53"/>
      <c r="Y164" s="53"/>
      <c r="AB164" s="53"/>
      <c r="AC164" s="53"/>
      <c r="AD164" s="53"/>
      <c r="AG164" s="53"/>
      <c r="AH164" s="53"/>
      <c r="AI164" s="53"/>
    </row>
    <row r="165" spans="18:35" x14ac:dyDescent="0.3">
      <c r="R165" s="53"/>
      <c r="S165" s="53"/>
      <c r="T165" s="53"/>
      <c r="W165" s="53"/>
      <c r="X165" s="53"/>
      <c r="Y165" s="53"/>
      <c r="AB165" s="53"/>
      <c r="AC165" s="53"/>
      <c r="AD165" s="53"/>
      <c r="AG165" s="53"/>
      <c r="AH165" s="53"/>
      <c r="AI165" s="53"/>
    </row>
    <row r="166" spans="18:35" x14ac:dyDescent="0.3">
      <c r="R166" s="53"/>
      <c r="S166" s="53"/>
      <c r="T166" s="53"/>
      <c r="W166" s="53"/>
      <c r="X166" s="53"/>
      <c r="Y166" s="53"/>
      <c r="AB166" s="53"/>
      <c r="AC166" s="53"/>
      <c r="AD166" s="53"/>
      <c r="AG166" s="53"/>
      <c r="AH166" s="53"/>
      <c r="AI166" s="53"/>
    </row>
    <row r="167" spans="18:35" x14ac:dyDescent="0.3">
      <c r="R167" s="53"/>
      <c r="S167" s="53"/>
      <c r="T167" s="53"/>
      <c r="W167" s="53"/>
      <c r="X167" s="53"/>
      <c r="Y167" s="53"/>
      <c r="AB167" s="53"/>
      <c r="AC167" s="53"/>
      <c r="AD167" s="53"/>
      <c r="AG167" s="53"/>
      <c r="AH167" s="53"/>
      <c r="AI167" s="53"/>
    </row>
    <row r="168" spans="18:35" x14ac:dyDescent="0.3">
      <c r="R168" s="53"/>
      <c r="S168" s="53"/>
      <c r="T168" s="53"/>
      <c r="W168" s="53"/>
      <c r="X168" s="53"/>
      <c r="Y168" s="53"/>
      <c r="AB168" s="53"/>
      <c r="AC168" s="53"/>
      <c r="AD168" s="53"/>
      <c r="AG168" s="53"/>
      <c r="AH168" s="53"/>
      <c r="AI168" s="53"/>
    </row>
    <row r="169" spans="18:35" x14ac:dyDescent="0.3">
      <c r="R169" s="53"/>
      <c r="S169" s="53"/>
      <c r="T169" s="53"/>
      <c r="W169" s="53"/>
      <c r="X169" s="53"/>
      <c r="Y169" s="53"/>
      <c r="AB169" s="53"/>
      <c r="AC169" s="53"/>
      <c r="AD169" s="53"/>
      <c r="AG169" s="53"/>
      <c r="AH169" s="53"/>
      <c r="AI169" s="53"/>
    </row>
    <row r="170" spans="18:35" x14ac:dyDescent="0.3">
      <c r="R170" s="53"/>
      <c r="S170" s="53"/>
      <c r="T170" s="53"/>
      <c r="W170" s="53"/>
      <c r="X170" s="53"/>
      <c r="Y170" s="53"/>
      <c r="AB170" s="53"/>
      <c r="AC170" s="53"/>
      <c r="AD170" s="53"/>
      <c r="AG170" s="53"/>
      <c r="AH170" s="53"/>
      <c r="AI170" s="53"/>
    </row>
    <row r="171" spans="18:35" x14ac:dyDescent="0.3">
      <c r="R171" s="53"/>
      <c r="S171" s="53"/>
      <c r="T171" s="53"/>
      <c r="W171" s="53"/>
      <c r="X171" s="53"/>
      <c r="Y171" s="53"/>
      <c r="AB171" s="53"/>
      <c r="AC171" s="53"/>
      <c r="AD171" s="53"/>
      <c r="AG171" s="53"/>
      <c r="AH171" s="53"/>
      <c r="AI171" s="53"/>
    </row>
    <row r="172" spans="18:35" x14ac:dyDescent="0.3">
      <c r="R172" s="53"/>
      <c r="S172" s="53"/>
      <c r="T172" s="53"/>
      <c r="W172" s="53"/>
      <c r="X172" s="53"/>
      <c r="Y172" s="53"/>
      <c r="AB172" s="53"/>
      <c r="AC172" s="53"/>
      <c r="AD172" s="53"/>
      <c r="AG172" s="53"/>
      <c r="AH172" s="53"/>
      <c r="AI172" s="53"/>
    </row>
    <row r="173" spans="18:35" x14ac:dyDescent="0.3">
      <c r="R173" s="53"/>
      <c r="S173" s="53"/>
      <c r="T173" s="53"/>
      <c r="W173" s="53"/>
      <c r="X173" s="53"/>
      <c r="Y173" s="53"/>
      <c r="AB173" s="53"/>
      <c r="AC173" s="53"/>
      <c r="AD173" s="53"/>
      <c r="AG173" s="53"/>
      <c r="AH173" s="53"/>
      <c r="AI173" s="53"/>
    </row>
    <row r="174" spans="18:35" x14ac:dyDescent="0.3">
      <c r="R174" s="53"/>
      <c r="S174" s="53"/>
      <c r="T174" s="53"/>
      <c r="W174" s="53"/>
      <c r="X174" s="53"/>
      <c r="Y174" s="53"/>
      <c r="AB174" s="53"/>
      <c r="AC174" s="53"/>
      <c r="AD174" s="53"/>
      <c r="AG174" s="53"/>
      <c r="AH174" s="53"/>
      <c r="AI174" s="53"/>
    </row>
    <row r="175" spans="18:35" x14ac:dyDescent="0.3">
      <c r="R175" s="53"/>
      <c r="S175" s="53"/>
      <c r="T175" s="53"/>
      <c r="W175" s="53"/>
      <c r="X175" s="53"/>
      <c r="Y175" s="53"/>
      <c r="AB175" s="53"/>
      <c r="AC175" s="53"/>
      <c r="AD175" s="53"/>
      <c r="AG175" s="53"/>
      <c r="AH175" s="53"/>
      <c r="AI175" s="53"/>
    </row>
    <row r="176" spans="18:35" x14ac:dyDescent="0.3">
      <c r="R176" s="53"/>
      <c r="S176" s="53"/>
      <c r="T176" s="53"/>
      <c r="W176" s="53"/>
      <c r="X176" s="53"/>
      <c r="Y176" s="53"/>
      <c r="AB176" s="53"/>
      <c r="AC176" s="53"/>
      <c r="AD176" s="53"/>
      <c r="AG176" s="53"/>
      <c r="AH176" s="53"/>
      <c r="AI176" s="53"/>
    </row>
    <row r="177" spans="18:35" x14ac:dyDescent="0.3">
      <c r="R177" s="53"/>
      <c r="S177" s="53"/>
      <c r="T177" s="53"/>
      <c r="W177" s="53"/>
      <c r="X177" s="53"/>
      <c r="Y177" s="53"/>
      <c r="AB177" s="53"/>
      <c r="AC177" s="53"/>
      <c r="AD177" s="53"/>
      <c r="AG177" s="53"/>
      <c r="AH177" s="53"/>
      <c r="AI177" s="53"/>
    </row>
    <row r="178" spans="18:35" x14ac:dyDescent="0.3">
      <c r="R178" s="53"/>
      <c r="S178" s="53"/>
      <c r="T178" s="53"/>
      <c r="W178" s="53"/>
      <c r="X178" s="53"/>
      <c r="Y178" s="53"/>
      <c r="AB178" s="53"/>
      <c r="AC178" s="53"/>
      <c r="AD178" s="53"/>
      <c r="AG178" s="53"/>
      <c r="AH178" s="53"/>
      <c r="AI178" s="53"/>
    </row>
    <row r="179" spans="18:35" x14ac:dyDescent="0.3">
      <c r="R179" s="53"/>
      <c r="S179" s="53"/>
      <c r="T179" s="53"/>
      <c r="W179" s="53"/>
      <c r="X179" s="53"/>
      <c r="Y179" s="53"/>
      <c r="AB179" s="53"/>
      <c r="AC179" s="53"/>
      <c r="AD179" s="53"/>
      <c r="AG179" s="53"/>
      <c r="AH179" s="53"/>
      <c r="AI179" s="53"/>
    </row>
    <row r="180" spans="18:35" x14ac:dyDescent="0.3">
      <c r="R180" s="53"/>
      <c r="S180" s="53"/>
      <c r="T180" s="53"/>
      <c r="W180" s="53"/>
      <c r="X180" s="53"/>
      <c r="Y180" s="53"/>
      <c r="AB180" s="53"/>
      <c r="AC180" s="53"/>
      <c r="AD180" s="53"/>
      <c r="AG180" s="53"/>
      <c r="AH180" s="53"/>
      <c r="AI180" s="53"/>
    </row>
    <row r="181" spans="18:35" x14ac:dyDescent="0.3">
      <c r="R181" s="53"/>
      <c r="S181" s="53"/>
      <c r="T181" s="53"/>
      <c r="W181" s="53"/>
      <c r="X181" s="53"/>
      <c r="Y181" s="53"/>
      <c r="AB181" s="53"/>
      <c r="AC181" s="53"/>
      <c r="AD181" s="53"/>
      <c r="AG181" s="53"/>
      <c r="AH181" s="53"/>
      <c r="AI181" s="53"/>
    </row>
    <row r="182" spans="18:35" x14ac:dyDescent="0.3">
      <c r="R182" s="53"/>
      <c r="S182" s="53"/>
      <c r="T182" s="53"/>
      <c r="W182" s="53"/>
      <c r="X182" s="53"/>
      <c r="Y182" s="53"/>
      <c r="AB182" s="53"/>
      <c r="AC182" s="53"/>
      <c r="AD182" s="53"/>
      <c r="AG182" s="53"/>
      <c r="AH182" s="53"/>
      <c r="AI182" s="53"/>
    </row>
    <row r="183" spans="18:35" x14ac:dyDescent="0.3">
      <c r="R183" s="53"/>
      <c r="S183" s="53"/>
      <c r="T183" s="53"/>
      <c r="W183" s="53"/>
      <c r="X183" s="53"/>
      <c r="Y183" s="53"/>
      <c r="AB183" s="53"/>
      <c r="AC183" s="53"/>
      <c r="AD183" s="53"/>
      <c r="AG183" s="53"/>
      <c r="AH183" s="53"/>
      <c r="AI183" s="53"/>
    </row>
    <row r="184" spans="18:35" x14ac:dyDescent="0.3">
      <c r="R184" s="53"/>
      <c r="S184" s="53"/>
      <c r="T184" s="53"/>
      <c r="W184" s="53"/>
      <c r="X184" s="53"/>
      <c r="Y184" s="53"/>
      <c r="AB184" s="53"/>
      <c r="AC184" s="53"/>
      <c r="AD184" s="53"/>
      <c r="AG184" s="53"/>
      <c r="AH184" s="53"/>
      <c r="AI184" s="53"/>
    </row>
    <row r="185" spans="18:35" x14ac:dyDescent="0.3">
      <c r="R185" s="53"/>
      <c r="S185" s="53"/>
      <c r="T185" s="53"/>
      <c r="W185" s="53"/>
      <c r="X185" s="53"/>
      <c r="Y185" s="53"/>
      <c r="AB185" s="53"/>
      <c r="AC185" s="53"/>
      <c r="AD185" s="53"/>
      <c r="AG185" s="53"/>
      <c r="AH185" s="53"/>
      <c r="AI185" s="53"/>
    </row>
    <row r="186" spans="18:35" x14ac:dyDescent="0.3">
      <c r="R186" s="53"/>
      <c r="S186" s="53"/>
      <c r="T186" s="53"/>
      <c r="W186" s="53"/>
      <c r="X186" s="53"/>
      <c r="Y186" s="53"/>
      <c r="AB186" s="53"/>
      <c r="AC186" s="53"/>
      <c r="AD186" s="53"/>
      <c r="AG186" s="53"/>
      <c r="AH186" s="53"/>
      <c r="AI186" s="53"/>
    </row>
    <row r="187" spans="18:35" x14ac:dyDescent="0.3">
      <c r="R187" s="53"/>
      <c r="S187" s="53"/>
      <c r="T187" s="53"/>
      <c r="W187" s="53"/>
      <c r="X187" s="53"/>
      <c r="Y187" s="53"/>
      <c r="AB187" s="53"/>
      <c r="AC187" s="53"/>
      <c r="AD187" s="53"/>
      <c r="AG187" s="53"/>
      <c r="AH187" s="53"/>
      <c r="AI187" s="53"/>
    </row>
    <row r="188" spans="18:35" x14ac:dyDescent="0.3">
      <c r="R188" s="53"/>
      <c r="S188" s="53"/>
      <c r="T188" s="53"/>
      <c r="W188" s="53"/>
      <c r="X188" s="53"/>
      <c r="Y188" s="53"/>
      <c r="AB188" s="53"/>
      <c r="AC188" s="53"/>
      <c r="AD188" s="53"/>
      <c r="AG188" s="53"/>
      <c r="AH188" s="53"/>
      <c r="AI188" s="53"/>
    </row>
    <row r="189" spans="18:35" x14ac:dyDescent="0.3">
      <c r="R189" s="53"/>
      <c r="S189" s="53"/>
      <c r="T189" s="53"/>
      <c r="W189" s="53"/>
      <c r="X189" s="53"/>
      <c r="Y189" s="53"/>
      <c r="AB189" s="53"/>
      <c r="AC189" s="53"/>
      <c r="AD189" s="53"/>
      <c r="AG189" s="53"/>
      <c r="AH189" s="53"/>
      <c r="AI189" s="53"/>
    </row>
    <row r="190" spans="18:35" x14ac:dyDescent="0.3">
      <c r="R190" s="53"/>
      <c r="S190" s="53"/>
      <c r="T190" s="53"/>
      <c r="W190" s="53"/>
      <c r="X190" s="53"/>
      <c r="Y190" s="53"/>
      <c r="AB190" s="53"/>
      <c r="AC190" s="53"/>
      <c r="AD190" s="53"/>
      <c r="AG190" s="53"/>
      <c r="AH190" s="53"/>
      <c r="AI190" s="53"/>
    </row>
    <row r="191" spans="18:35" x14ac:dyDescent="0.3">
      <c r="R191" s="53"/>
      <c r="S191" s="53"/>
      <c r="T191" s="53"/>
      <c r="W191" s="53"/>
      <c r="X191" s="53"/>
      <c r="Y191" s="53"/>
      <c r="AB191" s="53"/>
      <c r="AC191" s="53"/>
      <c r="AD191" s="53"/>
      <c r="AG191" s="53"/>
      <c r="AH191" s="53"/>
      <c r="AI191" s="53"/>
    </row>
    <row r="192" spans="18:35" x14ac:dyDescent="0.3">
      <c r="R192" s="53"/>
      <c r="S192" s="53"/>
      <c r="T192" s="53"/>
      <c r="W192" s="53"/>
      <c r="X192" s="53"/>
      <c r="Y192" s="53"/>
      <c r="AB192" s="53"/>
      <c r="AC192" s="53"/>
      <c r="AD192" s="53"/>
      <c r="AG192" s="53"/>
      <c r="AH192" s="53"/>
      <c r="AI192" s="53"/>
    </row>
    <row r="193" spans="18:35" x14ac:dyDescent="0.3">
      <c r="R193" s="53"/>
      <c r="S193" s="53"/>
      <c r="T193" s="53"/>
      <c r="W193" s="53"/>
      <c r="X193" s="53"/>
      <c r="Y193" s="53"/>
      <c r="AB193" s="53"/>
      <c r="AC193" s="53"/>
      <c r="AD193" s="53"/>
      <c r="AG193" s="53"/>
      <c r="AH193" s="53"/>
      <c r="AI193" s="53"/>
    </row>
    <row r="194" spans="18:35" x14ac:dyDescent="0.3">
      <c r="R194" s="53"/>
      <c r="S194" s="53"/>
      <c r="T194" s="53"/>
      <c r="W194" s="53"/>
      <c r="X194" s="53"/>
      <c r="Y194" s="53"/>
      <c r="AB194" s="53"/>
      <c r="AC194" s="53"/>
      <c r="AD194" s="53"/>
      <c r="AG194" s="53"/>
      <c r="AH194" s="53"/>
      <c r="AI194" s="53"/>
    </row>
    <row r="195" spans="18:35" x14ac:dyDescent="0.3">
      <c r="R195" s="53"/>
      <c r="S195" s="53"/>
      <c r="T195" s="53"/>
      <c r="W195" s="53"/>
      <c r="X195" s="53"/>
      <c r="Y195" s="53"/>
      <c r="AB195" s="53"/>
      <c r="AC195" s="53"/>
      <c r="AD195" s="53"/>
      <c r="AG195" s="53"/>
      <c r="AH195" s="53"/>
      <c r="AI195" s="53"/>
    </row>
    <row r="196" spans="18:35" x14ac:dyDescent="0.3">
      <c r="R196" s="53"/>
      <c r="S196" s="53"/>
      <c r="T196" s="53"/>
      <c r="W196" s="53"/>
      <c r="X196" s="53"/>
      <c r="Y196" s="53"/>
      <c r="AB196" s="53"/>
      <c r="AC196" s="53"/>
      <c r="AD196" s="53"/>
      <c r="AG196" s="53"/>
      <c r="AH196" s="53"/>
      <c r="AI196" s="53"/>
    </row>
    <row r="197" spans="18:35" x14ac:dyDescent="0.3">
      <c r="R197" s="53"/>
      <c r="S197" s="53"/>
      <c r="T197" s="53"/>
      <c r="W197" s="53"/>
      <c r="X197" s="53"/>
      <c r="Y197" s="53"/>
      <c r="AB197" s="53"/>
      <c r="AC197" s="53"/>
      <c r="AD197" s="53"/>
      <c r="AG197" s="53"/>
      <c r="AH197" s="53"/>
      <c r="AI197" s="53"/>
    </row>
    <row r="198" spans="18:35" x14ac:dyDescent="0.3">
      <c r="R198" s="53"/>
      <c r="S198" s="53"/>
      <c r="T198" s="53"/>
      <c r="W198" s="53"/>
      <c r="X198" s="53"/>
      <c r="Y198" s="53"/>
      <c r="AB198" s="53"/>
      <c r="AC198" s="53"/>
      <c r="AD198" s="53"/>
      <c r="AG198" s="53"/>
      <c r="AH198" s="53"/>
      <c r="AI198" s="53"/>
    </row>
    <row r="199" spans="18:35" x14ac:dyDescent="0.3">
      <c r="R199" s="53"/>
      <c r="S199" s="53"/>
      <c r="T199" s="53"/>
      <c r="W199" s="53"/>
      <c r="X199" s="53"/>
      <c r="Y199" s="53"/>
      <c r="AB199" s="53"/>
      <c r="AC199" s="53"/>
      <c r="AD199" s="53"/>
      <c r="AG199" s="53"/>
      <c r="AH199" s="53"/>
      <c r="AI199" s="53"/>
    </row>
    <row r="200" spans="18:35" x14ac:dyDescent="0.3">
      <c r="R200" s="53"/>
      <c r="S200" s="53"/>
      <c r="T200" s="53"/>
      <c r="W200" s="53"/>
      <c r="X200" s="53"/>
      <c r="Y200" s="53"/>
      <c r="AB200" s="53"/>
      <c r="AC200" s="53"/>
      <c r="AD200" s="53"/>
      <c r="AG200" s="53"/>
      <c r="AH200" s="53"/>
      <c r="AI200" s="53"/>
    </row>
    <row r="201" spans="18:35" x14ac:dyDescent="0.3">
      <c r="R201" s="53"/>
      <c r="S201" s="53"/>
      <c r="T201" s="53"/>
      <c r="W201" s="53"/>
      <c r="X201" s="53"/>
      <c r="Y201" s="53"/>
      <c r="AB201" s="53"/>
      <c r="AC201" s="53"/>
      <c r="AD201" s="53"/>
      <c r="AG201" s="53"/>
      <c r="AH201" s="53"/>
      <c r="AI201" s="53"/>
    </row>
    <row r="202" spans="18:35" x14ac:dyDescent="0.3">
      <c r="R202" s="53"/>
      <c r="S202" s="53"/>
      <c r="T202" s="53"/>
      <c r="W202" s="53"/>
      <c r="X202" s="53"/>
      <c r="Y202" s="53"/>
      <c r="AB202" s="53"/>
      <c r="AC202" s="53"/>
      <c r="AD202" s="53"/>
      <c r="AG202" s="53"/>
      <c r="AH202" s="53"/>
      <c r="AI202" s="53"/>
    </row>
    <row r="203" spans="18:35" x14ac:dyDescent="0.3">
      <c r="R203" s="53"/>
      <c r="S203" s="53"/>
      <c r="T203" s="53"/>
      <c r="W203" s="53"/>
      <c r="X203" s="53"/>
      <c r="Y203" s="53"/>
      <c r="AB203" s="53"/>
      <c r="AC203" s="53"/>
      <c r="AD203" s="53"/>
      <c r="AG203" s="53"/>
      <c r="AH203" s="53"/>
      <c r="AI203" s="53"/>
    </row>
    <row r="204" spans="18:35" x14ac:dyDescent="0.3">
      <c r="R204" s="53"/>
      <c r="S204" s="53"/>
      <c r="T204" s="53"/>
      <c r="W204" s="53"/>
      <c r="X204" s="53"/>
      <c r="Y204" s="53"/>
      <c r="AB204" s="53"/>
      <c r="AC204" s="53"/>
      <c r="AD204" s="53"/>
      <c r="AG204" s="53"/>
      <c r="AH204" s="53"/>
      <c r="AI204" s="53"/>
    </row>
    <row r="205" spans="18:35" x14ac:dyDescent="0.3">
      <c r="R205" s="53"/>
      <c r="S205" s="53"/>
      <c r="T205" s="53"/>
      <c r="W205" s="53"/>
      <c r="X205" s="53"/>
      <c r="Y205" s="53"/>
      <c r="AB205" s="53"/>
      <c r="AC205" s="53"/>
      <c r="AD205" s="53"/>
      <c r="AG205" s="53"/>
      <c r="AH205" s="53"/>
      <c r="AI205" s="53"/>
    </row>
    <row r="206" spans="18:35" x14ac:dyDescent="0.3">
      <c r="R206" s="53"/>
      <c r="S206" s="53"/>
      <c r="T206" s="53"/>
      <c r="W206" s="53"/>
      <c r="X206" s="53"/>
      <c r="Y206" s="53"/>
      <c r="AB206" s="53"/>
      <c r="AC206" s="53"/>
      <c r="AD206" s="53"/>
      <c r="AG206" s="53"/>
      <c r="AH206" s="53"/>
      <c r="AI206" s="53"/>
    </row>
    <row r="207" spans="18:35" x14ac:dyDescent="0.3">
      <c r="R207" s="53"/>
      <c r="S207" s="53"/>
      <c r="T207" s="53"/>
      <c r="W207" s="53"/>
      <c r="X207" s="53"/>
      <c r="Y207" s="53"/>
      <c r="AB207" s="53"/>
      <c r="AC207" s="53"/>
      <c r="AD207" s="53"/>
      <c r="AG207" s="53"/>
      <c r="AH207" s="53"/>
      <c r="AI207" s="53"/>
    </row>
    <row r="208" spans="18:35" x14ac:dyDescent="0.3">
      <c r="R208" s="53"/>
      <c r="S208" s="53"/>
      <c r="T208" s="53"/>
      <c r="W208" s="53"/>
      <c r="X208" s="53"/>
      <c r="Y208" s="53"/>
      <c r="AB208" s="53"/>
      <c r="AC208" s="53"/>
      <c r="AD208" s="53"/>
      <c r="AG208" s="53"/>
      <c r="AH208" s="53"/>
      <c r="AI208" s="53"/>
    </row>
    <row r="209" spans="18:35" x14ac:dyDescent="0.3">
      <c r="R209" s="53"/>
      <c r="S209" s="53"/>
      <c r="T209" s="53"/>
      <c r="W209" s="53"/>
      <c r="X209" s="53"/>
      <c r="Y209" s="53"/>
      <c r="AB209" s="53"/>
      <c r="AC209" s="53"/>
      <c r="AD209" s="53"/>
      <c r="AG209" s="53"/>
      <c r="AH209" s="53"/>
      <c r="AI209" s="53"/>
    </row>
    <row r="210" spans="18:35" x14ac:dyDescent="0.3">
      <c r="R210" s="53"/>
      <c r="S210" s="53"/>
      <c r="T210" s="53"/>
      <c r="W210" s="53"/>
      <c r="X210" s="53"/>
      <c r="Y210" s="53"/>
      <c r="AB210" s="53"/>
      <c r="AC210" s="53"/>
      <c r="AD210" s="53"/>
      <c r="AG210" s="53"/>
      <c r="AH210" s="53"/>
      <c r="AI210" s="53"/>
    </row>
    <row r="211" spans="18:35" x14ac:dyDescent="0.3">
      <c r="R211" s="53"/>
      <c r="S211" s="53"/>
      <c r="T211" s="53"/>
      <c r="W211" s="53"/>
      <c r="X211" s="53"/>
      <c r="Y211" s="53"/>
      <c r="AB211" s="53"/>
      <c r="AC211" s="53"/>
      <c r="AD211" s="53"/>
      <c r="AG211" s="53"/>
      <c r="AH211" s="53"/>
      <c r="AI211" s="53"/>
    </row>
    <row r="212" spans="18:35" x14ac:dyDescent="0.3">
      <c r="R212" s="53"/>
      <c r="S212" s="53"/>
      <c r="T212" s="53"/>
      <c r="W212" s="53"/>
      <c r="X212" s="53"/>
      <c r="Y212" s="53"/>
      <c r="AB212" s="53"/>
      <c r="AC212" s="53"/>
      <c r="AD212" s="53"/>
      <c r="AG212" s="53"/>
      <c r="AH212" s="53"/>
      <c r="AI212" s="53"/>
    </row>
    <row r="213" spans="18:35" x14ac:dyDescent="0.3">
      <c r="R213" s="53"/>
      <c r="S213" s="53"/>
      <c r="T213" s="53"/>
      <c r="W213" s="53"/>
      <c r="X213" s="53"/>
      <c r="Y213" s="53"/>
      <c r="AB213" s="53"/>
      <c r="AC213" s="53"/>
      <c r="AD213" s="53"/>
      <c r="AG213" s="53"/>
      <c r="AH213" s="53"/>
      <c r="AI213" s="53"/>
    </row>
    <row r="214" spans="18:35" x14ac:dyDescent="0.3">
      <c r="R214" s="53"/>
      <c r="S214" s="53"/>
      <c r="T214" s="53"/>
      <c r="W214" s="53"/>
      <c r="X214" s="53"/>
      <c r="Y214" s="53"/>
      <c r="AB214" s="53"/>
      <c r="AC214" s="53"/>
      <c r="AD214" s="53"/>
      <c r="AG214" s="53"/>
      <c r="AH214" s="53"/>
      <c r="AI214" s="53"/>
    </row>
    <row r="215" spans="18:35" x14ac:dyDescent="0.3">
      <c r="R215" s="53"/>
      <c r="S215" s="53"/>
      <c r="T215" s="53"/>
      <c r="W215" s="53"/>
      <c r="X215" s="53"/>
      <c r="Y215" s="53"/>
      <c r="AB215" s="53"/>
      <c r="AC215" s="53"/>
      <c r="AD215" s="53"/>
      <c r="AG215" s="53"/>
      <c r="AH215" s="53"/>
      <c r="AI215" s="53"/>
    </row>
    <row r="216" spans="18:35" x14ac:dyDescent="0.3">
      <c r="R216" s="53"/>
      <c r="S216" s="53"/>
      <c r="T216" s="53"/>
      <c r="W216" s="53"/>
      <c r="X216" s="53"/>
      <c r="Y216" s="53"/>
      <c r="AB216" s="53"/>
      <c r="AC216" s="53"/>
      <c r="AD216" s="53"/>
      <c r="AG216" s="53"/>
      <c r="AH216" s="53"/>
      <c r="AI216" s="53"/>
    </row>
    <row r="217" spans="18:35" x14ac:dyDescent="0.3">
      <c r="R217" s="53"/>
      <c r="S217" s="53"/>
      <c r="T217" s="53"/>
      <c r="W217" s="53"/>
      <c r="X217" s="53"/>
      <c r="Y217" s="53"/>
      <c r="AB217" s="53"/>
      <c r="AC217" s="53"/>
      <c r="AD217" s="53"/>
      <c r="AG217" s="53"/>
      <c r="AH217" s="53"/>
      <c r="AI217" s="53"/>
    </row>
    <row r="218" spans="18:35" x14ac:dyDescent="0.3">
      <c r="R218" s="53"/>
      <c r="S218" s="53"/>
      <c r="T218" s="53"/>
      <c r="W218" s="53"/>
      <c r="X218" s="53"/>
      <c r="Y218" s="53"/>
      <c r="AB218" s="53"/>
      <c r="AC218" s="53"/>
      <c r="AD218" s="53"/>
      <c r="AG218" s="53"/>
      <c r="AH218" s="53"/>
      <c r="AI218" s="53"/>
    </row>
    <row r="219" spans="18:35" x14ac:dyDescent="0.3">
      <c r="R219" s="53"/>
      <c r="S219" s="53"/>
      <c r="T219" s="53"/>
      <c r="W219" s="53"/>
      <c r="X219" s="53"/>
      <c r="Y219" s="53"/>
      <c r="AB219" s="53"/>
      <c r="AC219" s="53"/>
      <c r="AD219" s="53"/>
      <c r="AG219" s="53"/>
      <c r="AH219" s="53"/>
      <c r="AI219" s="53"/>
    </row>
    <row r="220" spans="18:35" x14ac:dyDescent="0.3">
      <c r="R220" s="53"/>
      <c r="S220" s="53"/>
      <c r="T220" s="53"/>
      <c r="W220" s="53"/>
      <c r="X220" s="53"/>
      <c r="Y220" s="53"/>
      <c r="AB220" s="53"/>
      <c r="AC220" s="53"/>
      <c r="AD220" s="53"/>
      <c r="AG220" s="53"/>
      <c r="AH220" s="53"/>
      <c r="AI220" s="53"/>
    </row>
    <row r="221" spans="18:35" x14ac:dyDescent="0.3">
      <c r="R221" s="53"/>
      <c r="S221" s="53"/>
      <c r="T221" s="53"/>
      <c r="W221" s="53"/>
      <c r="X221" s="53"/>
      <c r="Y221" s="53"/>
      <c r="AB221" s="53"/>
      <c r="AC221" s="53"/>
      <c r="AD221" s="53"/>
      <c r="AG221" s="53"/>
      <c r="AH221" s="53"/>
      <c r="AI221" s="53"/>
    </row>
    <row r="222" spans="18:35" x14ac:dyDescent="0.3">
      <c r="R222" s="53"/>
      <c r="S222" s="53"/>
      <c r="T222" s="53"/>
      <c r="W222" s="53"/>
      <c r="X222" s="53"/>
      <c r="Y222" s="53"/>
      <c r="AB222" s="53"/>
      <c r="AC222" s="53"/>
      <c r="AD222" s="53"/>
      <c r="AG222" s="53"/>
      <c r="AH222" s="53"/>
      <c r="AI222" s="53"/>
    </row>
    <row r="223" spans="18:35" x14ac:dyDescent="0.3">
      <c r="R223" s="53"/>
      <c r="S223" s="53"/>
      <c r="T223" s="53"/>
      <c r="W223" s="53"/>
      <c r="X223" s="53"/>
      <c r="Y223" s="53"/>
      <c r="AB223" s="53"/>
      <c r="AC223" s="53"/>
      <c r="AD223" s="53"/>
      <c r="AG223" s="53"/>
      <c r="AH223" s="53"/>
      <c r="AI223" s="53"/>
    </row>
    <row r="224" spans="18:35" x14ac:dyDescent="0.3">
      <c r="R224" s="53"/>
      <c r="S224" s="53"/>
      <c r="T224" s="53"/>
      <c r="W224" s="53"/>
      <c r="X224" s="53"/>
      <c r="Y224" s="53"/>
      <c r="AB224" s="53"/>
      <c r="AC224" s="53"/>
      <c r="AD224" s="53"/>
      <c r="AG224" s="53"/>
      <c r="AH224" s="53"/>
      <c r="AI224" s="53"/>
    </row>
    <row r="225" spans="18:35" x14ac:dyDescent="0.3">
      <c r="R225" s="53"/>
      <c r="S225" s="53"/>
      <c r="T225" s="53"/>
      <c r="W225" s="53"/>
      <c r="X225" s="53"/>
      <c r="Y225" s="53"/>
      <c r="AB225" s="53"/>
      <c r="AC225" s="53"/>
      <c r="AD225" s="53"/>
      <c r="AG225" s="53"/>
      <c r="AH225" s="53"/>
      <c r="AI225" s="53"/>
    </row>
    <row r="226" spans="18:35" x14ac:dyDescent="0.3">
      <c r="R226" s="53"/>
      <c r="S226" s="53"/>
      <c r="T226" s="53"/>
      <c r="W226" s="53"/>
      <c r="X226" s="53"/>
      <c r="Y226" s="53"/>
      <c r="AB226" s="53"/>
      <c r="AC226" s="53"/>
      <c r="AD226" s="53"/>
      <c r="AG226" s="53"/>
      <c r="AH226" s="53"/>
      <c r="AI226" s="53"/>
    </row>
    <row r="227" spans="18:35" x14ac:dyDescent="0.3">
      <c r="R227" s="53"/>
      <c r="S227" s="53"/>
      <c r="T227" s="53"/>
      <c r="W227" s="53"/>
      <c r="X227" s="53"/>
      <c r="Y227" s="53"/>
      <c r="AB227" s="53"/>
      <c r="AC227" s="53"/>
      <c r="AD227" s="53"/>
      <c r="AG227" s="53"/>
      <c r="AH227" s="53"/>
      <c r="AI227" s="53"/>
    </row>
    <row r="228" spans="18:35" x14ac:dyDescent="0.3">
      <c r="R228" s="53"/>
      <c r="S228" s="53"/>
      <c r="T228" s="53"/>
      <c r="W228" s="53"/>
      <c r="X228" s="53"/>
      <c r="Y228" s="53"/>
      <c r="AB228" s="53"/>
      <c r="AC228" s="53"/>
      <c r="AD228" s="53"/>
      <c r="AG228" s="53"/>
      <c r="AH228" s="53"/>
      <c r="AI228" s="53"/>
    </row>
    <row r="229" spans="18:35" x14ac:dyDescent="0.3">
      <c r="R229" s="53"/>
      <c r="S229" s="53"/>
      <c r="T229" s="53"/>
      <c r="W229" s="53"/>
      <c r="X229" s="53"/>
      <c r="Y229" s="53"/>
      <c r="AB229" s="53"/>
      <c r="AC229" s="53"/>
      <c r="AD229" s="53"/>
      <c r="AG229" s="53"/>
      <c r="AH229" s="53"/>
      <c r="AI229" s="53"/>
    </row>
    <row r="230" spans="18:35" x14ac:dyDescent="0.3">
      <c r="R230" s="53"/>
      <c r="S230" s="53"/>
      <c r="T230" s="53"/>
      <c r="W230" s="53"/>
      <c r="X230" s="53"/>
      <c r="Y230" s="53"/>
      <c r="AB230" s="53"/>
      <c r="AC230" s="53"/>
      <c r="AD230" s="53"/>
      <c r="AG230" s="53"/>
      <c r="AH230" s="53"/>
      <c r="AI230" s="53"/>
    </row>
    <row r="231" spans="18:35" x14ac:dyDescent="0.3">
      <c r="R231" s="53"/>
      <c r="S231" s="53"/>
      <c r="T231" s="53"/>
      <c r="W231" s="53"/>
      <c r="X231" s="53"/>
      <c r="Y231" s="53"/>
      <c r="AB231" s="53"/>
      <c r="AC231" s="53"/>
      <c r="AD231" s="53"/>
      <c r="AG231" s="53"/>
      <c r="AH231" s="53"/>
      <c r="AI231" s="53"/>
    </row>
    <row r="232" spans="18:35" x14ac:dyDescent="0.3">
      <c r="R232" s="53"/>
      <c r="S232" s="53"/>
      <c r="T232" s="53"/>
      <c r="W232" s="53"/>
      <c r="X232" s="53"/>
      <c r="Y232" s="53"/>
      <c r="AB232" s="53"/>
      <c r="AC232" s="53"/>
      <c r="AD232" s="53"/>
      <c r="AG232" s="53"/>
      <c r="AH232" s="53"/>
      <c r="AI232" s="53"/>
    </row>
    <row r="233" spans="18:35" x14ac:dyDescent="0.3">
      <c r="R233" s="53"/>
      <c r="S233" s="53"/>
      <c r="T233" s="53"/>
      <c r="W233" s="53"/>
      <c r="X233" s="53"/>
      <c r="Y233" s="53"/>
      <c r="AB233" s="53"/>
      <c r="AC233" s="53"/>
      <c r="AD233" s="53"/>
      <c r="AG233" s="53"/>
      <c r="AH233" s="53"/>
      <c r="AI233" s="53"/>
    </row>
    <row r="234" spans="18:35" x14ac:dyDescent="0.3">
      <c r="R234" s="53"/>
      <c r="S234" s="53"/>
      <c r="T234" s="53"/>
      <c r="W234" s="53"/>
      <c r="X234" s="53"/>
      <c r="Y234" s="53"/>
      <c r="AB234" s="53"/>
      <c r="AC234" s="53"/>
      <c r="AD234" s="53"/>
      <c r="AG234" s="53"/>
      <c r="AH234" s="53"/>
      <c r="AI234" s="53"/>
    </row>
    <row r="235" spans="18:35" x14ac:dyDescent="0.3">
      <c r="R235" s="53"/>
      <c r="S235" s="53"/>
      <c r="T235" s="53"/>
      <c r="W235" s="53"/>
      <c r="X235" s="53"/>
      <c r="Y235" s="53"/>
      <c r="AB235" s="53"/>
      <c r="AC235" s="53"/>
      <c r="AD235" s="53"/>
      <c r="AG235" s="53"/>
      <c r="AH235" s="53"/>
      <c r="AI235" s="53"/>
    </row>
    <row r="236" spans="18:35" x14ac:dyDescent="0.3">
      <c r="R236" s="53"/>
      <c r="S236" s="53"/>
      <c r="T236" s="53"/>
      <c r="W236" s="53"/>
      <c r="X236" s="53"/>
      <c r="Y236" s="53"/>
      <c r="AB236" s="53"/>
      <c r="AC236" s="53"/>
      <c r="AD236" s="53"/>
      <c r="AG236" s="53"/>
      <c r="AH236" s="53"/>
      <c r="AI236" s="53"/>
    </row>
    <row r="237" spans="18:35" x14ac:dyDescent="0.3">
      <c r="R237" s="53"/>
      <c r="S237" s="53"/>
      <c r="T237" s="53"/>
      <c r="W237" s="53"/>
      <c r="X237" s="53"/>
      <c r="Y237" s="53"/>
      <c r="AB237" s="53"/>
      <c r="AC237" s="53"/>
      <c r="AD237" s="53"/>
      <c r="AG237" s="53"/>
      <c r="AH237" s="53"/>
      <c r="AI237" s="53"/>
    </row>
    <row r="238" spans="18:35" x14ac:dyDescent="0.3">
      <c r="R238" s="53"/>
      <c r="S238" s="53"/>
      <c r="T238" s="53"/>
      <c r="W238" s="53"/>
      <c r="X238" s="53"/>
      <c r="Y238" s="53"/>
      <c r="AB238" s="53"/>
      <c r="AC238" s="53"/>
      <c r="AD238" s="53"/>
      <c r="AG238" s="53"/>
      <c r="AH238" s="53"/>
      <c r="AI238" s="53"/>
    </row>
    <row r="239" spans="18:35" x14ac:dyDescent="0.3">
      <c r="R239" s="53"/>
      <c r="S239" s="53"/>
      <c r="T239" s="53"/>
      <c r="W239" s="53"/>
      <c r="X239" s="53"/>
      <c r="Y239" s="53"/>
      <c r="AB239" s="53"/>
      <c r="AC239" s="53"/>
      <c r="AD239" s="53"/>
      <c r="AG239" s="53"/>
      <c r="AH239" s="53"/>
      <c r="AI239" s="53"/>
    </row>
    <row r="240" spans="18:35" x14ac:dyDescent="0.3">
      <c r="R240" s="53"/>
      <c r="S240" s="53"/>
      <c r="T240" s="53"/>
      <c r="W240" s="53"/>
      <c r="X240" s="53"/>
      <c r="Y240" s="53"/>
      <c r="AB240" s="53"/>
      <c r="AC240" s="53"/>
      <c r="AD240" s="53"/>
      <c r="AG240" s="53"/>
      <c r="AH240" s="53"/>
      <c r="AI240" s="53"/>
    </row>
    <row r="241" spans="18:35" x14ac:dyDescent="0.3">
      <c r="R241" s="53"/>
      <c r="S241" s="53"/>
      <c r="T241" s="53"/>
      <c r="W241" s="53"/>
      <c r="X241" s="53"/>
      <c r="Y241" s="53"/>
      <c r="AB241" s="53"/>
      <c r="AC241" s="53"/>
      <c r="AD241" s="53"/>
      <c r="AG241" s="53"/>
      <c r="AH241" s="53"/>
      <c r="AI241" s="53"/>
    </row>
    <row r="242" spans="18:35" x14ac:dyDescent="0.3">
      <c r="R242" s="53"/>
      <c r="S242" s="53"/>
      <c r="T242" s="53"/>
      <c r="W242" s="53"/>
      <c r="X242" s="53"/>
      <c r="Y242" s="53"/>
      <c r="AB242" s="53"/>
      <c r="AC242" s="53"/>
      <c r="AD242" s="53"/>
      <c r="AG242" s="53"/>
      <c r="AH242" s="53"/>
      <c r="AI242" s="53"/>
    </row>
    <row r="243" spans="18:35" x14ac:dyDescent="0.3">
      <c r="R243" s="53"/>
      <c r="S243" s="53"/>
      <c r="T243" s="53"/>
      <c r="W243" s="53"/>
      <c r="X243" s="53"/>
      <c r="Y243" s="53"/>
      <c r="AB243" s="53"/>
      <c r="AC243" s="53"/>
      <c r="AD243" s="53"/>
      <c r="AG243" s="53"/>
      <c r="AH243" s="53"/>
      <c r="AI243" s="53"/>
    </row>
    <row r="244" spans="18:35" x14ac:dyDescent="0.3">
      <c r="R244" s="53"/>
      <c r="S244" s="53"/>
      <c r="T244" s="53"/>
      <c r="W244" s="53"/>
      <c r="X244" s="53"/>
      <c r="Y244" s="53"/>
      <c r="AB244" s="53"/>
      <c r="AC244" s="53"/>
      <c r="AD244" s="53"/>
      <c r="AG244" s="53"/>
      <c r="AH244" s="53"/>
      <c r="AI244" s="53"/>
    </row>
    <row r="245" spans="18:35" x14ac:dyDescent="0.3">
      <c r="R245" s="53"/>
      <c r="S245" s="53"/>
      <c r="T245" s="53"/>
      <c r="W245" s="53"/>
      <c r="X245" s="53"/>
      <c r="Y245" s="53"/>
      <c r="AB245" s="53"/>
      <c r="AC245" s="53"/>
      <c r="AD245" s="53"/>
      <c r="AG245" s="53"/>
      <c r="AH245" s="53"/>
      <c r="AI245" s="53"/>
    </row>
    <row r="246" spans="18:35" x14ac:dyDescent="0.3">
      <c r="R246" s="53"/>
      <c r="S246" s="53"/>
      <c r="T246" s="53"/>
      <c r="W246" s="53"/>
      <c r="X246" s="53"/>
      <c r="Y246" s="53"/>
      <c r="AB246" s="53"/>
      <c r="AC246" s="53"/>
      <c r="AD246" s="53"/>
      <c r="AG246" s="53"/>
      <c r="AH246" s="53"/>
      <c r="AI246" s="53"/>
    </row>
    <row r="247" spans="18:35" x14ac:dyDescent="0.3">
      <c r="R247" s="53"/>
      <c r="S247" s="53"/>
      <c r="T247" s="53"/>
      <c r="W247" s="53"/>
      <c r="X247" s="53"/>
      <c r="Y247" s="53"/>
      <c r="AB247" s="53"/>
      <c r="AC247" s="53"/>
      <c r="AD247" s="53"/>
      <c r="AG247" s="53"/>
      <c r="AH247" s="53"/>
      <c r="AI247" s="53"/>
    </row>
    <row r="248" spans="18:35" x14ac:dyDescent="0.3">
      <c r="R248" s="53"/>
      <c r="S248" s="53"/>
      <c r="T248" s="53"/>
      <c r="W248" s="53"/>
      <c r="X248" s="53"/>
      <c r="Y248" s="53"/>
      <c r="AB248" s="53"/>
      <c r="AC248" s="53"/>
      <c r="AD248" s="53"/>
      <c r="AG248" s="53"/>
      <c r="AH248" s="53"/>
      <c r="AI248" s="53"/>
    </row>
    <row r="249" spans="18:35" x14ac:dyDescent="0.3">
      <c r="R249" s="53"/>
      <c r="S249" s="53"/>
      <c r="T249" s="53"/>
      <c r="W249" s="53"/>
      <c r="X249" s="53"/>
      <c r="Y249" s="53"/>
      <c r="AB249" s="53"/>
      <c r="AC249" s="53"/>
      <c r="AD249" s="53"/>
      <c r="AG249" s="53"/>
      <c r="AH249" s="53"/>
      <c r="AI249" s="53"/>
    </row>
    <row r="250" spans="18:35" x14ac:dyDescent="0.3">
      <c r="R250" s="53"/>
      <c r="S250" s="53"/>
      <c r="T250" s="53"/>
      <c r="W250" s="53"/>
      <c r="X250" s="53"/>
      <c r="Y250" s="53"/>
      <c r="AB250" s="53"/>
      <c r="AC250" s="53"/>
      <c r="AD250" s="53"/>
      <c r="AG250" s="53"/>
      <c r="AH250" s="53"/>
      <c r="AI250" s="53"/>
    </row>
    <row r="251" spans="18:35" x14ac:dyDescent="0.3">
      <c r="R251" s="53"/>
      <c r="S251" s="53"/>
      <c r="T251" s="53"/>
      <c r="W251" s="53"/>
      <c r="X251" s="53"/>
      <c r="Y251" s="53"/>
      <c r="AB251" s="53"/>
      <c r="AC251" s="53"/>
      <c r="AD251" s="53"/>
      <c r="AG251" s="53"/>
      <c r="AH251" s="53"/>
      <c r="AI251" s="53"/>
    </row>
    <row r="252" spans="18:35" x14ac:dyDescent="0.3">
      <c r="R252" s="53"/>
      <c r="S252" s="53"/>
      <c r="T252" s="53"/>
      <c r="W252" s="53"/>
      <c r="X252" s="53"/>
      <c r="Y252" s="53"/>
      <c r="AB252" s="53"/>
      <c r="AC252" s="53"/>
      <c r="AD252" s="53"/>
      <c r="AG252" s="53"/>
      <c r="AH252" s="53"/>
      <c r="AI252" s="53"/>
    </row>
    <row r="253" spans="18:35" x14ac:dyDescent="0.3">
      <c r="R253" s="53"/>
      <c r="S253" s="53"/>
      <c r="T253" s="53"/>
      <c r="W253" s="53"/>
      <c r="X253" s="53"/>
      <c r="Y253" s="53"/>
      <c r="AB253" s="53"/>
      <c r="AC253" s="53"/>
      <c r="AD253" s="53"/>
      <c r="AG253" s="53"/>
      <c r="AH253" s="53"/>
      <c r="AI253" s="53"/>
    </row>
    <row r="254" spans="18:35" x14ac:dyDescent="0.3">
      <c r="R254" s="53"/>
      <c r="S254" s="53"/>
      <c r="T254" s="53"/>
      <c r="W254" s="53"/>
      <c r="X254" s="53"/>
      <c r="Y254" s="53"/>
      <c r="AB254" s="53"/>
      <c r="AC254" s="53"/>
      <c r="AD254" s="53"/>
      <c r="AG254" s="53"/>
      <c r="AH254" s="53"/>
      <c r="AI254" s="53"/>
    </row>
    <row r="255" spans="18:35" x14ac:dyDescent="0.3">
      <c r="R255" s="53"/>
      <c r="S255" s="53"/>
      <c r="T255" s="53"/>
      <c r="W255" s="53"/>
      <c r="X255" s="53"/>
      <c r="Y255" s="53"/>
      <c r="AB255" s="53"/>
      <c r="AC255" s="53"/>
      <c r="AD255" s="53"/>
      <c r="AG255" s="53"/>
      <c r="AH255" s="53"/>
      <c r="AI255" s="53"/>
    </row>
    <row r="256" spans="18:35" x14ac:dyDescent="0.3">
      <c r="R256" s="53"/>
      <c r="S256" s="53"/>
      <c r="T256" s="53"/>
      <c r="W256" s="53"/>
      <c r="X256" s="53"/>
      <c r="Y256" s="53"/>
      <c r="AB256" s="53"/>
      <c r="AC256" s="53"/>
      <c r="AD256" s="53"/>
      <c r="AG256" s="53"/>
      <c r="AH256" s="53"/>
      <c r="AI256" s="53"/>
    </row>
    <row r="257" spans="18:35" x14ac:dyDescent="0.3">
      <c r="R257" s="53"/>
      <c r="S257" s="53"/>
      <c r="T257" s="53"/>
      <c r="W257" s="53"/>
      <c r="X257" s="53"/>
      <c r="Y257" s="53"/>
      <c r="AB257" s="53"/>
      <c r="AC257" s="53"/>
      <c r="AD257" s="53"/>
      <c r="AG257" s="53"/>
      <c r="AH257" s="53"/>
      <c r="AI257" s="53"/>
    </row>
    <row r="258" spans="18:35" x14ac:dyDescent="0.3">
      <c r="R258" s="53"/>
      <c r="S258" s="53"/>
      <c r="T258" s="53"/>
      <c r="W258" s="53"/>
      <c r="X258" s="53"/>
      <c r="Y258" s="53"/>
      <c r="AB258" s="53"/>
      <c r="AC258" s="53"/>
      <c r="AD258" s="53"/>
      <c r="AG258" s="53"/>
      <c r="AH258" s="53"/>
      <c r="AI258" s="53"/>
    </row>
    <row r="259" spans="18:35" x14ac:dyDescent="0.3">
      <c r="R259" s="53"/>
      <c r="S259" s="53"/>
      <c r="T259" s="53"/>
      <c r="W259" s="53"/>
      <c r="X259" s="53"/>
      <c r="Y259" s="53"/>
      <c r="AB259" s="53"/>
      <c r="AC259" s="53"/>
      <c r="AD259" s="53"/>
      <c r="AG259" s="53"/>
      <c r="AH259" s="53"/>
      <c r="AI259" s="53"/>
    </row>
    <row r="260" spans="18:35" x14ac:dyDescent="0.3">
      <c r="R260" s="53"/>
      <c r="S260" s="53"/>
      <c r="T260" s="53"/>
      <c r="W260" s="53"/>
      <c r="X260" s="53"/>
      <c r="Y260" s="53"/>
      <c r="AB260" s="53"/>
      <c r="AC260" s="53"/>
      <c r="AD260" s="53"/>
      <c r="AG260" s="53"/>
      <c r="AH260" s="53"/>
      <c r="AI260" s="53"/>
    </row>
    <row r="261" spans="18:35" x14ac:dyDescent="0.3">
      <c r="R261" s="53"/>
      <c r="S261" s="53"/>
      <c r="T261" s="53"/>
      <c r="W261" s="53"/>
      <c r="X261" s="53"/>
      <c r="Y261" s="53"/>
      <c r="AB261" s="53"/>
      <c r="AC261" s="53"/>
      <c r="AD261" s="53"/>
      <c r="AG261" s="53"/>
      <c r="AH261" s="53"/>
      <c r="AI261" s="53"/>
    </row>
    <row r="262" spans="18:35" x14ac:dyDescent="0.3">
      <c r="R262" s="53"/>
      <c r="S262" s="53"/>
      <c r="T262" s="53"/>
      <c r="W262" s="53"/>
      <c r="X262" s="53"/>
      <c r="Y262" s="53"/>
      <c r="AB262" s="53"/>
      <c r="AC262" s="53"/>
      <c r="AD262" s="53"/>
      <c r="AG262" s="53"/>
      <c r="AH262" s="53"/>
      <c r="AI262" s="53"/>
    </row>
    <row r="263" spans="18:35" x14ac:dyDescent="0.3">
      <c r="R263" s="53"/>
      <c r="S263" s="53"/>
      <c r="T263" s="53"/>
      <c r="W263" s="53"/>
      <c r="X263" s="53"/>
      <c r="Y263" s="53"/>
      <c r="AB263" s="53"/>
      <c r="AC263" s="53"/>
      <c r="AD263" s="53"/>
      <c r="AG263" s="53"/>
      <c r="AH263" s="53"/>
      <c r="AI263" s="53"/>
    </row>
    <row r="264" spans="18:35" x14ac:dyDescent="0.3">
      <c r="R264" s="53"/>
      <c r="S264" s="53"/>
      <c r="T264" s="53"/>
      <c r="W264" s="53"/>
      <c r="X264" s="53"/>
      <c r="Y264" s="53"/>
      <c r="AB264" s="53"/>
      <c r="AC264" s="53"/>
      <c r="AD264" s="53"/>
      <c r="AG264" s="53"/>
      <c r="AH264" s="53"/>
      <c r="AI264" s="53"/>
    </row>
    <row r="265" spans="18:35" x14ac:dyDescent="0.3">
      <c r="R265" s="53"/>
      <c r="S265" s="53"/>
      <c r="T265" s="53"/>
      <c r="W265" s="53"/>
      <c r="X265" s="53"/>
      <c r="Y265" s="53"/>
      <c r="AB265" s="53"/>
      <c r="AC265" s="53"/>
      <c r="AD265" s="53"/>
      <c r="AG265" s="53"/>
      <c r="AH265" s="53"/>
      <c r="AI265" s="53"/>
    </row>
    <row r="266" spans="18:35" x14ac:dyDescent="0.3">
      <c r="R266" s="53"/>
      <c r="S266" s="53"/>
      <c r="T266" s="53"/>
      <c r="W266" s="53"/>
      <c r="X266" s="53"/>
      <c r="Y266" s="53"/>
      <c r="AB266" s="53"/>
      <c r="AC266" s="53"/>
      <c r="AD266" s="53"/>
      <c r="AG266" s="53"/>
      <c r="AH266" s="53"/>
      <c r="AI266" s="53"/>
    </row>
    <row r="267" spans="18:35" x14ac:dyDescent="0.3">
      <c r="R267" s="53"/>
      <c r="S267" s="53"/>
      <c r="T267" s="53"/>
      <c r="W267" s="53"/>
      <c r="X267" s="53"/>
      <c r="Y267" s="53"/>
      <c r="AB267" s="53"/>
      <c r="AC267" s="53"/>
      <c r="AD267" s="53"/>
      <c r="AG267" s="53"/>
      <c r="AH267" s="53"/>
      <c r="AI267" s="53"/>
    </row>
    <row r="268" spans="18:35" x14ac:dyDescent="0.3">
      <c r="R268" s="53"/>
      <c r="S268" s="53"/>
      <c r="T268" s="53"/>
      <c r="W268" s="53"/>
      <c r="X268" s="53"/>
      <c r="Y268" s="53"/>
      <c r="AB268" s="53"/>
      <c r="AC268" s="53"/>
      <c r="AD268" s="53"/>
      <c r="AG268" s="53"/>
      <c r="AH268" s="53"/>
      <c r="AI268" s="53"/>
    </row>
    <row r="269" spans="18:35" x14ac:dyDescent="0.3">
      <c r="R269" s="53"/>
      <c r="S269" s="53"/>
      <c r="T269" s="53"/>
      <c r="W269" s="53"/>
      <c r="X269" s="53"/>
      <c r="Y269" s="53"/>
      <c r="AB269" s="53"/>
      <c r="AC269" s="53"/>
      <c r="AD269" s="53"/>
      <c r="AG269" s="53"/>
      <c r="AH269" s="53"/>
      <c r="AI269" s="53"/>
    </row>
    <row r="270" spans="18:35" x14ac:dyDescent="0.3">
      <c r="R270" s="53"/>
      <c r="S270" s="53"/>
      <c r="T270" s="53"/>
      <c r="W270" s="53"/>
      <c r="X270" s="53"/>
      <c r="Y270" s="53"/>
      <c r="AB270" s="53"/>
      <c r="AC270" s="53"/>
      <c r="AD270" s="53"/>
      <c r="AG270" s="53"/>
      <c r="AH270" s="53"/>
      <c r="AI270" s="53"/>
    </row>
    <row r="271" spans="18:35" x14ac:dyDescent="0.3">
      <c r="R271" s="53"/>
      <c r="S271" s="53"/>
      <c r="T271" s="53"/>
      <c r="W271" s="53"/>
      <c r="X271" s="53"/>
      <c r="Y271" s="53"/>
      <c r="AB271" s="53"/>
      <c r="AC271" s="53"/>
      <c r="AD271" s="53"/>
      <c r="AG271" s="53"/>
      <c r="AH271" s="53"/>
      <c r="AI271" s="53"/>
    </row>
    <row r="272" spans="18:35" x14ac:dyDescent="0.3">
      <c r="R272" s="53"/>
      <c r="S272" s="53"/>
      <c r="T272" s="53"/>
      <c r="W272" s="53"/>
      <c r="X272" s="53"/>
      <c r="Y272" s="53"/>
      <c r="AB272" s="53"/>
      <c r="AC272" s="53"/>
      <c r="AD272" s="53"/>
      <c r="AG272" s="53"/>
      <c r="AH272" s="53"/>
      <c r="AI272" s="53"/>
    </row>
    <row r="273" spans="18:35" x14ac:dyDescent="0.3">
      <c r="R273" s="53"/>
      <c r="S273" s="53"/>
      <c r="T273" s="53"/>
      <c r="W273" s="53"/>
      <c r="X273" s="53"/>
      <c r="Y273" s="53"/>
      <c r="AB273" s="53"/>
      <c r="AC273" s="53"/>
      <c r="AD273" s="53"/>
      <c r="AG273" s="53"/>
      <c r="AH273" s="53"/>
      <c r="AI273" s="53"/>
    </row>
    <row r="274" spans="18:35" x14ac:dyDescent="0.3">
      <c r="R274" s="53"/>
      <c r="S274" s="53"/>
      <c r="T274" s="53"/>
      <c r="W274" s="53"/>
      <c r="X274" s="53"/>
      <c r="Y274" s="53"/>
      <c r="AB274" s="53"/>
      <c r="AC274" s="53"/>
      <c r="AD274" s="53"/>
      <c r="AG274" s="53"/>
      <c r="AH274" s="53"/>
      <c r="AI274" s="53"/>
    </row>
    <row r="275" spans="18:35" x14ac:dyDescent="0.3">
      <c r="R275" s="53"/>
      <c r="S275" s="53"/>
      <c r="T275" s="53"/>
      <c r="W275" s="53"/>
      <c r="X275" s="53"/>
      <c r="Y275" s="53"/>
      <c r="AB275" s="53"/>
      <c r="AC275" s="53"/>
      <c r="AD275" s="53"/>
      <c r="AG275" s="53"/>
      <c r="AH275" s="53"/>
      <c r="AI275" s="53"/>
    </row>
    <row r="276" spans="18:35" x14ac:dyDescent="0.3">
      <c r="R276" s="53"/>
      <c r="S276" s="53"/>
      <c r="T276" s="53"/>
      <c r="W276" s="53"/>
      <c r="X276" s="53"/>
      <c r="Y276" s="53"/>
      <c r="AB276" s="53"/>
      <c r="AC276" s="53"/>
      <c r="AD276" s="53"/>
      <c r="AG276" s="53"/>
      <c r="AH276" s="53"/>
      <c r="AI276" s="53"/>
    </row>
    <row r="277" spans="18:35" x14ac:dyDescent="0.3">
      <c r="R277" s="53"/>
      <c r="S277" s="53"/>
      <c r="T277" s="53"/>
      <c r="W277" s="53"/>
      <c r="X277" s="53"/>
      <c r="Y277" s="53"/>
      <c r="AB277" s="53"/>
      <c r="AC277" s="53"/>
      <c r="AD277" s="53"/>
      <c r="AG277" s="53"/>
      <c r="AH277" s="53"/>
      <c r="AI277" s="53"/>
    </row>
    <row r="278" spans="18:35" x14ac:dyDescent="0.3">
      <c r="R278" s="53"/>
      <c r="S278" s="53"/>
      <c r="T278" s="53"/>
      <c r="W278" s="53"/>
      <c r="X278" s="53"/>
      <c r="Y278" s="53"/>
      <c r="AB278" s="53"/>
      <c r="AC278" s="53"/>
      <c r="AD278" s="53"/>
      <c r="AG278" s="53"/>
      <c r="AH278" s="53"/>
      <c r="AI278" s="53"/>
    </row>
    <row r="279" spans="18:35" x14ac:dyDescent="0.3">
      <c r="R279" s="53"/>
      <c r="S279" s="53"/>
      <c r="T279" s="53"/>
      <c r="W279" s="53"/>
      <c r="X279" s="53"/>
      <c r="Y279" s="53"/>
      <c r="AB279" s="53"/>
      <c r="AC279" s="53"/>
      <c r="AD279" s="53"/>
      <c r="AG279" s="53"/>
      <c r="AH279" s="53"/>
      <c r="AI279" s="53"/>
    </row>
    <row r="280" spans="18:35" x14ac:dyDescent="0.3">
      <c r="R280" s="53"/>
      <c r="S280" s="53"/>
      <c r="T280" s="53"/>
      <c r="W280" s="53"/>
      <c r="X280" s="53"/>
      <c r="Y280" s="53"/>
      <c r="AB280" s="53"/>
      <c r="AC280" s="53"/>
      <c r="AD280" s="53"/>
      <c r="AG280" s="53"/>
      <c r="AH280" s="53"/>
      <c r="AI280" s="53"/>
    </row>
    <row r="281" spans="18:35" x14ac:dyDescent="0.3">
      <c r="R281" s="53"/>
      <c r="S281" s="53"/>
      <c r="T281" s="53"/>
      <c r="W281" s="53"/>
      <c r="X281" s="53"/>
      <c r="Y281" s="53"/>
      <c r="AB281" s="53"/>
      <c r="AC281" s="53"/>
      <c r="AD281" s="53"/>
      <c r="AG281" s="53"/>
      <c r="AH281" s="53"/>
      <c r="AI281" s="53"/>
    </row>
    <row r="282" spans="18:35" x14ac:dyDescent="0.3">
      <c r="R282" s="53"/>
      <c r="S282" s="53"/>
      <c r="T282" s="53"/>
      <c r="W282" s="53"/>
      <c r="X282" s="53"/>
      <c r="Y282" s="53"/>
      <c r="AB282" s="53"/>
      <c r="AC282" s="53"/>
      <c r="AD282" s="53"/>
      <c r="AG282" s="53"/>
      <c r="AH282" s="53"/>
      <c r="AI282" s="53"/>
    </row>
    <row r="283" spans="18:35" x14ac:dyDescent="0.3">
      <c r="R283" s="53"/>
      <c r="S283" s="53"/>
      <c r="T283" s="53"/>
      <c r="W283" s="53"/>
      <c r="X283" s="53"/>
      <c r="Y283" s="53"/>
      <c r="AB283" s="53"/>
      <c r="AC283" s="53"/>
      <c r="AD283" s="53"/>
      <c r="AG283" s="53"/>
      <c r="AH283" s="53"/>
      <c r="AI283" s="53"/>
    </row>
    <row r="284" spans="18:35" x14ac:dyDescent="0.3">
      <c r="R284" s="53"/>
      <c r="S284" s="53"/>
      <c r="T284" s="53"/>
      <c r="W284" s="53"/>
      <c r="X284" s="53"/>
      <c r="Y284" s="53"/>
      <c r="AB284" s="53"/>
      <c r="AC284" s="53"/>
      <c r="AD284" s="53"/>
      <c r="AG284" s="53"/>
      <c r="AH284" s="53"/>
      <c r="AI284" s="53"/>
    </row>
    <row r="285" spans="18:35" x14ac:dyDescent="0.3">
      <c r="R285" s="53"/>
      <c r="S285" s="53"/>
      <c r="T285" s="53"/>
      <c r="W285" s="53"/>
      <c r="X285" s="53"/>
      <c r="Y285" s="53"/>
      <c r="AB285" s="53"/>
      <c r="AC285" s="53"/>
      <c r="AD285" s="53"/>
      <c r="AG285" s="53"/>
      <c r="AH285" s="53"/>
      <c r="AI285" s="53"/>
    </row>
    <row r="286" spans="18:35" x14ac:dyDescent="0.3">
      <c r="R286" s="53"/>
      <c r="S286" s="53"/>
      <c r="T286" s="53"/>
      <c r="W286" s="53"/>
      <c r="X286" s="53"/>
      <c r="Y286" s="53"/>
      <c r="AB286" s="53"/>
      <c r="AC286" s="53"/>
      <c r="AD286" s="53"/>
      <c r="AG286" s="53"/>
      <c r="AH286" s="53"/>
      <c r="AI286" s="53"/>
    </row>
    <row r="287" spans="18:35" x14ac:dyDescent="0.3">
      <c r="R287" s="53"/>
      <c r="S287" s="53"/>
      <c r="T287" s="53"/>
      <c r="W287" s="53"/>
      <c r="X287" s="53"/>
      <c r="Y287" s="53"/>
      <c r="AB287" s="53"/>
      <c r="AC287" s="53"/>
      <c r="AD287" s="53"/>
      <c r="AG287" s="53"/>
      <c r="AH287" s="53"/>
      <c r="AI287" s="53"/>
    </row>
    <row r="288" spans="18:35" x14ac:dyDescent="0.3">
      <c r="R288" s="53"/>
      <c r="S288" s="53"/>
      <c r="T288" s="53"/>
      <c r="W288" s="53"/>
      <c r="X288" s="53"/>
      <c r="Y288" s="53"/>
      <c r="AB288" s="53"/>
      <c r="AC288" s="53"/>
      <c r="AD288" s="53"/>
      <c r="AG288" s="53"/>
      <c r="AH288" s="53"/>
      <c r="AI288" s="53"/>
    </row>
    <row r="289" spans="18:35" x14ac:dyDescent="0.3">
      <c r="R289" s="53"/>
      <c r="S289" s="53"/>
      <c r="T289" s="53"/>
      <c r="W289" s="53"/>
      <c r="X289" s="53"/>
      <c r="Y289" s="53"/>
      <c r="AB289" s="53"/>
      <c r="AC289" s="53"/>
      <c r="AD289" s="53"/>
      <c r="AG289" s="53"/>
      <c r="AH289" s="53"/>
      <c r="AI289" s="53"/>
    </row>
    <row r="290" spans="18:35" x14ac:dyDescent="0.3">
      <c r="R290" s="53"/>
      <c r="S290" s="53"/>
      <c r="T290" s="53"/>
      <c r="W290" s="53"/>
      <c r="X290" s="53"/>
      <c r="Y290" s="53"/>
      <c r="AB290" s="53"/>
      <c r="AC290" s="53"/>
      <c r="AD290" s="53"/>
      <c r="AG290" s="53"/>
      <c r="AH290" s="53"/>
      <c r="AI290" s="53"/>
    </row>
    <row r="291" spans="18:35" x14ac:dyDescent="0.3">
      <c r="R291" s="53"/>
      <c r="S291" s="53"/>
      <c r="T291" s="53"/>
      <c r="W291" s="53"/>
      <c r="X291" s="53"/>
      <c r="Y291" s="53"/>
      <c r="AB291" s="53"/>
      <c r="AC291" s="53"/>
      <c r="AD291" s="53"/>
      <c r="AG291" s="53"/>
      <c r="AH291" s="53"/>
      <c r="AI291" s="53"/>
    </row>
    <row r="292" spans="18:35" x14ac:dyDescent="0.3">
      <c r="R292" s="53"/>
      <c r="S292" s="53"/>
      <c r="T292" s="53"/>
      <c r="W292" s="53"/>
      <c r="X292" s="53"/>
      <c r="Y292" s="53"/>
      <c r="AB292" s="53"/>
      <c r="AC292" s="53"/>
      <c r="AD292" s="53"/>
      <c r="AG292" s="53"/>
      <c r="AH292" s="53"/>
      <c r="AI292" s="53"/>
    </row>
    <row r="293" spans="18:35" x14ac:dyDescent="0.3">
      <c r="R293" s="53"/>
      <c r="S293" s="53"/>
      <c r="T293" s="53"/>
      <c r="W293" s="53"/>
      <c r="X293" s="53"/>
      <c r="Y293" s="53"/>
      <c r="AB293" s="53"/>
      <c r="AC293" s="53"/>
      <c r="AD293" s="53"/>
      <c r="AG293" s="53"/>
      <c r="AH293" s="53"/>
      <c r="AI293" s="53"/>
    </row>
    <row r="294" spans="18:35" x14ac:dyDescent="0.3">
      <c r="R294" s="53"/>
      <c r="S294" s="53"/>
      <c r="T294" s="53"/>
      <c r="W294" s="53"/>
      <c r="X294" s="53"/>
      <c r="Y294" s="53"/>
      <c r="AB294" s="53"/>
      <c r="AC294" s="53"/>
      <c r="AD294" s="53"/>
      <c r="AG294" s="53"/>
      <c r="AH294" s="53"/>
      <c r="AI294" s="53"/>
    </row>
    <row r="295" spans="18:35" x14ac:dyDescent="0.3">
      <c r="R295" s="53"/>
      <c r="S295" s="53"/>
      <c r="T295" s="53"/>
      <c r="W295" s="53"/>
      <c r="X295" s="53"/>
      <c r="Y295" s="53"/>
      <c r="AB295" s="53"/>
      <c r="AC295" s="53"/>
      <c r="AD295" s="53"/>
      <c r="AG295" s="53"/>
      <c r="AH295" s="53"/>
      <c r="AI295" s="53"/>
    </row>
    <row r="296" spans="18:35" x14ac:dyDescent="0.3">
      <c r="R296" s="53"/>
      <c r="S296" s="53"/>
      <c r="T296" s="53"/>
      <c r="W296" s="53"/>
      <c r="X296" s="53"/>
      <c r="Y296" s="53"/>
      <c r="AB296" s="53"/>
      <c r="AC296" s="53"/>
      <c r="AD296" s="53"/>
      <c r="AG296" s="53"/>
      <c r="AH296" s="53"/>
      <c r="AI296" s="53"/>
    </row>
    <row r="297" spans="18:35" x14ac:dyDescent="0.3">
      <c r="R297" s="53"/>
      <c r="S297" s="53"/>
      <c r="T297" s="53"/>
      <c r="W297" s="53"/>
      <c r="X297" s="53"/>
      <c r="Y297" s="53"/>
      <c r="AB297" s="53"/>
      <c r="AC297" s="53"/>
      <c r="AD297" s="53"/>
      <c r="AG297" s="53"/>
      <c r="AH297" s="53"/>
      <c r="AI297" s="53"/>
    </row>
    <row r="298" spans="18:35" x14ac:dyDescent="0.3">
      <c r="R298" s="53"/>
      <c r="S298" s="53"/>
      <c r="T298" s="53"/>
      <c r="W298" s="53"/>
      <c r="X298" s="53"/>
      <c r="Y298" s="53"/>
      <c r="AB298" s="53"/>
      <c r="AC298" s="53"/>
      <c r="AD298" s="53"/>
      <c r="AG298" s="53"/>
      <c r="AH298" s="53"/>
      <c r="AI298" s="53"/>
    </row>
    <row r="299" spans="18:35" x14ac:dyDescent="0.3">
      <c r="R299" s="53"/>
      <c r="S299" s="53"/>
      <c r="T299" s="53"/>
      <c r="W299" s="53"/>
      <c r="X299" s="53"/>
      <c r="Y299" s="53"/>
      <c r="AB299" s="53"/>
      <c r="AC299" s="53"/>
      <c r="AD299" s="53"/>
      <c r="AG299" s="53"/>
      <c r="AH299" s="53"/>
      <c r="AI299" s="53"/>
    </row>
    <row r="300" spans="18:35" x14ac:dyDescent="0.3">
      <c r="R300" s="53"/>
      <c r="S300" s="53"/>
      <c r="T300" s="53"/>
      <c r="W300" s="53"/>
      <c r="X300" s="53"/>
      <c r="Y300" s="53"/>
      <c r="AB300" s="53"/>
      <c r="AC300" s="53"/>
      <c r="AD300" s="53"/>
      <c r="AG300" s="53"/>
      <c r="AH300" s="53"/>
      <c r="AI300" s="53"/>
    </row>
    <row r="301" spans="18:35" x14ac:dyDescent="0.3">
      <c r="R301" s="53"/>
      <c r="S301" s="53"/>
      <c r="T301" s="53"/>
      <c r="W301" s="53"/>
      <c r="X301" s="53"/>
      <c r="Y301" s="53"/>
      <c r="AB301" s="53"/>
      <c r="AC301" s="53"/>
      <c r="AD301" s="53"/>
      <c r="AG301" s="53"/>
      <c r="AH301" s="53"/>
      <c r="AI301" s="53"/>
    </row>
    <row r="302" spans="18:35" x14ac:dyDescent="0.3">
      <c r="R302" s="53"/>
      <c r="S302" s="53"/>
      <c r="T302" s="53"/>
      <c r="W302" s="53"/>
      <c r="X302" s="53"/>
      <c r="Y302" s="53"/>
      <c r="AB302" s="53"/>
      <c r="AC302" s="53"/>
      <c r="AD302" s="53"/>
      <c r="AG302" s="53"/>
      <c r="AH302" s="53"/>
      <c r="AI302" s="53"/>
    </row>
    <row r="303" spans="18:35" x14ac:dyDescent="0.3">
      <c r="R303" s="53"/>
      <c r="S303" s="53"/>
      <c r="T303" s="53"/>
      <c r="W303" s="53"/>
      <c r="X303" s="53"/>
      <c r="Y303" s="53"/>
      <c r="AB303" s="53"/>
      <c r="AC303" s="53"/>
      <c r="AD303" s="53"/>
      <c r="AG303" s="53"/>
      <c r="AH303" s="53"/>
      <c r="AI303" s="53"/>
    </row>
    <row r="304" spans="18:35" x14ac:dyDescent="0.3">
      <c r="R304" s="53"/>
      <c r="S304" s="53"/>
      <c r="T304" s="53"/>
      <c r="W304" s="53"/>
      <c r="X304" s="53"/>
      <c r="Y304" s="53"/>
      <c r="AB304" s="53"/>
      <c r="AC304" s="53"/>
      <c r="AD304" s="53"/>
      <c r="AG304" s="53"/>
      <c r="AH304" s="53"/>
      <c r="AI304" s="53"/>
    </row>
    <row r="305" spans="18:35" x14ac:dyDescent="0.3">
      <c r="R305" s="53"/>
      <c r="S305" s="53"/>
      <c r="T305" s="53"/>
      <c r="W305" s="53"/>
      <c r="X305" s="53"/>
      <c r="Y305" s="53"/>
      <c r="AB305" s="53"/>
      <c r="AC305" s="53"/>
      <c r="AD305" s="53"/>
      <c r="AG305" s="53"/>
      <c r="AH305" s="53"/>
      <c r="AI305" s="53"/>
    </row>
    <row r="306" spans="18:35" x14ac:dyDescent="0.3">
      <c r="R306" s="53"/>
      <c r="S306" s="53"/>
      <c r="T306" s="53"/>
      <c r="W306" s="53"/>
      <c r="X306" s="53"/>
      <c r="Y306" s="53"/>
      <c r="AB306" s="53"/>
      <c r="AC306" s="53"/>
      <c r="AD306" s="53"/>
      <c r="AG306" s="53"/>
      <c r="AH306" s="53"/>
      <c r="AI306" s="53"/>
    </row>
    <row r="307" spans="18:35" x14ac:dyDescent="0.3">
      <c r="R307" s="53"/>
      <c r="S307" s="53"/>
      <c r="T307" s="53"/>
      <c r="W307" s="53"/>
      <c r="X307" s="53"/>
      <c r="Y307" s="53"/>
      <c r="AB307" s="53"/>
      <c r="AC307" s="53"/>
      <c r="AD307" s="53"/>
      <c r="AG307" s="53"/>
      <c r="AH307" s="53"/>
      <c r="AI307" s="53"/>
    </row>
    <row r="308" spans="18:35" x14ac:dyDescent="0.3">
      <c r="R308" s="53"/>
      <c r="S308" s="53"/>
      <c r="T308" s="53"/>
      <c r="W308" s="53"/>
      <c r="X308" s="53"/>
      <c r="Y308" s="53"/>
      <c r="AB308" s="53"/>
      <c r="AC308" s="53"/>
      <c r="AD308" s="53"/>
      <c r="AG308" s="53"/>
      <c r="AH308" s="53"/>
      <c r="AI308" s="53"/>
    </row>
    <row r="309" spans="18:35" x14ac:dyDescent="0.3">
      <c r="R309" s="53"/>
      <c r="S309" s="53"/>
      <c r="T309" s="53"/>
      <c r="W309" s="53"/>
      <c r="X309" s="53"/>
      <c r="Y309" s="53"/>
      <c r="AB309" s="53"/>
      <c r="AC309" s="53"/>
      <c r="AD309" s="53"/>
      <c r="AG309" s="53"/>
      <c r="AH309" s="53"/>
      <c r="AI309" s="53"/>
    </row>
    <row r="310" spans="18:35" x14ac:dyDescent="0.3">
      <c r="R310" s="53"/>
      <c r="S310" s="53"/>
      <c r="T310" s="53"/>
      <c r="W310" s="53"/>
      <c r="X310" s="53"/>
      <c r="Y310" s="53"/>
      <c r="AB310" s="53"/>
      <c r="AC310" s="53"/>
      <c r="AD310" s="53"/>
      <c r="AG310" s="53"/>
      <c r="AH310" s="53"/>
      <c r="AI310" s="53"/>
    </row>
    <row r="311" spans="18:35" x14ac:dyDescent="0.3">
      <c r="R311" s="53"/>
      <c r="S311" s="53"/>
      <c r="T311" s="53"/>
      <c r="W311" s="53"/>
      <c r="X311" s="53"/>
      <c r="Y311" s="53"/>
      <c r="AB311" s="53"/>
      <c r="AC311" s="53"/>
      <c r="AD311" s="53"/>
      <c r="AG311" s="53"/>
      <c r="AH311" s="53"/>
      <c r="AI311" s="53"/>
    </row>
    <row r="312" spans="18:35" x14ac:dyDescent="0.3">
      <c r="R312" s="53"/>
      <c r="S312" s="53"/>
      <c r="T312" s="53"/>
      <c r="W312" s="53"/>
      <c r="X312" s="53"/>
      <c r="Y312" s="53"/>
      <c r="AB312" s="53"/>
      <c r="AC312" s="53"/>
      <c r="AD312" s="53"/>
      <c r="AG312" s="53"/>
      <c r="AH312" s="53"/>
      <c r="AI312" s="53"/>
    </row>
    <row r="313" spans="18:35" x14ac:dyDescent="0.3">
      <c r="R313" s="53"/>
      <c r="S313" s="53"/>
      <c r="T313" s="53"/>
      <c r="W313" s="53"/>
      <c r="X313" s="53"/>
      <c r="Y313" s="53"/>
      <c r="AB313" s="53"/>
      <c r="AC313" s="53"/>
      <c r="AD313" s="53"/>
      <c r="AG313" s="53"/>
      <c r="AH313" s="53"/>
      <c r="AI313" s="53"/>
    </row>
    <row r="314" spans="18:35" x14ac:dyDescent="0.3">
      <c r="R314" s="53"/>
      <c r="S314" s="53"/>
      <c r="T314" s="53"/>
      <c r="W314" s="53"/>
      <c r="X314" s="53"/>
      <c r="Y314" s="53"/>
      <c r="AB314" s="53"/>
      <c r="AC314" s="53"/>
      <c r="AD314" s="53"/>
      <c r="AG314" s="53"/>
      <c r="AH314" s="53"/>
      <c r="AI314" s="53"/>
    </row>
    <row r="315" spans="18:35" x14ac:dyDescent="0.3">
      <c r="R315" s="53"/>
      <c r="S315" s="53"/>
      <c r="T315" s="53"/>
      <c r="W315" s="53"/>
      <c r="X315" s="53"/>
      <c r="Y315" s="53"/>
      <c r="AB315" s="53"/>
      <c r="AC315" s="53"/>
      <c r="AD315" s="53"/>
      <c r="AG315" s="53"/>
      <c r="AH315" s="53"/>
      <c r="AI315" s="53"/>
    </row>
    <row r="316" spans="18:35" x14ac:dyDescent="0.3">
      <c r="R316" s="53"/>
      <c r="S316" s="53"/>
      <c r="T316" s="53"/>
      <c r="W316" s="53"/>
      <c r="X316" s="53"/>
      <c r="Y316" s="53"/>
      <c r="AB316" s="53"/>
      <c r="AC316" s="53"/>
      <c r="AD316" s="53"/>
      <c r="AG316" s="53"/>
      <c r="AH316" s="53"/>
      <c r="AI316" s="53"/>
    </row>
    <row r="317" spans="18:35" x14ac:dyDescent="0.3">
      <c r="R317" s="53"/>
      <c r="S317" s="53"/>
      <c r="T317" s="53"/>
      <c r="W317" s="53"/>
      <c r="X317" s="53"/>
      <c r="Y317" s="53"/>
      <c r="AB317" s="53"/>
      <c r="AC317" s="53"/>
      <c r="AD317" s="53"/>
      <c r="AG317" s="53"/>
      <c r="AH317" s="53"/>
      <c r="AI317" s="53"/>
    </row>
    <row r="318" spans="18:35" x14ac:dyDescent="0.3">
      <c r="R318" s="53"/>
      <c r="S318" s="53"/>
      <c r="T318" s="53"/>
      <c r="W318" s="53"/>
      <c r="X318" s="53"/>
      <c r="Y318" s="53"/>
      <c r="AB318" s="53"/>
      <c r="AC318" s="53"/>
      <c r="AD318" s="53"/>
      <c r="AG318" s="53"/>
      <c r="AH318" s="53"/>
      <c r="AI318" s="53"/>
    </row>
    <row r="319" spans="18:35" x14ac:dyDescent="0.3">
      <c r="R319" s="53"/>
      <c r="S319" s="53"/>
      <c r="T319" s="53"/>
      <c r="W319" s="53"/>
      <c r="X319" s="53"/>
      <c r="Y319" s="53"/>
      <c r="AB319" s="53"/>
      <c r="AC319" s="53"/>
      <c r="AD319" s="53"/>
      <c r="AG319" s="53"/>
      <c r="AH319" s="53"/>
      <c r="AI319" s="53"/>
    </row>
    <row r="320" spans="18:35" x14ac:dyDescent="0.3">
      <c r="R320" s="53"/>
      <c r="S320" s="53"/>
      <c r="T320" s="53"/>
      <c r="W320" s="53"/>
      <c r="X320" s="53"/>
      <c r="Y320" s="53"/>
      <c r="AB320" s="53"/>
      <c r="AC320" s="53"/>
      <c r="AD320" s="53"/>
      <c r="AG320" s="53"/>
      <c r="AH320" s="53"/>
      <c r="AI320" s="53"/>
    </row>
    <row r="321" spans="18:35" x14ac:dyDescent="0.3">
      <c r="R321" s="53"/>
      <c r="S321" s="53"/>
      <c r="T321" s="53"/>
      <c r="W321" s="53"/>
      <c r="X321" s="53"/>
      <c r="Y321" s="53"/>
      <c r="AB321" s="53"/>
      <c r="AC321" s="53"/>
      <c r="AD321" s="53"/>
      <c r="AG321" s="53"/>
      <c r="AH321" s="53"/>
      <c r="AI321" s="53"/>
    </row>
    <row r="322" spans="18:35" x14ac:dyDescent="0.3">
      <c r="R322" s="53"/>
      <c r="S322" s="53"/>
      <c r="T322" s="53"/>
      <c r="W322" s="53"/>
      <c r="X322" s="53"/>
      <c r="Y322" s="53"/>
      <c r="AB322" s="53"/>
      <c r="AC322" s="53"/>
      <c r="AD322" s="53"/>
      <c r="AG322" s="53"/>
      <c r="AH322" s="53"/>
      <c r="AI322" s="53"/>
    </row>
    <row r="323" spans="18:35" x14ac:dyDescent="0.3">
      <c r="R323" s="53"/>
      <c r="S323" s="53"/>
      <c r="T323" s="53"/>
      <c r="W323" s="53"/>
      <c r="X323" s="53"/>
      <c r="Y323" s="53"/>
      <c r="AB323" s="53"/>
      <c r="AC323" s="53"/>
      <c r="AD323" s="53"/>
      <c r="AG323" s="53"/>
      <c r="AH323" s="53"/>
      <c r="AI323" s="53"/>
    </row>
    <row r="324" spans="18:35" x14ac:dyDescent="0.3">
      <c r="R324" s="53"/>
      <c r="S324" s="53"/>
      <c r="T324" s="53"/>
      <c r="W324" s="53"/>
      <c r="X324" s="53"/>
      <c r="Y324" s="53"/>
      <c r="AB324" s="53"/>
      <c r="AC324" s="53"/>
      <c r="AD324" s="53"/>
      <c r="AG324" s="53"/>
      <c r="AH324" s="53"/>
      <c r="AI324" s="53"/>
    </row>
    <row r="325" spans="18:35" x14ac:dyDescent="0.3">
      <c r="R325" s="53"/>
      <c r="S325" s="53"/>
      <c r="T325" s="53"/>
      <c r="W325" s="53"/>
      <c r="X325" s="53"/>
      <c r="Y325" s="53"/>
      <c r="AB325" s="53"/>
      <c r="AC325" s="53"/>
      <c r="AD325" s="53"/>
      <c r="AG325" s="53"/>
      <c r="AH325" s="53"/>
      <c r="AI325" s="53"/>
    </row>
    <row r="326" spans="18:35" x14ac:dyDescent="0.3">
      <c r="R326" s="53"/>
      <c r="S326" s="53"/>
      <c r="T326" s="53"/>
      <c r="W326" s="53"/>
      <c r="X326" s="53"/>
      <c r="Y326" s="53"/>
      <c r="AB326" s="53"/>
      <c r="AC326" s="53"/>
      <c r="AD326" s="53"/>
      <c r="AG326" s="53"/>
      <c r="AH326" s="53"/>
      <c r="AI326" s="53"/>
    </row>
    <row r="327" spans="18:35" x14ac:dyDescent="0.3">
      <c r="R327" s="53"/>
      <c r="S327" s="53"/>
      <c r="T327" s="53"/>
      <c r="W327" s="53"/>
      <c r="X327" s="53"/>
      <c r="Y327" s="53"/>
      <c r="AB327" s="53"/>
      <c r="AC327" s="53"/>
      <c r="AD327" s="53"/>
      <c r="AG327" s="53"/>
      <c r="AH327" s="53"/>
      <c r="AI327" s="53"/>
    </row>
    <row r="328" spans="18:35" x14ac:dyDescent="0.3">
      <c r="R328" s="53"/>
      <c r="S328" s="53"/>
      <c r="T328" s="53"/>
      <c r="W328" s="53"/>
      <c r="X328" s="53"/>
      <c r="Y328" s="53"/>
      <c r="AB328" s="53"/>
      <c r="AC328" s="53"/>
      <c r="AD328" s="53"/>
      <c r="AG328" s="53"/>
      <c r="AH328" s="53"/>
      <c r="AI328" s="53"/>
    </row>
    <row r="329" spans="18:35" x14ac:dyDescent="0.3">
      <c r="R329" s="53"/>
      <c r="S329" s="53"/>
      <c r="T329" s="53"/>
      <c r="W329" s="53"/>
      <c r="X329" s="53"/>
      <c r="Y329" s="53"/>
      <c r="AB329" s="53"/>
      <c r="AC329" s="53"/>
      <c r="AD329" s="53"/>
      <c r="AG329" s="53"/>
      <c r="AH329" s="53"/>
      <c r="AI329" s="53"/>
    </row>
    <row r="330" spans="18:35" x14ac:dyDescent="0.3">
      <c r="R330" s="53"/>
      <c r="S330" s="53"/>
      <c r="T330" s="53"/>
      <c r="W330" s="53"/>
      <c r="X330" s="53"/>
      <c r="Y330" s="53"/>
      <c r="AB330" s="53"/>
      <c r="AC330" s="53"/>
      <c r="AD330" s="53"/>
      <c r="AG330" s="53"/>
      <c r="AH330" s="53"/>
      <c r="AI330" s="53"/>
    </row>
    <row r="331" spans="18:35" x14ac:dyDescent="0.3">
      <c r="R331" s="53"/>
      <c r="S331" s="53"/>
      <c r="T331" s="53"/>
      <c r="W331" s="53"/>
      <c r="X331" s="53"/>
      <c r="Y331" s="53"/>
      <c r="AB331" s="53"/>
      <c r="AC331" s="53"/>
      <c r="AD331" s="53"/>
      <c r="AG331" s="53"/>
      <c r="AH331" s="53"/>
      <c r="AI331" s="53"/>
    </row>
    <row r="332" spans="18:35" x14ac:dyDescent="0.3">
      <c r="R332" s="53"/>
      <c r="S332" s="53"/>
      <c r="T332" s="53"/>
      <c r="W332" s="53"/>
      <c r="X332" s="53"/>
      <c r="Y332" s="53"/>
      <c r="AB332" s="53"/>
      <c r="AC332" s="53"/>
      <c r="AD332" s="53"/>
      <c r="AG332" s="53"/>
      <c r="AH332" s="53"/>
      <c r="AI332" s="53"/>
    </row>
    <row r="333" spans="18:35" x14ac:dyDescent="0.3">
      <c r="R333" s="53"/>
      <c r="S333" s="53"/>
      <c r="T333" s="53"/>
      <c r="W333" s="53"/>
      <c r="X333" s="53"/>
      <c r="Y333" s="53"/>
      <c r="AB333" s="53"/>
      <c r="AC333" s="53"/>
      <c r="AD333" s="53"/>
      <c r="AG333" s="53"/>
      <c r="AH333" s="53"/>
      <c r="AI333" s="53"/>
    </row>
    <row r="334" spans="18:35" x14ac:dyDescent="0.3">
      <c r="R334" s="53"/>
      <c r="S334" s="53"/>
      <c r="T334" s="53"/>
      <c r="W334" s="53"/>
      <c r="X334" s="53"/>
      <c r="Y334" s="53"/>
      <c r="AB334" s="53"/>
      <c r="AC334" s="53"/>
      <c r="AD334" s="53"/>
      <c r="AG334" s="53"/>
      <c r="AH334" s="53"/>
      <c r="AI334" s="53"/>
    </row>
    <row r="335" spans="18:35" x14ac:dyDescent="0.3">
      <c r="R335" s="53"/>
      <c r="S335" s="53"/>
      <c r="T335" s="53"/>
      <c r="W335" s="53"/>
      <c r="X335" s="53"/>
      <c r="Y335" s="53"/>
      <c r="AB335" s="53"/>
      <c r="AC335" s="53"/>
      <c r="AD335" s="53"/>
      <c r="AG335" s="53"/>
      <c r="AH335" s="53"/>
      <c r="AI335" s="53"/>
    </row>
    <row r="336" spans="18:35" x14ac:dyDescent="0.3">
      <c r="R336" s="53"/>
      <c r="S336" s="53"/>
      <c r="T336" s="53"/>
      <c r="W336" s="53"/>
      <c r="X336" s="53"/>
      <c r="Y336" s="53"/>
      <c r="AB336" s="53"/>
      <c r="AC336" s="53"/>
      <c r="AD336" s="53"/>
      <c r="AG336" s="53"/>
      <c r="AH336" s="53"/>
      <c r="AI336" s="53"/>
    </row>
    <row r="337" spans="18:35" x14ac:dyDescent="0.3">
      <c r="R337" s="53"/>
      <c r="S337" s="53"/>
      <c r="T337" s="53"/>
      <c r="W337" s="53"/>
      <c r="X337" s="53"/>
      <c r="Y337" s="53"/>
      <c r="AB337" s="53"/>
      <c r="AC337" s="53"/>
      <c r="AD337" s="53"/>
      <c r="AG337" s="53"/>
      <c r="AH337" s="53"/>
      <c r="AI337" s="53"/>
    </row>
    <row r="338" spans="18:35" x14ac:dyDescent="0.3">
      <c r="R338" s="53"/>
      <c r="S338" s="53"/>
      <c r="T338" s="53"/>
      <c r="W338" s="53"/>
      <c r="X338" s="53"/>
      <c r="Y338" s="53"/>
      <c r="AB338" s="53"/>
      <c r="AC338" s="53"/>
      <c r="AD338" s="53"/>
      <c r="AG338" s="53"/>
      <c r="AH338" s="53"/>
      <c r="AI338" s="53"/>
    </row>
    <row r="339" spans="18:35" x14ac:dyDescent="0.3">
      <c r="R339" s="53"/>
      <c r="S339" s="53"/>
      <c r="T339" s="53"/>
      <c r="W339" s="53"/>
      <c r="X339" s="53"/>
      <c r="Y339" s="53"/>
      <c r="AB339" s="53"/>
      <c r="AC339" s="53"/>
      <c r="AD339" s="53"/>
      <c r="AG339" s="53"/>
      <c r="AH339" s="53"/>
      <c r="AI339" s="53"/>
    </row>
    <row r="340" spans="18:35" x14ac:dyDescent="0.3">
      <c r="R340" s="53"/>
      <c r="S340" s="53"/>
      <c r="T340" s="53"/>
      <c r="W340" s="53"/>
      <c r="X340" s="53"/>
      <c r="Y340" s="53"/>
      <c r="AB340" s="53"/>
      <c r="AC340" s="53"/>
      <c r="AD340" s="53"/>
      <c r="AG340" s="53"/>
      <c r="AH340" s="53"/>
      <c r="AI340" s="53"/>
    </row>
    <row r="341" spans="18:35" x14ac:dyDescent="0.3">
      <c r="R341" s="53"/>
      <c r="S341" s="53"/>
      <c r="T341" s="53"/>
      <c r="W341" s="53"/>
      <c r="X341" s="53"/>
      <c r="Y341" s="53"/>
      <c r="AB341" s="53"/>
      <c r="AC341" s="53"/>
      <c r="AD341" s="53"/>
      <c r="AG341" s="53"/>
      <c r="AH341" s="53"/>
      <c r="AI341" s="53"/>
    </row>
    <row r="342" spans="18:35" x14ac:dyDescent="0.3">
      <c r="R342" s="53"/>
      <c r="S342" s="53"/>
      <c r="T342" s="53"/>
      <c r="W342" s="53"/>
      <c r="X342" s="53"/>
      <c r="Y342" s="53"/>
      <c r="AB342" s="53"/>
      <c r="AC342" s="53"/>
      <c r="AD342" s="53"/>
      <c r="AG342" s="53"/>
      <c r="AH342" s="53"/>
      <c r="AI342" s="53"/>
    </row>
    <row r="343" spans="18:35" x14ac:dyDescent="0.3">
      <c r="R343" s="53"/>
      <c r="S343" s="53"/>
      <c r="T343" s="53"/>
      <c r="W343" s="53"/>
      <c r="X343" s="53"/>
      <c r="Y343" s="53"/>
      <c r="AB343" s="53"/>
      <c r="AC343" s="53"/>
      <c r="AD343" s="53"/>
      <c r="AG343" s="53"/>
      <c r="AH343" s="53"/>
      <c r="AI343" s="53"/>
    </row>
    <row r="344" spans="18:35" x14ac:dyDescent="0.3">
      <c r="R344" s="53"/>
      <c r="S344" s="53"/>
      <c r="T344" s="53"/>
      <c r="W344" s="53"/>
      <c r="X344" s="53"/>
      <c r="Y344" s="53"/>
      <c r="AB344" s="53"/>
      <c r="AC344" s="53"/>
      <c r="AD344" s="53"/>
      <c r="AG344" s="53"/>
      <c r="AH344" s="53"/>
      <c r="AI344" s="53"/>
    </row>
    <row r="345" spans="18:35" x14ac:dyDescent="0.3">
      <c r="R345" s="53"/>
      <c r="S345" s="53"/>
      <c r="T345" s="53"/>
      <c r="W345" s="53"/>
      <c r="X345" s="53"/>
      <c r="Y345" s="53"/>
      <c r="AB345" s="53"/>
      <c r="AC345" s="53"/>
      <c r="AD345" s="53"/>
      <c r="AG345" s="53"/>
      <c r="AH345" s="53"/>
      <c r="AI345" s="53"/>
    </row>
    <row r="346" spans="18:35" x14ac:dyDescent="0.3">
      <c r="R346" s="53"/>
      <c r="S346" s="53"/>
      <c r="T346" s="53"/>
      <c r="W346" s="53"/>
      <c r="X346" s="53"/>
      <c r="Y346" s="53"/>
      <c r="AB346" s="53"/>
      <c r="AC346" s="53"/>
      <c r="AD346" s="53"/>
      <c r="AG346" s="53"/>
      <c r="AH346" s="53"/>
      <c r="AI346" s="53"/>
    </row>
    <row r="347" spans="18:35" x14ac:dyDescent="0.3">
      <c r="R347" s="53"/>
      <c r="S347" s="53"/>
      <c r="T347" s="53"/>
      <c r="W347" s="53"/>
      <c r="X347" s="53"/>
      <c r="Y347" s="53"/>
      <c r="AB347" s="53"/>
      <c r="AC347" s="53"/>
      <c r="AD347" s="53"/>
      <c r="AG347" s="53"/>
      <c r="AH347" s="53"/>
      <c r="AI347" s="53"/>
    </row>
    <row r="348" spans="18:35" x14ac:dyDescent="0.3">
      <c r="R348" s="53"/>
      <c r="S348" s="53"/>
      <c r="T348" s="53"/>
      <c r="W348" s="53"/>
      <c r="X348" s="53"/>
      <c r="Y348" s="53"/>
      <c r="AB348" s="53"/>
      <c r="AC348" s="53"/>
      <c r="AD348" s="53"/>
      <c r="AG348" s="53"/>
      <c r="AH348" s="53"/>
      <c r="AI348" s="53"/>
    </row>
    <row r="349" spans="18:35" x14ac:dyDescent="0.3">
      <c r="R349" s="53"/>
      <c r="S349" s="53"/>
      <c r="T349" s="53"/>
      <c r="W349" s="53"/>
      <c r="X349" s="53"/>
      <c r="Y349" s="53"/>
      <c r="AB349" s="53"/>
      <c r="AC349" s="53"/>
      <c r="AD349" s="53"/>
      <c r="AG349" s="53"/>
      <c r="AH349" s="53"/>
      <c r="AI349" s="53"/>
    </row>
    <row r="350" spans="18:35" x14ac:dyDescent="0.3">
      <c r="R350" s="53"/>
      <c r="S350" s="53"/>
      <c r="T350" s="53"/>
      <c r="W350" s="53"/>
      <c r="X350" s="53"/>
      <c r="Y350" s="53"/>
      <c r="AB350" s="53"/>
      <c r="AC350" s="53"/>
      <c r="AD350" s="53"/>
      <c r="AG350" s="53"/>
      <c r="AH350" s="53"/>
      <c r="AI350" s="53"/>
    </row>
    <row r="351" spans="18:35" x14ac:dyDescent="0.3">
      <c r="R351" s="53"/>
      <c r="S351" s="53"/>
      <c r="T351" s="53"/>
      <c r="W351" s="53"/>
      <c r="X351" s="53"/>
      <c r="Y351" s="53"/>
      <c r="AB351" s="53"/>
      <c r="AC351" s="53"/>
      <c r="AD351" s="53"/>
      <c r="AG351" s="53"/>
      <c r="AH351" s="53"/>
      <c r="AI351" s="53"/>
    </row>
    <row r="352" spans="18:35" x14ac:dyDescent="0.3">
      <c r="R352" s="53"/>
      <c r="S352" s="53"/>
      <c r="T352" s="53"/>
      <c r="W352" s="53"/>
      <c r="X352" s="53"/>
      <c r="Y352" s="53"/>
      <c r="AB352" s="53"/>
      <c r="AC352" s="53"/>
      <c r="AD352" s="53"/>
      <c r="AG352" s="53"/>
      <c r="AH352" s="53"/>
      <c r="AI352" s="53"/>
    </row>
    <row r="353" spans="18:35" x14ac:dyDescent="0.3">
      <c r="R353" s="53"/>
      <c r="S353" s="53"/>
      <c r="T353" s="53"/>
      <c r="W353" s="53"/>
      <c r="X353" s="53"/>
      <c r="Y353" s="53"/>
      <c r="AB353" s="53"/>
      <c r="AC353" s="53"/>
      <c r="AD353" s="53"/>
      <c r="AG353" s="53"/>
      <c r="AH353" s="53"/>
      <c r="AI353" s="53"/>
    </row>
    <row r="354" spans="18:35" x14ac:dyDescent="0.3">
      <c r="R354" s="53"/>
      <c r="S354" s="53"/>
      <c r="T354" s="53"/>
      <c r="W354" s="53"/>
      <c r="X354" s="53"/>
      <c r="Y354" s="53"/>
      <c r="AB354" s="53"/>
      <c r="AC354" s="53"/>
      <c r="AD354" s="53"/>
      <c r="AG354" s="53"/>
      <c r="AH354" s="53"/>
      <c r="AI354" s="53"/>
    </row>
    <row r="355" spans="18:35" x14ac:dyDescent="0.3">
      <c r="R355" s="53"/>
      <c r="S355" s="53"/>
      <c r="T355" s="53"/>
      <c r="W355" s="53"/>
      <c r="X355" s="53"/>
      <c r="Y355" s="53"/>
      <c r="AB355" s="53"/>
      <c r="AC355" s="53"/>
      <c r="AD355" s="53"/>
      <c r="AG355" s="53"/>
      <c r="AH355" s="53"/>
      <c r="AI355" s="53"/>
    </row>
    <row r="356" spans="18:35" x14ac:dyDescent="0.3">
      <c r="R356" s="53"/>
      <c r="S356" s="53"/>
      <c r="T356" s="53"/>
      <c r="W356" s="53"/>
      <c r="X356" s="53"/>
      <c r="Y356" s="53"/>
      <c r="AB356" s="53"/>
      <c r="AC356" s="53"/>
      <c r="AD356" s="53"/>
      <c r="AG356" s="53"/>
      <c r="AH356" s="53"/>
      <c r="AI356" s="53"/>
    </row>
    <row r="357" spans="18:35" x14ac:dyDescent="0.3">
      <c r="R357" s="53"/>
      <c r="S357" s="53"/>
      <c r="T357" s="53"/>
      <c r="W357" s="53"/>
      <c r="X357" s="53"/>
      <c r="Y357" s="53"/>
      <c r="AB357" s="53"/>
      <c r="AC357" s="53"/>
      <c r="AD357" s="53"/>
      <c r="AG357" s="53"/>
      <c r="AH357" s="53"/>
      <c r="AI357" s="53"/>
    </row>
    <row r="358" spans="18:35" x14ac:dyDescent="0.3">
      <c r="R358" s="53"/>
      <c r="S358" s="53"/>
      <c r="T358" s="53"/>
      <c r="W358" s="53"/>
      <c r="X358" s="53"/>
      <c r="Y358" s="53"/>
      <c r="AB358" s="53"/>
      <c r="AC358" s="53"/>
      <c r="AD358" s="53"/>
      <c r="AG358" s="53"/>
      <c r="AH358" s="53"/>
      <c r="AI358" s="53"/>
    </row>
    <row r="359" spans="18:35" x14ac:dyDescent="0.3">
      <c r="R359" s="53"/>
      <c r="S359" s="53"/>
      <c r="T359" s="53"/>
      <c r="W359" s="53"/>
      <c r="X359" s="53"/>
      <c r="Y359" s="53"/>
      <c r="AB359" s="53"/>
      <c r="AC359" s="53"/>
      <c r="AD359" s="53"/>
      <c r="AG359" s="53"/>
      <c r="AH359" s="53"/>
      <c r="AI359" s="53"/>
    </row>
    <row r="360" spans="18:35" x14ac:dyDescent="0.3">
      <c r="R360" s="53"/>
      <c r="S360" s="53"/>
      <c r="T360" s="53"/>
      <c r="W360" s="53"/>
      <c r="X360" s="53"/>
      <c r="Y360" s="53"/>
      <c r="AB360" s="53"/>
      <c r="AC360" s="53"/>
      <c r="AD360" s="53"/>
      <c r="AG360" s="53"/>
      <c r="AH360" s="53"/>
      <c r="AI360" s="53"/>
    </row>
    <row r="361" spans="18:35" x14ac:dyDescent="0.3">
      <c r="R361" s="53"/>
      <c r="S361" s="53"/>
      <c r="T361" s="53"/>
      <c r="W361" s="53"/>
      <c r="X361" s="53"/>
      <c r="Y361" s="53"/>
      <c r="AB361" s="53"/>
      <c r="AC361" s="53"/>
      <c r="AD361" s="53"/>
      <c r="AG361" s="53"/>
      <c r="AH361" s="53"/>
      <c r="AI361" s="53"/>
    </row>
    <row r="362" spans="18:35" x14ac:dyDescent="0.3">
      <c r="R362" s="53"/>
      <c r="S362" s="53"/>
      <c r="T362" s="53"/>
      <c r="W362" s="53"/>
      <c r="X362" s="53"/>
      <c r="Y362" s="53"/>
      <c r="AB362" s="53"/>
      <c r="AC362" s="53"/>
      <c r="AD362" s="53"/>
      <c r="AG362" s="53"/>
      <c r="AH362" s="53"/>
      <c r="AI362" s="53"/>
    </row>
    <row r="363" spans="18:35" x14ac:dyDescent="0.3">
      <c r="R363" s="53"/>
      <c r="S363" s="53"/>
      <c r="T363" s="53"/>
      <c r="W363" s="53"/>
      <c r="X363" s="53"/>
      <c r="Y363" s="53"/>
      <c r="AB363" s="53"/>
      <c r="AC363" s="53"/>
      <c r="AD363" s="53"/>
      <c r="AG363" s="53"/>
      <c r="AH363" s="53"/>
      <c r="AI363" s="53"/>
    </row>
    <row r="364" spans="18:35" x14ac:dyDescent="0.3">
      <c r="R364" s="53"/>
      <c r="S364" s="53"/>
      <c r="T364" s="53"/>
      <c r="W364" s="53"/>
      <c r="X364" s="53"/>
      <c r="Y364" s="53"/>
      <c r="AB364" s="53"/>
      <c r="AC364" s="53"/>
      <c r="AD364" s="53"/>
      <c r="AG364" s="53"/>
      <c r="AH364" s="53"/>
      <c r="AI364" s="53"/>
    </row>
    <row r="365" spans="18:35" x14ac:dyDescent="0.3">
      <c r="R365" s="53"/>
      <c r="S365" s="53"/>
      <c r="T365" s="53"/>
      <c r="W365" s="53"/>
      <c r="X365" s="53"/>
      <c r="Y365" s="53"/>
      <c r="AB365" s="53"/>
      <c r="AC365" s="53"/>
      <c r="AD365" s="53"/>
      <c r="AG365" s="53"/>
      <c r="AH365" s="53"/>
      <c r="AI365" s="53"/>
    </row>
    <row r="366" spans="18:35" x14ac:dyDescent="0.3">
      <c r="R366" s="53"/>
      <c r="S366" s="53"/>
      <c r="T366" s="53"/>
      <c r="W366" s="53"/>
      <c r="X366" s="53"/>
      <c r="Y366" s="53"/>
      <c r="AB366" s="53"/>
      <c r="AC366" s="53"/>
      <c r="AD366" s="53"/>
      <c r="AG366" s="53"/>
      <c r="AH366" s="53"/>
      <c r="AI366" s="53"/>
    </row>
    <row r="367" spans="18:35" x14ac:dyDescent="0.3">
      <c r="R367" s="53"/>
      <c r="S367" s="53"/>
      <c r="T367" s="53"/>
      <c r="W367" s="53"/>
      <c r="X367" s="53"/>
      <c r="Y367" s="53"/>
      <c r="AB367" s="53"/>
      <c r="AC367" s="53"/>
      <c r="AD367" s="53"/>
      <c r="AG367" s="53"/>
      <c r="AH367" s="53"/>
      <c r="AI367" s="53"/>
    </row>
    <row r="368" spans="18:35" x14ac:dyDescent="0.3">
      <c r="R368" s="53"/>
      <c r="S368" s="53"/>
      <c r="T368" s="53"/>
      <c r="W368" s="53"/>
      <c r="X368" s="53"/>
      <c r="Y368" s="53"/>
      <c r="AB368" s="53"/>
      <c r="AC368" s="53"/>
      <c r="AD368" s="53"/>
      <c r="AG368" s="53"/>
      <c r="AH368" s="53"/>
      <c r="AI368" s="53"/>
    </row>
    <row r="369" spans="18:35" x14ac:dyDescent="0.3">
      <c r="R369" s="53"/>
      <c r="S369" s="53"/>
      <c r="T369" s="53"/>
      <c r="W369" s="53"/>
      <c r="X369" s="53"/>
      <c r="Y369" s="53"/>
      <c r="AB369" s="53"/>
      <c r="AC369" s="53"/>
      <c r="AD369" s="53"/>
      <c r="AG369" s="53"/>
      <c r="AH369" s="53"/>
      <c r="AI369" s="53"/>
    </row>
    <row r="370" spans="18:35" x14ac:dyDescent="0.3">
      <c r="R370" s="53"/>
      <c r="S370" s="53"/>
      <c r="T370" s="53"/>
      <c r="W370" s="53"/>
      <c r="X370" s="53"/>
      <c r="Y370" s="53"/>
      <c r="AB370" s="53"/>
      <c r="AC370" s="53"/>
      <c r="AD370" s="53"/>
      <c r="AG370" s="53"/>
      <c r="AH370" s="53"/>
      <c r="AI370" s="53"/>
    </row>
    <row r="371" spans="18:35" x14ac:dyDescent="0.3">
      <c r="R371" s="53"/>
      <c r="S371" s="53"/>
      <c r="T371" s="53"/>
      <c r="W371" s="53"/>
      <c r="X371" s="53"/>
      <c r="Y371" s="53"/>
      <c r="AB371" s="53"/>
      <c r="AC371" s="53"/>
      <c r="AD371" s="53"/>
      <c r="AG371" s="53"/>
      <c r="AH371" s="53"/>
      <c r="AI371" s="53"/>
    </row>
    <row r="372" spans="18:35" x14ac:dyDescent="0.3">
      <c r="R372" s="53"/>
      <c r="S372" s="53"/>
      <c r="T372" s="53"/>
      <c r="W372" s="53"/>
      <c r="X372" s="53"/>
      <c r="Y372" s="53"/>
      <c r="AB372" s="53"/>
      <c r="AC372" s="53"/>
      <c r="AD372" s="53"/>
      <c r="AG372" s="53"/>
      <c r="AH372" s="53"/>
      <c r="AI372" s="53"/>
    </row>
    <row r="373" spans="18:35" x14ac:dyDescent="0.3">
      <c r="R373" s="53"/>
      <c r="S373" s="53"/>
      <c r="T373" s="53"/>
      <c r="W373" s="53"/>
      <c r="X373" s="53"/>
      <c r="Y373" s="53"/>
      <c r="AB373" s="53"/>
      <c r="AC373" s="53"/>
      <c r="AD373" s="53"/>
      <c r="AG373" s="53"/>
      <c r="AH373" s="53"/>
      <c r="AI373" s="53"/>
    </row>
    <row r="374" spans="18:35" x14ac:dyDescent="0.3">
      <c r="R374" s="53"/>
      <c r="S374" s="53"/>
      <c r="T374" s="53"/>
      <c r="W374" s="53"/>
      <c r="X374" s="53"/>
      <c r="Y374" s="53"/>
      <c r="AB374" s="53"/>
      <c r="AC374" s="53"/>
      <c r="AD374" s="53"/>
      <c r="AG374" s="53"/>
      <c r="AH374" s="53"/>
      <c r="AI374" s="53"/>
    </row>
    <row r="375" spans="18:35" x14ac:dyDescent="0.3">
      <c r="R375" s="53"/>
      <c r="S375" s="53"/>
      <c r="T375" s="53"/>
      <c r="W375" s="53"/>
      <c r="X375" s="53"/>
      <c r="Y375" s="53"/>
      <c r="AB375" s="53"/>
      <c r="AC375" s="53"/>
      <c r="AD375" s="53"/>
      <c r="AG375" s="53"/>
      <c r="AH375" s="53"/>
      <c r="AI375" s="53"/>
    </row>
    <row r="376" spans="18:35" x14ac:dyDescent="0.3">
      <c r="R376" s="53"/>
      <c r="S376" s="53"/>
      <c r="T376" s="53"/>
      <c r="W376" s="53"/>
      <c r="X376" s="53"/>
      <c r="Y376" s="53"/>
      <c r="AB376" s="53"/>
      <c r="AC376" s="53"/>
      <c r="AD376" s="53"/>
      <c r="AG376" s="53"/>
      <c r="AH376" s="53"/>
      <c r="AI376" s="53"/>
    </row>
    <row r="377" spans="18:35" x14ac:dyDescent="0.3">
      <c r="R377" s="53"/>
      <c r="S377" s="53"/>
      <c r="T377" s="53"/>
      <c r="W377" s="53"/>
      <c r="X377" s="53"/>
      <c r="Y377" s="53"/>
      <c r="AB377" s="53"/>
      <c r="AC377" s="53"/>
      <c r="AD377" s="53"/>
      <c r="AG377" s="53"/>
      <c r="AH377" s="53"/>
      <c r="AI377" s="53"/>
    </row>
    <row r="378" spans="18:35" x14ac:dyDescent="0.3">
      <c r="R378" s="53"/>
      <c r="S378" s="53"/>
      <c r="T378" s="53"/>
      <c r="W378" s="53"/>
      <c r="X378" s="53"/>
      <c r="Y378" s="53"/>
      <c r="AB378" s="53"/>
      <c r="AC378" s="53"/>
      <c r="AD378" s="53"/>
      <c r="AG378" s="53"/>
      <c r="AH378" s="53"/>
      <c r="AI378" s="53"/>
    </row>
    <row r="379" spans="18:35" x14ac:dyDescent="0.3">
      <c r="R379" s="53"/>
      <c r="S379" s="53"/>
      <c r="T379" s="53"/>
      <c r="W379" s="53"/>
      <c r="X379" s="53"/>
      <c r="Y379" s="53"/>
      <c r="AB379" s="53"/>
      <c r="AC379" s="53"/>
      <c r="AD379" s="53"/>
      <c r="AG379" s="53"/>
      <c r="AH379" s="53"/>
      <c r="AI379" s="53"/>
    </row>
    <row r="380" spans="18:35" x14ac:dyDescent="0.3">
      <c r="R380" s="53"/>
      <c r="S380" s="53"/>
      <c r="T380" s="53"/>
      <c r="W380" s="53"/>
      <c r="X380" s="53"/>
      <c r="Y380" s="53"/>
      <c r="AB380" s="53"/>
      <c r="AC380" s="53"/>
      <c r="AD380" s="53"/>
      <c r="AG380" s="53"/>
      <c r="AH380" s="53"/>
      <c r="AI380" s="53"/>
    </row>
    <row r="381" spans="18:35" x14ac:dyDescent="0.3">
      <c r="R381" s="53"/>
      <c r="S381" s="53"/>
      <c r="T381" s="53"/>
      <c r="W381" s="53"/>
      <c r="X381" s="53"/>
      <c r="Y381" s="53"/>
      <c r="AB381" s="53"/>
      <c r="AC381" s="53"/>
      <c r="AD381" s="53"/>
      <c r="AG381" s="53"/>
      <c r="AH381" s="53"/>
      <c r="AI381" s="53"/>
    </row>
    <row r="382" spans="18:35" x14ac:dyDescent="0.3">
      <c r="R382" s="53"/>
      <c r="S382" s="53"/>
      <c r="T382" s="53"/>
      <c r="W382" s="53"/>
      <c r="X382" s="53"/>
      <c r="Y382" s="53"/>
      <c r="AB382" s="53"/>
      <c r="AC382" s="53"/>
      <c r="AD382" s="53"/>
      <c r="AG382" s="53"/>
      <c r="AH382" s="53"/>
      <c r="AI382" s="53"/>
    </row>
    <row r="383" spans="18:35" x14ac:dyDescent="0.3">
      <c r="R383" s="53"/>
      <c r="S383" s="53"/>
      <c r="T383" s="53"/>
      <c r="W383" s="53"/>
      <c r="X383" s="53"/>
      <c r="Y383" s="53"/>
      <c r="AB383" s="53"/>
      <c r="AC383" s="53"/>
      <c r="AD383" s="53"/>
      <c r="AG383" s="53"/>
      <c r="AH383" s="53"/>
      <c r="AI383" s="53"/>
    </row>
    <row r="384" spans="18:35" x14ac:dyDescent="0.3">
      <c r="R384" s="53"/>
      <c r="S384" s="53"/>
      <c r="T384" s="53"/>
      <c r="W384" s="53"/>
      <c r="X384" s="53"/>
      <c r="Y384" s="53"/>
      <c r="AB384" s="53"/>
      <c r="AC384" s="53"/>
      <c r="AD384" s="53"/>
      <c r="AG384" s="53"/>
      <c r="AH384" s="53"/>
      <c r="AI384" s="53"/>
    </row>
    <row r="385" spans="18:35" x14ac:dyDescent="0.3">
      <c r="R385" s="53"/>
      <c r="S385" s="53"/>
      <c r="T385" s="53"/>
      <c r="W385" s="53"/>
      <c r="X385" s="53"/>
      <c r="Y385" s="53"/>
      <c r="AB385" s="53"/>
      <c r="AC385" s="53"/>
      <c r="AD385" s="53"/>
      <c r="AG385" s="53"/>
      <c r="AH385" s="53"/>
      <c r="AI385" s="53"/>
    </row>
    <row r="386" spans="18:35" x14ac:dyDescent="0.3">
      <c r="R386" s="53"/>
      <c r="S386" s="53"/>
      <c r="T386" s="53"/>
      <c r="W386" s="53"/>
      <c r="X386" s="53"/>
      <c r="Y386" s="53"/>
      <c r="AB386" s="53"/>
      <c r="AC386" s="53"/>
      <c r="AD386" s="53"/>
      <c r="AG386" s="53"/>
      <c r="AH386" s="53"/>
      <c r="AI386" s="53"/>
    </row>
    <row r="387" spans="18:35" x14ac:dyDescent="0.3">
      <c r="R387" s="53"/>
      <c r="S387" s="53"/>
      <c r="T387" s="53"/>
      <c r="W387" s="53"/>
      <c r="X387" s="53"/>
      <c r="Y387" s="53"/>
      <c r="AB387" s="53"/>
      <c r="AC387" s="53"/>
      <c r="AD387" s="53"/>
      <c r="AG387" s="53"/>
      <c r="AH387" s="53"/>
      <c r="AI387" s="53"/>
    </row>
    <row r="388" spans="18:35" x14ac:dyDescent="0.3">
      <c r="R388" s="53"/>
      <c r="S388" s="53"/>
      <c r="T388" s="53"/>
      <c r="W388" s="53"/>
      <c r="X388" s="53"/>
      <c r="Y388" s="53"/>
      <c r="AB388" s="53"/>
      <c r="AC388" s="53"/>
      <c r="AD388" s="53"/>
      <c r="AG388" s="53"/>
      <c r="AH388" s="53"/>
      <c r="AI388" s="53"/>
    </row>
    <row r="389" spans="18:35" x14ac:dyDescent="0.3">
      <c r="R389" s="53"/>
      <c r="S389" s="53"/>
      <c r="T389" s="53"/>
      <c r="W389" s="53"/>
      <c r="X389" s="53"/>
      <c r="Y389" s="53"/>
      <c r="AB389" s="53"/>
      <c r="AC389" s="53"/>
      <c r="AD389" s="53"/>
      <c r="AG389" s="53"/>
      <c r="AH389" s="53"/>
      <c r="AI389" s="53"/>
    </row>
    <row r="390" spans="18:35" x14ac:dyDescent="0.3">
      <c r="R390" s="53"/>
      <c r="S390" s="53"/>
      <c r="T390" s="53"/>
      <c r="W390" s="53"/>
      <c r="X390" s="53"/>
      <c r="Y390" s="53"/>
      <c r="AB390" s="53"/>
      <c r="AC390" s="53"/>
      <c r="AD390" s="53"/>
      <c r="AG390" s="53"/>
      <c r="AH390" s="53"/>
      <c r="AI390" s="53"/>
    </row>
    <row r="391" spans="18:35" x14ac:dyDescent="0.3">
      <c r="R391" s="53"/>
      <c r="S391" s="53"/>
      <c r="T391" s="53"/>
      <c r="W391" s="53"/>
      <c r="X391" s="53"/>
      <c r="Y391" s="53"/>
      <c r="AB391" s="53"/>
      <c r="AC391" s="53"/>
      <c r="AD391" s="53"/>
      <c r="AG391" s="53"/>
      <c r="AH391" s="53"/>
      <c r="AI391" s="53"/>
    </row>
    <row r="392" spans="18:35" x14ac:dyDescent="0.3">
      <c r="R392" s="53"/>
      <c r="S392" s="53"/>
      <c r="T392" s="53"/>
      <c r="W392" s="53"/>
      <c r="X392" s="53"/>
      <c r="Y392" s="53"/>
      <c r="AB392" s="53"/>
      <c r="AC392" s="53"/>
      <c r="AD392" s="53"/>
      <c r="AG392" s="53"/>
      <c r="AH392" s="53"/>
      <c r="AI392" s="53"/>
    </row>
    <row r="393" spans="18:35" x14ac:dyDescent="0.3">
      <c r="R393" s="53"/>
      <c r="S393" s="53"/>
      <c r="T393" s="53"/>
      <c r="W393" s="53"/>
      <c r="X393" s="53"/>
      <c r="Y393" s="53"/>
      <c r="AB393" s="53"/>
      <c r="AC393" s="53"/>
      <c r="AD393" s="53"/>
      <c r="AG393" s="53"/>
      <c r="AH393" s="53"/>
      <c r="AI393" s="53"/>
    </row>
    <row r="394" spans="18:35" x14ac:dyDescent="0.3">
      <c r="R394" s="53"/>
      <c r="S394" s="53"/>
      <c r="T394" s="53"/>
      <c r="W394" s="53"/>
      <c r="X394" s="53"/>
      <c r="Y394" s="53"/>
      <c r="AB394" s="53"/>
      <c r="AC394" s="53"/>
      <c r="AD394" s="53"/>
      <c r="AG394" s="53"/>
      <c r="AH394" s="53"/>
      <c r="AI394" s="53"/>
    </row>
    <row r="395" spans="18:35" x14ac:dyDescent="0.3">
      <c r="R395" s="53"/>
      <c r="S395" s="53"/>
      <c r="T395" s="53"/>
      <c r="W395" s="53"/>
      <c r="X395" s="53"/>
      <c r="Y395" s="53"/>
      <c r="AB395" s="53"/>
      <c r="AC395" s="53"/>
      <c r="AD395" s="53"/>
      <c r="AG395" s="53"/>
      <c r="AH395" s="53"/>
      <c r="AI395" s="53"/>
    </row>
    <row r="396" spans="18:35" x14ac:dyDescent="0.3">
      <c r="R396" s="53"/>
      <c r="S396" s="53"/>
      <c r="T396" s="53"/>
      <c r="W396" s="53"/>
      <c r="X396" s="53"/>
      <c r="Y396" s="53"/>
      <c r="AB396" s="53"/>
      <c r="AC396" s="53"/>
      <c r="AD396" s="53"/>
      <c r="AG396" s="53"/>
      <c r="AH396" s="53"/>
      <c r="AI396" s="53"/>
    </row>
    <row r="397" spans="18:35" x14ac:dyDescent="0.3">
      <c r="R397" s="53"/>
      <c r="S397" s="53"/>
      <c r="T397" s="53"/>
      <c r="W397" s="53"/>
      <c r="X397" s="53"/>
      <c r="Y397" s="53"/>
      <c r="AB397" s="53"/>
      <c r="AC397" s="53"/>
      <c r="AD397" s="53"/>
      <c r="AG397" s="53"/>
      <c r="AH397" s="53"/>
      <c r="AI397" s="53"/>
    </row>
    <row r="398" spans="18:35" x14ac:dyDescent="0.3">
      <c r="R398" s="53"/>
      <c r="S398" s="53"/>
      <c r="T398" s="53"/>
      <c r="W398" s="53"/>
      <c r="X398" s="53"/>
      <c r="Y398" s="53"/>
      <c r="AB398" s="53"/>
      <c r="AC398" s="53"/>
      <c r="AD398" s="53"/>
      <c r="AG398" s="53"/>
      <c r="AH398" s="53"/>
      <c r="AI398" s="53"/>
    </row>
    <row r="399" spans="18:35" x14ac:dyDescent="0.3">
      <c r="R399" s="53"/>
      <c r="S399" s="53"/>
      <c r="T399" s="53"/>
      <c r="W399" s="53"/>
      <c r="X399" s="53"/>
      <c r="Y399" s="53"/>
      <c r="AB399" s="53"/>
      <c r="AC399" s="53"/>
      <c r="AD399" s="53"/>
      <c r="AG399" s="53"/>
      <c r="AH399" s="53"/>
      <c r="AI399" s="53"/>
    </row>
    <row r="400" spans="18:35" x14ac:dyDescent="0.3">
      <c r="R400" s="53"/>
      <c r="S400" s="53"/>
      <c r="T400" s="53"/>
      <c r="W400" s="53"/>
      <c r="X400" s="53"/>
      <c r="Y400" s="53"/>
      <c r="AB400" s="53"/>
      <c r="AC400" s="53"/>
      <c r="AD400" s="53"/>
      <c r="AG400" s="53"/>
      <c r="AH400" s="53"/>
      <c r="AI400" s="53"/>
    </row>
    <row r="401" spans="18:35" x14ac:dyDescent="0.3">
      <c r="R401" s="53"/>
      <c r="S401" s="53"/>
      <c r="T401" s="53"/>
      <c r="W401" s="53"/>
      <c r="X401" s="53"/>
      <c r="Y401" s="53"/>
      <c r="AB401" s="53"/>
      <c r="AC401" s="53"/>
      <c r="AD401" s="53"/>
      <c r="AG401" s="53"/>
      <c r="AH401" s="53"/>
      <c r="AI401" s="53"/>
    </row>
    <row r="402" spans="18:35" x14ac:dyDescent="0.3">
      <c r="R402" s="53"/>
      <c r="S402" s="53"/>
      <c r="T402" s="53"/>
      <c r="W402" s="53"/>
      <c r="X402" s="53"/>
      <c r="Y402" s="53"/>
      <c r="AB402" s="53"/>
      <c r="AC402" s="53"/>
      <c r="AD402" s="53"/>
      <c r="AG402" s="53"/>
      <c r="AH402" s="53"/>
      <c r="AI402" s="53"/>
    </row>
    <row r="403" spans="18:35" x14ac:dyDescent="0.3">
      <c r="R403" s="53"/>
      <c r="S403" s="53"/>
      <c r="T403" s="53"/>
      <c r="W403" s="53"/>
      <c r="X403" s="53"/>
      <c r="Y403" s="53"/>
      <c r="AB403" s="53"/>
      <c r="AC403" s="53"/>
      <c r="AD403" s="53"/>
      <c r="AG403" s="53"/>
      <c r="AH403" s="53"/>
      <c r="AI403" s="53"/>
    </row>
    <row r="404" spans="18:35" x14ac:dyDescent="0.3">
      <c r="R404" s="53"/>
      <c r="S404" s="53"/>
      <c r="T404" s="53"/>
      <c r="W404" s="53"/>
      <c r="X404" s="53"/>
      <c r="Y404" s="53"/>
      <c r="AB404" s="53"/>
      <c r="AC404" s="53"/>
      <c r="AD404" s="53"/>
      <c r="AG404" s="53"/>
      <c r="AH404" s="53"/>
      <c r="AI404" s="53"/>
    </row>
    <row r="405" spans="18:35" x14ac:dyDescent="0.3">
      <c r="R405" s="53"/>
      <c r="S405" s="53"/>
      <c r="T405" s="53"/>
      <c r="W405" s="53"/>
      <c r="X405" s="53"/>
      <c r="Y405" s="53"/>
      <c r="AB405" s="53"/>
      <c r="AC405" s="53"/>
      <c r="AD405" s="53"/>
      <c r="AG405" s="53"/>
      <c r="AH405" s="53"/>
      <c r="AI405" s="53"/>
    </row>
    <row r="406" spans="18:35" x14ac:dyDescent="0.3">
      <c r="R406" s="53"/>
      <c r="S406" s="53"/>
      <c r="T406" s="53"/>
      <c r="W406" s="53"/>
      <c r="X406" s="53"/>
      <c r="Y406" s="53"/>
      <c r="AB406" s="53"/>
      <c r="AC406" s="53"/>
      <c r="AD406" s="53"/>
      <c r="AG406" s="53"/>
      <c r="AH406" s="53"/>
      <c r="AI406" s="53"/>
    </row>
    <row r="407" spans="18:35" x14ac:dyDescent="0.3">
      <c r="R407" s="53"/>
      <c r="S407" s="53"/>
      <c r="T407" s="53"/>
      <c r="W407" s="53"/>
      <c r="X407" s="53"/>
      <c r="Y407" s="53"/>
      <c r="AB407" s="53"/>
      <c r="AC407" s="53"/>
      <c r="AD407" s="53"/>
      <c r="AG407" s="53"/>
      <c r="AH407" s="53"/>
      <c r="AI407" s="53"/>
    </row>
    <row r="408" spans="18:35" x14ac:dyDescent="0.3">
      <c r="R408" s="53"/>
      <c r="S408" s="53"/>
      <c r="T408" s="53"/>
      <c r="W408" s="53"/>
      <c r="X408" s="53"/>
      <c r="Y408" s="53"/>
      <c r="AB408" s="53"/>
      <c r="AC408" s="53"/>
      <c r="AD408" s="53"/>
      <c r="AG408" s="53"/>
      <c r="AH408" s="53"/>
      <c r="AI408" s="53"/>
    </row>
    <row r="409" spans="18:35" x14ac:dyDescent="0.3">
      <c r="R409" s="53"/>
      <c r="S409" s="53"/>
      <c r="T409" s="53"/>
      <c r="W409" s="53"/>
      <c r="X409" s="53"/>
      <c r="Y409" s="53"/>
      <c r="AB409" s="53"/>
      <c r="AC409" s="53"/>
      <c r="AD409" s="53"/>
      <c r="AG409" s="53"/>
      <c r="AH409" s="53"/>
      <c r="AI409" s="53"/>
    </row>
    <row r="410" spans="18:35" x14ac:dyDescent="0.3">
      <c r="R410" s="53"/>
      <c r="S410" s="53"/>
      <c r="T410" s="53"/>
      <c r="W410" s="53"/>
      <c r="X410" s="53"/>
      <c r="Y410" s="53"/>
      <c r="AB410" s="53"/>
      <c r="AC410" s="53"/>
      <c r="AD410" s="53"/>
      <c r="AG410" s="53"/>
      <c r="AH410" s="53"/>
      <c r="AI410" s="53"/>
    </row>
    <row r="411" spans="18:35" x14ac:dyDescent="0.3">
      <c r="R411" s="53"/>
      <c r="S411" s="53"/>
      <c r="T411" s="53"/>
      <c r="W411" s="53"/>
      <c r="X411" s="53"/>
      <c r="Y411" s="53"/>
      <c r="AB411" s="53"/>
      <c r="AC411" s="53"/>
      <c r="AD411" s="53"/>
      <c r="AG411" s="53"/>
      <c r="AH411" s="53"/>
      <c r="AI411" s="53"/>
    </row>
    <row r="412" spans="18:35" x14ac:dyDescent="0.3">
      <c r="R412" s="53"/>
      <c r="S412" s="53"/>
      <c r="T412" s="53"/>
      <c r="W412" s="53"/>
      <c r="X412" s="53"/>
      <c r="Y412" s="53"/>
      <c r="AB412" s="53"/>
      <c r="AC412" s="53"/>
      <c r="AD412" s="53"/>
      <c r="AG412" s="53"/>
      <c r="AH412" s="53"/>
      <c r="AI412" s="53"/>
    </row>
    <row r="413" spans="18:35" x14ac:dyDescent="0.3">
      <c r="R413" s="53"/>
      <c r="S413" s="53"/>
      <c r="T413" s="53"/>
      <c r="W413" s="53"/>
      <c r="X413" s="53"/>
      <c r="Y413" s="53"/>
      <c r="AB413" s="53"/>
      <c r="AC413" s="53"/>
      <c r="AD413" s="53"/>
      <c r="AG413" s="53"/>
      <c r="AH413" s="53"/>
      <c r="AI413" s="53"/>
    </row>
    <row r="414" spans="18:35" x14ac:dyDescent="0.3">
      <c r="R414" s="53"/>
      <c r="S414" s="53"/>
      <c r="T414" s="53"/>
      <c r="W414" s="53"/>
      <c r="X414" s="53"/>
      <c r="Y414" s="53"/>
      <c r="AB414" s="53"/>
      <c r="AC414" s="53"/>
      <c r="AD414" s="53"/>
      <c r="AG414" s="53"/>
      <c r="AH414" s="53"/>
      <c r="AI414" s="53"/>
    </row>
    <row r="415" spans="18:35" x14ac:dyDescent="0.3">
      <c r="R415" s="53"/>
      <c r="S415" s="53"/>
      <c r="T415" s="53"/>
      <c r="W415" s="53"/>
      <c r="X415" s="53"/>
      <c r="Y415" s="53"/>
      <c r="AB415" s="53"/>
      <c r="AC415" s="53"/>
      <c r="AD415" s="53"/>
      <c r="AG415" s="53"/>
      <c r="AH415" s="53"/>
      <c r="AI415" s="53"/>
    </row>
    <row r="416" spans="18:35" x14ac:dyDescent="0.3">
      <c r="R416" s="53"/>
      <c r="S416" s="53"/>
      <c r="T416" s="53"/>
      <c r="W416" s="53"/>
      <c r="X416" s="53"/>
      <c r="Y416" s="53"/>
      <c r="AB416" s="53"/>
      <c r="AC416" s="53"/>
      <c r="AD416" s="53"/>
      <c r="AG416" s="53"/>
      <c r="AH416" s="53"/>
      <c r="AI416" s="53"/>
    </row>
    <row r="417" spans="18:35" x14ac:dyDescent="0.3">
      <c r="R417" s="53"/>
      <c r="S417" s="53"/>
      <c r="T417" s="53"/>
      <c r="W417" s="53"/>
      <c r="X417" s="53"/>
      <c r="Y417" s="53"/>
      <c r="AB417" s="53"/>
      <c r="AC417" s="53"/>
      <c r="AD417" s="53"/>
      <c r="AG417" s="53"/>
      <c r="AH417" s="53"/>
      <c r="AI417" s="53"/>
    </row>
    <row r="418" spans="18:35" x14ac:dyDescent="0.3">
      <c r="R418" s="53"/>
      <c r="S418" s="53"/>
      <c r="T418" s="53"/>
      <c r="W418" s="53"/>
      <c r="X418" s="53"/>
      <c r="Y418" s="53"/>
      <c r="AB418" s="53"/>
      <c r="AC418" s="53"/>
      <c r="AD418" s="53"/>
      <c r="AG418" s="53"/>
      <c r="AH418" s="53"/>
      <c r="AI418" s="53"/>
    </row>
    <row r="419" spans="18:35" x14ac:dyDescent="0.3">
      <c r="R419" s="53"/>
      <c r="S419" s="53"/>
      <c r="T419" s="53"/>
      <c r="W419" s="53"/>
      <c r="X419" s="53"/>
      <c r="Y419" s="53"/>
      <c r="AB419" s="53"/>
      <c r="AC419" s="53"/>
      <c r="AD419" s="53"/>
      <c r="AG419" s="53"/>
      <c r="AH419" s="53"/>
      <c r="AI419" s="53"/>
    </row>
    <row r="420" spans="18:35" x14ac:dyDescent="0.3">
      <c r="R420" s="53"/>
      <c r="S420" s="53"/>
      <c r="T420" s="53"/>
      <c r="W420" s="53"/>
      <c r="X420" s="53"/>
      <c r="Y420" s="53"/>
      <c r="AB420" s="53"/>
      <c r="AC420" s="53"/>
      <c r="AD420" s="53"/>
      <c r="AG420" s="53"/>
      <c r="AH420" s="53"/>
      <c r="AI420" s="53"/>
    </row>
    <row r="421" spans="18:35" x14ac:dyDescent="0.3">
      <c r="R421" s="53"/>
      <c r="S421" s="53"/>
      <c r="T421" s="53"/>
      <c r="W421" s="53"/>
      <c r="X421" s="53"/>
      <c r="Y421" s="53"/>
      <c r="AB421" s="53"/>
      <c r="AC421" s="53"/>
      <c r="AD421" s="53"/>
      <c r="AG421" s="53"/>
      <c r="AH421" s="53"/>
      <c r="AI421" s="53"/>
    </row>
    <row r="422" spans="18:35" x14ac:dyDescent="0.3">
      <c r="R422" s="53"/>
      <c r="S422" s="53"/>
      <c r="T422" s="53"/>
      <c r="W422" s="53"/>
      <c r="X422" s="53"/>
      <c r="Y422" s="53"/>
      <c r="AB422" s="53"/>
      <c r="AC422" s="53"/>
      <c r="AD422" s="53"/>
      <c r="AG422" s="53"/>
      <c r="AH422" s="53"/>
      <c r="AI422" s="53"/>
    </row>
    <row r="423" spans="18:35" x14ac:dyDescent="0.3">
      <c r="R423" s="53"/>
      <c r="S423" s="53"/>
      <c r="T423" s="53"/>
      <c r="W423" s="53"/>
      <c r="X423" s="53"/>
      <c r="Y423" s="53"/>
      <c r="AB423" s="53"/>
      <c r="AC423" s="53"/>
      <c r="AD423" s="53"/>
      <c r="AG423" s="53"/>
      <c r="AH423" s="53"/>
      <c r="AI423" s="53"/>
    </row>
    <row r="424" spans="18:35" x14ac:dyDescent="0.3">
      <c r="R424" s="53"/>
      <c r="S424" s="53"/>
      <c r="T424" s="53"/>
      <c r="W424" s="53"/>
      <c r="X424" s="53"/>
      <c r="Y424" s="53"/>
      <c r="AB424" s="53"/>
      <c r="AC424" s="53"/>
      <c r="AD424" s="53"/>
      <c r="AG424" s="53"/>
      <c r="AH424" s="53"/>
      <c r="AI424" s="53"/>
    </row>
    <row r="425" spans="18:35" x14ac:dyDescent="0.3">
      <c r="R425" s="53"/>
      <c r="S425" s="53"/>
      <c r="T425" s="53"/>
      <c r="W425" s="53"/>
      <c r="X425" s="53"/>
      <c r="Y425" s="53"/>
      <c r="AB425" s="53"/>
      <c r="AC425" s="53"/>
      <c r="AD425" s="53"/>
      <c r="AG425" s="53"/>
      <c r="AH425" s="53"/>
      <c r="AI425" s="53"/>
    </row>
    <row r="426" spans="18:35" x14ac:dyDescent="0.3">
      <c r="R426" s="53"/>
      <c r="S426" s="53"/>
      <c r="T426" s="53"/>
      <c r="W426" s="53"/>
      <c r="X426" s="53"/>
      <c r="Y426" s="53"/>
      <c r="AB426" s="53"/>
      <c r="AC426" s="53"/>
      <c r="AD426" s="53"/>
      <c r="AG426" s="53"/>
      <c r="AH426" s="53"/>
      <c r="AI426" s="53"/>
    </row>
    <row r="427" spans="18:35" x14ac:dyDescent="0.3">
      <c r="R427" s="53"/>
      <c r="S427" s="53"/>
      <c r="T427" s="53"/>
      <c r="W427" s="53"/>
      <c r="X427" s="53"/>
      <c r="Y427" s="53"/>
      <c r="AB427" s="53"/>
      <c r="AC427" s="53"/>
      <c r="AD427" s="53"/>
      <c r="AG427" s="53"/>
      <c r="AH427" s="53"/>
      <c r="AI427" s="53"/>
    </row>
    <row r="428" spans="18:35" x14ac:dyDescent="0.3">
      <c r="R428" s="53"/>
      <c r="S428" s="53"/>
      <c r="T428" s="53"/>
      <c r="W428" s="53"/>
      <c r="X428" s="53"/>
      <c r="Y428" s="53"/>
      <c r="AB428" s="53"/>
      <c r="AC428" s="53"/>
      <c r="AD428" s="53"/>
      <c r="AG428" s="53"/>
      <c r="AH428" s="53"/>
      <c r="AI428" s="53"/>
    </row>
    <row r="429" spans="18:35" x14ac:dyDescent="0.3">
      <c r="R429" s="53"/>
      <c r="S429" s="53"/>
      <c r="T429" s="53"/>
      <c r="W429" s="53"/>
      <c r="X429" s="53"/>
      <c r="Y429" s="53"/>
      <c r="AB429" s="53"/>
      <c r="AC429" s="53"/>
      <c r="AD429" s="53"/>
      <c r="AG429" s="53"/>
      <c r="AH429" s="53"/>
      <c r="AI429" s="53"/>
    </row>
    <row r="430" spans="18:35" x14ac:dyDescent="0.3">
      <c r="R430" s="53"/>
      <c r="S430" s="53"/>
      <c r="T430" s="53"/>
      <c r="W430" s="53"/>
      <c r="X430" s="53"/>
      <c r="Y430" s="53"/>
      <c r="AB430" s="53"/>
      <c r="AC430" s="53"/>
      <c r="AD430" s="53"/>
      <c r="AG430" s="53"/>
      <c r="AH430" s="53"/>
      <c r="AI430" s="53"/>
    </row>
    <row r="431" spans="18:35" x14ac:dyDescent="0.3">
      <c r="R431" s="53"/>
      <c r="S431" s="53"/>
      <c r="T431" s="53"/>
      <c r="W431" s="53"/>
      <c r="X431" s="53"/>
      <c r="Y431" s="53"/>
      <c r="AB431" s="53"/>
      <c r="AC431" s="53"/>
      <c r="AD431" s="53"/>
      <c r="AG431" s="53"/>
      <c r="AH431" s="53"/>
      <c r="AI431" s="53"/>
    </row>
    <row r="432" spans="18:35" x14ac:dyDescent="0.3">
      <c r="R432" s="53"/>
      <c r="S432" s="53"/>
      <c r="T432" s="53"/>
      <c r="W432" s="53"/>
      <c r="X432" s="53"/>
      <c r="Y432" s="53"/>
      <c r="AB432" s="53"/>
      <c r="AC432" s="53"/>
      <c r="AD432" s="53"/>
      <c r="AG432" s="53"/>
      <c r="AH432" s="53"/>
      <c r="AI432" s="53"/>
    </row>
    <row r="433" spans="18:35" x14ac:dyDescent="0.3">
      <c r="R433" s="53"/>
      <c r="S433" s="53"/>
      <c r="T433" s="53"/>
      <c r="W433" s="53"/>
      <c r="X433" s="53"/>
      <c r="Y433" s="53"/>
      <c r="AB433" s="53"/>
      <c r="AC433" s="53"/>
      <c r="AD433" s="53"/>
      <c r="AG433" s="53"/>
      <c r="AH433" s="53"/>
      <c r="AI433" s="53"/>
    </row>
    <row r="434" spans="18:35" x14ac:dyDescent="0.3">
      <c r="R434" s="53"/>
      <c r="S434" s="53"/>
      <c r="T434" s="53"/>
      <c r="W434" s="53"/>
      <c r="X434" s="53"/>
      <c r="Y434" s="53"/>
      <c r="AB434" s="53"/>
      <c r="AC434" s="53"/>
      <c r="AD434" s="53"/>
      <c r="AG434" s="53"/>
      <c r="AH434" s="53"/>
      <c r="AI434" s="53"/>
    </row>
    <row r="435" spans="18:35" x14ac:dyDescent="0.3">
      <c r="R435" s="53"/>
      <c r="S435" s="53"/>
      <c r="T435" s="53"/>
      <c r="W435" s="53"/>
      <c r="X435" s="53"/>
      <c r="Y435" s="53"/>
      <c r="AB435" s="53"/>
      <c r="AC435" s="53"/>
      <c r="AD435" s="53"/>
      <c r="AG435" s="53"/>
      <c r="AH435" s="53"/>
      <c r="AI435" s="53"/>
    </row>
    <row r="436" spans="18:35" x14ac:dyDescent="0.3">
      <c r="R436" s="53"/>
      <c r="S436" s="53"/>
      <c r="T436" s="53"/>
      <c r="W436" s="53"/>
      <c r="X436" s="53"/>
      <c r="Y436" s="53"/>
      <c r="AB436" s="53"/>
      <c r="AC436" s="53"/>
      <c r="AD436" s="53"/>
      <c r="AG436" s="53"/>
      <c r="AH436" s="53"/>
      <c r="AI436" s="53"/>
    </row>
    <row r="437" spans="18:35" x14ac:dyDescent="0.3">
      <c r="R437" s="53"/>
      <c r="S437" s="53"/>
      <c r="T437" s="53"/>
      <c r="W437" s="53"/>
      <c r="X437" s="53"/>
      <c r="Y437" s="53"/>
      <c r="AB437" s="53"/>
      <c r="AC437" s="53"/>
      <c r="AD437" s="53"/>
      <c r="AG437" s="53"/>
      <c r="AH437" s="53"/>
      <c r="AI437" s="53"/>
    </row>
    <row r="438" spans="18:35" x14ac:dyDescent="0.3">
      <c r="R438" s="53"/>
      <c r="S438" s="53"/>
      <c r="T438" s="53"/>
      <c r="W438" s="53"/>
      <c r="X438" s="53"/>
      <c r="Y438" s="53"/>
      <c r="AB438" s="53"/>
      <c r="AC438" s="53"/>
      <c r="AD438" s="53"/>
      <c r="AG438" s="53"/>
      <c r="AH438" s="53"/>
      <c r="AI438" s="53"/>
    </row>
    <row r="439" spans="18:35" x14ac:dyDescent="0.3">
      <c r="R439" s="53"/>
      <c r="S439" s="53"/>
      <c r="T439" s="53"/>
      <c r="W439" s="53"/>
      <c r="X439" s="53"/>
      <c r="Y439" s="53"/>
      <c r="AB439" s="53"/>
      <c r="AC439" s="53"/>
      <c r="AD439" s="53"/>
      <c r="AG439" s="53"/>
      <c r="AH439" s="53"/>
      <c r="AI439" s="53"/>
    </row>
    <row r="440" spans="18:35" x14ac:dyDescent="0.3">
      <c r="R440" s="53"/>
      <c r="S440" s="53"/>
      <c r="T440" s="53"/>
      <c r="W440" s="53"/>
      <c r="X440" s="53"/>
      <c r="Y440" s="53"/>
      <c r="AB440" s="53"/>
      <c r="AC440" s="53"/>
      <c r="AD440" s="53"/>
      <c r="AG440" s="53"/>
      <c r="AH440" s="53"/>
      <c r="AI440" s="53"/>
    </row>
    <row r="441" spans="18:35" x14ac:dyDescent="0.3">
      <c r="R441" s="53"/>
      <c r="S441" s="53"/>
      <c r="T441" s="53"/>
      <c r="W441" s="53"/>
      <c r="X441" s="53"/>
      <c r="Y441" s="53"/>
      <c r="AB441" s="53"/>
      <c r="AC441" s="53"/>
      <c r="AD441" s="53"/>
      <c r="AG441" s="53"/>
      <c r="AH441" s="53"/>
      <c r="AI441" s="53"/>
    </row>
    <row r="442" spans="18:35" x14ac:dyDescent="0.3">
      <c r="R442" s="53"/>
      <c r="S442" s="53"/>
      <c r="T442" s="53"/>
      <c r="W442" s="53"/>
      <c r="X442" s="53"/>
      <c r="Y442" s="53"/>
      <c r="AB442" s="53"/>
      <c r="AC442" s="53"/>
      <c r="AD442" s="53"/>
      <c r="AG442" s="53"/>
      <c r="AH442" s="53"/>
      <c r="AI442" s="53"/>
    </row>
    <row r="443" spans="18:35" x14ac:dyDescent="0.3">
      <c r="R443" s="53"/>
      <c r="S443" s="53"/>
      <c r="T443" s="53"/>
      <c r="W443" s="53"/>
      <c r="X443" s="53"/>
      <c r="Y443" s="53"/>
      <c r="AB443" s="53"/>
      <c r="AC443" s="53"/>
      <c r="AD443" s="53"/>
      <c r="AG443" s="53"/>
      <c r="AH443" s="53"/>
      <c r="AI443" s="53"/>
    </row>
    <row r="444" spans="18:35" x14ac:dyDescent="0.3">
      <c r="R444" s="53"/>
      <c r="S444" s="53"/>
      <c r="T444" s="53"/>
      <c r="W444" s="53"/>
      <c r="X444" s="53"/>
      <c r="Y444" s="53"/>
      <c r="AB444" s="53"/>
      <c r="AC444" s="53"/>
      <c r="AD444" s="53"/>
      <c r="AG444" s="53"/>
      <c r="AH444" s="53"/>
      <c r="AI444" s="53"/>
    </row>
    <row r="445" spans="18:35" x14ac:dyDescent="0.3">
      <c r="R445" s="53"/>
      <c r="S445" s="53"/>
      <c r="T445" s="53"/>
      <c r="W445" s="53"/>
      <c r="X445" s="53"/>
      <c r="Y445" s="53"/>
      <c r="AB445" s="53"/>
      <c r="AC445" s="53"/>
      <c r="AD445" s="53"/>
      <c r="AG445" s="53"/>
      <c r="AH445" s="53"/>
      <c r="AI445" s="53"/>
    </row>
    <row r="446" spans="18:35" x14ac:dyDescent="0.3">
      <c r="R446" s="53"/>
      <c r="S446" s="53"/>
      <c r="T446" s="53"/>
      <c r="W446" s="53"/>
      <c r="X446" s="53"/>
      <c r="Y446" s="53"/>
      <c r="AB446" s="53"/>
      <c r="AC446" s="53"/>
      <c r="AD446" s="53"/>
      <c r="AG446" s="53"/>
      <c r="AH446" s="53"/>
      <c r="AI446" s="53"/>
    </row>
    <row r="447" spans="18:35" x14ac:dyDescent="0.3">
      <c r="R447" s="53"/>
      <c r="S447" s="53"/>
      <c r="T447" s="53"/>
      <c r="W447" s="53"/>
      <c r="X447" s="53"/>
      <c r="Y447" s="53"/>
      <c r="AB447" s="53"/>
      <c r="AC447" s="53"/>
      <c r="AD447" s="53"/>
      <c r="AG447" s="53"/>
      <c r="AH447" s="53"/>
      <c r="AI447" s="53"/>
    </row>
    <row r="448" spans="18:35" x14ac:dyDescent="0.3">
      <c r="R448" s="53"/>
      <c r="S448" s="53"/>
      <c r="T448" s="53"/>
      <c r="W448" s="53"/>
      <c r="X448" s="53"/>
      <c r="Y448" s="53"/>
      <c r="AB448" s="53"/>
      <c r="AC448" s="53"/>
      <c r="AD448" s="53"/>
      <c r="AG448" s="53"/>
      <c r="AH448" s="53"/>
      <c r="AI448" s="53"/>
    </row>
    <row r="449" spans="18:35" x14ac:dyDescent="0.3">
      <c r="R449" s="53"/>
      <c r="S449" s="53"/>
      <c r="T449" s="53"/>
      <c r="W449" s="53"/>
      <c r="X449" s="53"/>
      <c r="Y449" s="53"/>
      <c r="AB449" s="53"/>
      <c r="AC449" s="53"/>
      <c r="AD449" s="53"/>
      <c r="AG449" s="53"/>
      <c r="AH449" s="53"/>
      <c r="AI449" s="53"/>
    </row>
    <row r="450" spans="18:35" x14ac:dyDescent="0.3">
      <c r="R450" s="53"/>
      <c r="S450" s="53"/>
      <c r="T450" s="53"/>
      <c r="W450" s="53"/>
      <c r="X450" s="53"/>
      <c r="Y450" s="53"/>
      <c r="AB450" s="53"/>
      <c r="AC450" s="53"/>
      <c r="AD450" s="53"/>
      <c r="AG450" s="53"/>
      <c r="AH450" s="53"/>
      <c r="AI450" s="53"/>
    </row>
    <row r="451" spans="18:35" x14ac:dyDescent="0.3">
      <c r="R451" s="53"/>
      <c r="S451" s="53"/>
      <c r="T451" s="53"/>
      <c r="W451" s="53"/>
      <c r="X451" s="53"/>
      <c r="Y451" s="53"/>
      <c r="AB451" s="53"/>
      <c r="AC451" s="53"/>
      <c r="AD451" s="53"/>
      <c r="AG451" s="53"/>
      <c r="AH451" s="53"/>
      <c r="AI451" s="53"/>
    </row>
    <row r="452" spans="18:35" x14ac:dyDescent="0.3">
      <c r="R452" s="53"/>
      <c r="S452" s="53"/>
      <c r="T452" s="53"/>
      <c r="W452" s="53"/>
      <c r="X452" s="53"/>
      <c r="Y452" s="53"/>
      <c r="AB452" s="53"/>
      <c r="AC452" s="53"/>
      <c r="AD452" s="53"/>
      <c r="AG452" s="53"/>
      <c r="AH452" s="53"/>
      <c r="AI452" s="53"/>
    </row>
    <row r="453" spans="18:35" x14ac:dyDescent="0.3">
      <c r="R453" s="53"/>
      <c r="S453" s="53"/>
      <c r="T453" s="53"/>
      <c r="W453" s="53"/>
      <c r="X453" s="53"/>
      <c r="Y453" s="53"/>
      <c r="AB453" s="53"/>
      <c r="AC453" s="53"/>
      <c r="AD453" s="53"/>
      <c r="AG453" s="53"/>
      <c r="AH453" s="53"/>
      <c r="AI453" s="53"/>
    </row>
    <row r="454" spans="18:35" x14ac:dyDescent="0.3">
      <c r="R454" s="53"/>
      <c r="S454" s="53"/>
      <c r="T454" s="53"/>
      <c r="W454" s="53"/>
      <c r="X454" s="53"/>
      <c r="Y454" s="53"/>
      <c r="AB454" s="53"/>
      <c r="AC454" s="53"/>
      <c r="AD454" s="53"/>
      <c r="AG454" s="53"/>
      <c r="AH454" s="53"/>
      <c r="AI454" s="53"/>
    </row>
    <row r="455" spans="18:35" x14ac:dyDescent="0.3">
      <c r="R455" s="53"/>
      <c r="S455" s="53"/>
      <c r="T455" s="53"/>
      <c r="W455" s="53"/>
      <c r="X455" s="53"/>
      <c r="Y455" s="53"/>
      <c r="AB455" s="53"/>
      <c r="AC455" s="53"/>
      <c r="AD455" s="53"/>
      <c r="AG455" s="53"/>
      <c r="AH455" s="53"/>
      <c r="AI455" s="53"/>
    </row>
    <row r="456" spans="18:35" x14ac:dyDescent="0.3">
      <c r="R456" s="53"/>
      <c r="S456" s="53"/>
      <c r="T456" s="53"/>
      <c r="W456" s="53"/>
      <c r="X456" s="53"/>
      <c r="Y456" s="53"/>
      <c r="AB456" s="53"/>
      <c r="AC456" s="53"/>
      <c r="AD456" s="53"/>
      <c r="AG456" s="53"/>
      <c r="AH456" s="53"/>
      <c r="AI456" s="53"/>
    </row>
    <row r="457" spans="18:35" x14ac:dyDescent="0.3">
      <c r="R457" s="53"/>
      <c r="S457" s="53"/>
      <c r="T457" s="53"/>
      <c r="W457" s="53"/>
      <c r="X457" s="53"/>
      <c r="Y457" s="53"/>
      <c r="AB457" s="53"/>
      <c r="AC457" s="53"/>
      <c r="AD457" s="53"/>
      <c r="AG457" s="53"/>
      <c r="AH457" s="53"/>
      <c r="AI457" s="53"/>
    </row>
    <row r="458" spans="18:35" x14ac:dyDescent="0.3">
      <c r="R458" s="53"/>
      <c r="S458" s="53"/>
      <c r="T458" s="53"/>
      <c r="W458" s="53"/>
      <c r="X458" s="53"/>
      <c r="Y458" s="53"/>
      <c r="AB458" s="53"/>
      <c r="AC458" s="53"/>
      <c r="AD458" s="53"/>
      <c r="AG458" s="53"/>
      <c r="AH458" s="53"/>
      <c r="AI458" s="53"/>
    </row>
    <row r="459" spans="18:35" x14ac:dyDescent="0.3">
      <c r="R459" s="53"/>
      <c r="S459" s="53"/>
      <c r="T459" s="53"/>
      <c r="W459" s="53"/>
      <c r="X459" s="53"/>
      <c r="Y459" s="53"/>
      <c r="AB459" s="53"/>
      <c r="AC459" s="53"/>
      <c r="AD459" s="53"/>
      <c r="AG459" s="53"/>
      <c r="AH459" s="53"/>
      <c r="AI459" s="53"/>
    </row>
    <row r="460" spans="18:35" x14ac:dyDescent="0.3">
      <c r="R460" s="53"/>
      <c r="S460" s="53"/>
      <c r="T460" s="53"/>
      <c r="W460" s="53"/>
      <c r="X460" s="53"/>
      <c r="Y460" s="53"/>
      <c r="AB460" s="53"/>
      <c r="AC460" s="53"/>
      <c r="AD460" s="53"/>
      <c r="AG460" s="53"/>
      <c r="AH460" s="53"/>
      <c r="AI460" s="53"/>
    </row>
    <row r="461" spans="18:35" x14ac:dyDescent="0.3">
      <c r="AG461" s="53"/>
      <c r="AH461" s="53"/>
      <c r="AI461" s="53"/>
    </row>
  </sheetData>
  <sheetProtection algorithmName="SHA-512" hashValue="FWU8OcfCLkGaB1ni2kDNEDl3HJfer+IfpFMz2N2tLp/vqrKxaXPrO61Gam2x+ZaBJPt2QYBDaMbY1sxcQKd9PA==" saltValue="m/d/hDD1el5P0jIyccsm6w==" spinCount="100000" sheet="1" objects="1" scenarios="1" selectLockedCells="1"/>
  <mergeCells count="6">
    <mergeCell ref="F73:H73"/>
    <mergeCell ref="O3:P3"/>
    <mergeCell ref="A1:Q1"/>
    <mergeCell ref="F86:G86"/>
    <mergeCell ref="L36:Q37"/>
    <mergeCell ref="E85:G85"/>
  </mergeCells>
  <phoneticPr fontId="5" type="noConversion"/>
  <conditionalFormatting sqref="E7:E9">
    <cfRule type="cellIs" dxfId="29" priority="45" stopIfTrue="1" operator="notBetween">
      <formula>4</formula>
      <formula>VIN_MAX_RATING</formula>
    </cfRule>
  </conditionalFormatting>
  <conditionalFormatting sqref="E10">
    <cfRule type="cellIs" dxfId="28" priority="42" stopIfTrue="1" operator="notBetween">
      <formula>0.8</formula>
      <formula>VOUT_MAX_RATING</formula>
    </cfRule>
  </conditionalFormatting>
  <conditionalFormatting sqref="E34">
    <cfRule type="cellIs" dxfId="27" priority="40" stopIfTrue="1" operator="lessThanOrEqual">
      <formula>0</formula>
    </cfRule>
  </conditionalFormatting>
  <conditionalFormatting sqref="E36">
    <cfRule type="cellIs" dxfId="26" priority="39" stopIfTrue="1" operator="lessThan">
      <formula>$E$35</formula>
    </cfRule>
  </conditionalFormatting>
  <conditionalFormatting sqref="E38">
    <cfRule type="cellIs" dxfId="25" priority="38" stopIfTrue="1" operator="greaterThan">
      <formula>$E$37</formula>
    </cfRule>
  </conditionalFormatting>
  <conditionalFormatting sqref="E43">
    <cfRule type="cellIs" dxfId="24" priority="36" stopIfTrue="1" operator="equal">
      <formula>0</formula>
    </cfRule>
  </conditionalFormatting>
  <conditionalFormatting sqref="E45">
    <cfRule type="cellIs" dxfId="23" priority="35" stopIfTrue="1" operator="lessThan">
      <formula>$E$44</formula>
    </cfRule>
  </conditionalFormatting>
  <conditionalFormatting sqref="E47">
    <cfRule type="cellIs" dxfId="22" priority="33" stopIfTrue="1" operator="greaterThan">
      <formula>$E$46</formula>
    </cfRule>
    <cfRule type="cellIs" dxfId="21" priority="34" stopIfTrue="1" operator="equal">
      <formula>0</formula>
    </cfRule>
  </conditionalFormatting>
  <conditionalFormatting sqref="E52">
    <cfRule type="cellIs" dxfId="20" priority="29" operator="notBetween">
      <formula>1.25</formula>
      <formula>50</formula>
    </cfRule>
  </conditionalFormatting>
  <conditionalFormatting sqref="E12">
    <cfRule type="cellIs" dxfId="19" priority="48" stopIfTrue="1" operator="notBetween">
      <formula>2640</formula>
      <formula>100</formula>
    </cfRule>
  </conditionalFormatting>
  <conditionalFormatting sqref="E8">
    <cfRule type="cellIs" dxfId="18" priority="49" operator="notBetween">
      <formula>$E$7</formula>
      <formula>$E$9</formula>
    </cfRule>
  </conditionalFormatting>
  <conditionalFormatting sqref="J10">
    <cfRule type="cellIs" dxfId="17" priority="22" stopIfTrue="1" operator="notBetween">
      <formula>0.6</formula>
      <formula>VOUT_MAX_RATING</formula>
    </cfRule>
  </conditionalFormatting>
  <conditionalFormatting sqref="J34">
    <cfRule type="cellIs" dxfId="16" priority="21" stopIfTrue="1" operator="lessThanOrEqual">
      <formula>0</formula>
    </cfRule>
  </conditionalFormatting>
  <conditionalFormatting sqref="J36">
    <cfRule type="cellIs" dxfId="15" priority="20" stopIfTrue="1" operator="lessThan">
      <formula>$J$35</formula>
    </cfRule>
  </conditionalFormatting>
  <conditionalFormatting sqref="J38">
    <cfRule type="cellIs" dxfId="14" priority="19" stopIfTrue="1" operator="greaterThan">
      <formula>$J$37</formula>
    </cfRule>
  </conditionalFormatting>
  <conditionalFormatting sqref="E54">
    <cfRule type="cellIs" dxfId="13" priority="18" operator="greaterThan">
      <formula>$E$7</formula>
    </cfRule>
  </conditionalFormatting>
  <conditionalFormatting sqref="A77:G79">
    <cfRule type="expression" dxfId="12" priority="17">
      <formula>MODE=2</formula>
    </cfRule>
  </conditionalFormatting>
  <conditionalFormatting sqref="G64:K70 G17:K24 G10:K11 G27:K31 G34:K40">
    <cfRule type="expression" dxfId="11" priority="14">
      <formula>MODE=2</formula>
    </cfRule>
  </conditionalFormatting>
  <conditionalFormatting sqref="D68">
    <cfRule type="expression" dxfId="10" priority="15">
      <formula>OR((Ch1_VOUT=1),(Ch1_VOUT=2), (Ch1_VOUT=3))</formula>
    </cfRule>
  </conditionalFormatting>
  <conditionalFormatting sqref="I68">
    <cfRule type="expression" dxfId="9" priority="16">
      <formula>OR((Ch2_VOUT=1),(Ch2_VOUT=2), (Ch2_VOUT=3))</formula>
    </cfRule>
  </conditionalFormatting>
  <conditionalFormatting sqref="E68:F70">
    <cfRule type="expression" dxfId="8" priority="13">
      <formula>OR((Ch1_VOUT=1),(Ch1_VOUT=2), (Ch1_VOUT=3))</formula>
    </cfRule>
  </conditionalFormatting>
  <conditionalFormatting sqref="J68:K70">
    <cfRule type="expression" dxfId="7" priority="12">
      <formula>OR((Ch2_VOUT=1),(Ch2_VOUT=2), (Ch2_VOUT=3))</formula>
    </cfRule>
  </conditionalFormatting>
  <conditionalFormatting sqref="F101:F102">
    <cfRule type="expression" dxfId="6" priority="11">
      <formula>MODE=2</formula>
    </cfRule>
  </conditionalFormatting>
  <conditionalFormatting sqref="D85 G84">
    <cfRule type="expression" dxfId="5" priority="10">
      <formula>MODE=2</formula>
    </cfRule>
  </conditionalFormatting>
  <conditionalFormatting sqref="H84:J98">
    <cfRule type="expression" dxfId="4" priority="8">
      <formula>MODE=2</formula>
    </cfRule>
  </conditionalFormatting>
  <conditionalFormatting sqref="D18:F18 D20:F21 I18:K18 I20:K21">
    <cfRule type="expression" dxfId="3" priority="7">
      <formula>SENSING_TYPE=2</formula>
    </cfRule>
  </conditionalFormatting>
  <conditionalFormatting sqref="D54:F59">
    <cfRule type="expression" dxfId="2" priority="3">
      <formula>INPUT_UVLO=2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13" max="16383" man="1"/>
  </rowBreaks>
  <ignoredErrors>
    <ignoredError sqref="E72 E5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4823460</xdr:colOff>
                    <xdr:row>0</xdr:row>
                    <xdr:rowOff>480060</xdr:rowOff>
                  </from>
                  <to>
                    <xdr:col>16</xdr:col>
                    <xdr:colOff>5204460</xdr:colOff>
                    <xdr:row>1</xdr:row>
                    <xdr:rowOff>137160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312420</xdr:colOff>
                    <xdr:row>73</xdr:row>
                    <xdr:rowOff>76200</xdr:rowOff>
                  </from>
                  <to>
                    <xdr:col>2</xdr:col>
                    <xdr:colOff>899160</xdr:colOff>
                    <xdr:row>75</xdr:row>
                    <xdr:rowOff>137160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312420</xdr:colOff>
                    <xdr:row>73</xdr:row>
                    <xdr:rowOff>76200</xdr:rowOff>
                  </from>
                  <to>
                    <xdr:col>2</xdr:col>
                    <xdr:colOff>899160</xdr:colOff>
                    <xdr:row>75</xdr:row>
                    <xdr:rowOff>137160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7620</xdr:colOff>
                    <xdr:row>65</xdr:row>
                    <xdr:rowOff>0</xdr:rowOff>
                  </from>
                  <to>
                    <xdr:col>5</xdr:col>
                    <xdr:colOff>182880</xdr:colOff>
                    <xdr:row>65</xdr:row>
                    <xdr:rowOff>182880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121920</xdr:colOff>
                    <xdr:row>7</xdr:row>
                    <xdr:rowOff>7620</xdr:rowOff>
                  </from>
                  <to>
                    <xdr:col>5</xdr:col>
                    <xdr:colOff>304800</xdr:colOff>
                    <xdr:row>8</xdr:row>
                    <xdr:rowOff>22860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68580</xdr:colOff>
                    <xdr:row>81</xdr:row>
                    <xdr:rowOff>76200</xdr:rowOff>
                  </from>
                  <to>
                    <xdr:col>13</xdr:col>
                    <xdr:colOff>121920</xdr:colOff>
                    <xdr:row>82</xdr:row>
                    <xdr:rowOff>160020</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7620</xdr:colOff>
                    <xdr:row>57</xdr:row>
                    <xdr:rowOff>0</xdr:rowOff>
                  </from>
                  <to>
                    <xdr:col>1</xdr:col>
                    <xdr:colOff>480060</xdr:colOff>
                    <xdr:row>58</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518160</xdr:colOff>
                    <xdr:row>5</xdr:row>
                    <xdr:rowOff>7620</xdr:rowOff>
                  </from>
                  <to>
                    <xdr:col>5</xdr:col>
                    <xdr:colOff>99060</xdr:colOff>
                    <xdr:row>6</xdr:row>
                    <xdr:rowOff>7620</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7620</xdr:colOff>
                    <xdr:row>59</xdr:row>
                    <xdr:rowOff>0</xdr:rowOff>
                  </from>
                  <to>
                    <xdr:col>1</xdr:col>
                    <xdr:colOff>76200</xdr:colOff>
                    <xdr:row>59</xdr:row>
                    <xdr:rowOff>182880</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7620</xdr:colOff>
                    <xdr:row>65</xdr:row>
                    <xdr:rowOff>0</xdr:rowOff>
                  </from>
                  <to>
                    <xdr:col>10</xdr:col>
                    <xdr:colOff>182880</xdr:colOff>
                    <xdr:row>65</xdr:row>
                    <xdr:rowOff>182880</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83820</xdr:colOff>
                    <xdr:row>41</xdr:row>
                    <xdr:rowOff>30480</xdr:rowOff>
                  </from>
                  <to>
                    <xdr:col>12</xdr:col>
                    <xdr:colOff>350520</xdr:colOff>
                    <xdr:row>42</xdr:row>
                    <xdr:rowOff>68580</xdr:rowOff>
                  </to>
                </anchor>
              </controlPr>
            </control>
          </mc:Choice>
        </mc:AlternateContent>
        <mc:AlternateContent xmlns:mc="http://schemas.openxmlformats.org/markup-compatibility/2006">
          <mc:Choice Requires="x14">
            <control shapeId="700259" r:id="rId18" name="Drop Down 2915">
              <controlPr locked="0" defaultSize="0" autoLine="0" autoPict="0">
                <anchor moveWithCells="1">
                  <from>
                    <xdr:col>6</xdr:col>
                    <xdr:colOff>373380</xdr:colOff>
                    <xdr:row>4</xdr:row>
                    <xdr:rowOff>7620</xdr:rowOff>
                  </from>
                  <to>
                    <xdr:col>7</xdr:col>
                    <xdr:colOff>518160</xdr:colOff>
                    <xdr:row>4</xdr:row>
                    <xdr:rowOff>236220</xdr:rowOff>
                  </to>
                </anchor>
              </controlPr>
            </control>
          </mc:Choice>
        </mc:AlternateContent>
        <mc:AlternateContent xmlns:mc="http://schemas.openxmlformats.org/markup-compatibility/2006">
          <mc:Choice Requires="x14">
            <control shapeId="713934" r:id="rId19" name="Drop Down 3278">
              <controlPr locked="0" defaultSize="0" autoLine="0" autoPict="0">
                <anchor moveWithCells="1">
                  <from>
                    <xdr:col>5</xdr:col>
                    <xdr:colOff>213360</xdr:colOff>
                    <xdr:row>14</xdr:row>
                    <xdr:rowOff>198120</xdr:rowOff>
                  </from>
                  <to>
                    <xdr:col>7</xdr:col>
                    <xdr:colOff>480060</xdr:colOff>
                    <xdr:row>15</xdr:row>
                    <xdr:rowOff>228600</xdr:rowOff>
                  </to>
                </anchor>
              </controlPr>
            </control>
          </mc:Choice>
        </mc:AlternateContent>
        <mc:AlternateContent xmlns:mc="http://schemas.openxmlformats.org/markup-compatibility/2006">
          <mc:Choice Requires="x14">
            <control shapeId="728163" r:id="rId20" name="Drop Down 4195">
              <controlPr locked="0" defaultSize="0" autoLine="0" autoPict="0">
                <anchor moveWithCells="1">
                  <from>
                    <xdr:col>0</xdr:col>
                    <xdr:colOff>0</xdr:colOff>
                    <xdr:row>59</xdr:row>
                    <xdr:rowOff>182880</xdr:rowOff>
                  </from>
                  <to>
                    <xdr:col>1</xdr:col>
                    <xdr:colOff>441960</xdr:colOff>
                    <xdr:row>60</xdr:row>
                    <xdr:rowOff>182880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3A590ED-4FFB-4263-9376-272ABDA22C1E}">
            <xm:f>'Variable Management'!$B$260</xm:f>
            <x14:dxf>
              <font>
                <b/>
                <i val="0"/>
                <color rgb="FFFF0000"/>
              </font>
            </x14:dxf>
          </x14:cfRule>
          <xm:sqref>E68:E69</xm:sqref>
        </x14:conditionalFormatting>
        <x14:conditionalFormatting xmlns:xm="http://schemas.microsoft.com/office/excel/2006/main">
          <x14:cfRule type="expression" priority="1" id="{99137E9B-C9DA-4E25-B6EF-A0BFD086508D}">
            <xm:f>'Variable Management'!$D$260</xm:f>
            <x14:dxf>
              <font>
                <b/>
                <i val="0"/>
                <color rgb="FFFF0000"/>
              </font>
            </x14:dxf>
          </x14:cfRule>
          <xm:sqref>J68:J69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76"/>
  <sheetViews>
    <sheetView topLeftCell="A46" zoomScaleNormal="100" workbookViewId="0">
      <selection activeCell="B70" sqref="B70:B71"/>
    </sheetView>
  </sheetViews>
  <sheetFormatPr defaultRowHeight="13.2" x14ac:dyDescent="0.25"/>
  <cols>
    <col min="1" max="1" width="9.5546875" style="210" customWidth="1"/>
    <col min="2" max="2" width="20.33203125" style="210" customWidth="1"/>
    <col min="3" max="3" width="16.109375" style="210" customWidth="1"/>
    <col min="4" max="4" width="20.109375" style="210" customWidth="1"/>
    <col min="5" max="5" width="17.33203125" style="210" customWidth="1"/>
    <col min="6" max="6" width="20.5546875" style="210" bestFit="1" customWidth="1"/>
    <col min="7" max="7" width="9.6640625" style="210" customWidth="1"/>
    <col min="8" max="8" width="16.109375" style="210" customWidth="1"/>
    <col min="9" max="9" width="20.33203125" style="210" customWidth="1"/>
    <col min="10" max="10" width="18.44140625" style="210" customWidth="1"/>
    <col min="11" max="11" width="26.44140625" style="210" customWidth="1"/>
    <col min="12" max="12" width="9.109375" style="210"/>
    <col min="13" max="13" width="9.109375" style="211"/>
    <col min="14" max="256" width="9.109375" style="210"/>
    <col min="257" max="257" width="8.6640625" style="210" bestFit="1" customWidth="1"/>
    <col min="258" max="258" width="13.33203125" style="210" customWidth="1"/>
    <col min="259" max="259" width="16.109375" style="210" bestFit="1" customWidth="1"/>
    <col min="260" max="260" width="23.5546875" style="210" customWidth="1"/>
    <col min="261" max="261" width="17.33203125" style="210" customWidth="1"/>
    <col min="262" max="262" width="20.5546875" style="210" bestFit="1" customWidth="1"/>
    <col min="263" max="263" width="17.109375" style="210" customWidth="1"/>
    <col min="264" max="264" width="21.88671875" style="210" bestFit="1" customWidth="1"/>
    <col min="265" max="265" width="17.109375" style="210" bestFit="1" customWidth="1"/>
    <col min="266" max="266" width="18.109375" style="210" bestFit="1" customWidth="1"/>
    <col min="267" max="267" width="26.44140625" style="210" customWidth="1"/>
    <col min="268" max="512" width="9.109375" style="210"/>
    <col min="513" max="513" width="8.6640625" style="210" bestFit="1" customWidth="1"/>
    <col min="514" max="514" width="13.33203125" style="210" customWidth="1"/>
    <col min="515" max="515" width="16.109375" style="210" bestFit="1" customWidth="1"/>
    <col min="516" max="516" width="23.5546875" style="210" customWidth="1"/>
    <col min="517" max="517" width="17.33203125" style="210" customWidth="1"/>
    <col min="518" max="518" width="20.5546875" style="210" bestFit="1" customWidth="1"/>
    <col min="519" max="519" width="17.109375" style="210" customWidth="1"/>
    <col min="520" max="520" width="21.88671875" style="210" bestFit="1" customWidth="1"/>
    <col min="521" max="521" width="17.109375" style="210" bestFit="1" customWidth="1"/>
    <col min="522" max="522" width="18.109375" style="210" bestFit="1" customWidth="1"/>
    <col min="523" max="523" width="26.44140625" style="210" customWidth="1"/>
    <col min="524" max="768" width="9.109375" style="210"/>
    <col min="769" max="769" width="8.6640625" style="210" bestFit="1" customWidth="1"/>
    <col min="770" max="770" width="13.33203125" style="210" customWidth="1"/>
    <col min="771" max="771" width="16.109375" style="210" bestFit="1" customWidth="1"/>
    <col min="772" max="772" width="23.5546875" style="210" customWidth="1"/>
    <col min="773" max="773" width="17.33203125" style="210" customWidth="1"/>
    <col min="774" max="774" width="20.5546875" style="210" bestFit="1" customWidth="1"/>
    <col min="775" max="775" width="17.109375" style="210" customWidth="1"/>
    <col min="776" max="776" width="21.88671875" style="210" bestFit="1" customWidth="1"/>
    <col min="777" max="777" width="17.109375" style="210" bestFit="1" customWidth="1"/>
    <col min="778" max="778" width="18.109375" style="210" bestFit="1" customWidth="1"/>
    <col min="779" max="779" width="26.44140625" style="210" customWidth="1"/>
    <col min="780" max="1024" width="9.109375" style="210"/>
    <col min="1025" max="1025" width="8.6640625" style="210" bestFit="1" customWidth="1"/>
    <col min="1026" max="1026" width="13.33203125" style="210" customWidth="1"/>
    <col min="1027" max="1027" width="16.109375" style="210" bestFit="1" customWidth="1"/>
    <col min="1028" max="1028" width="23.5546875" style="210" customWidth="1"/>
    <col min="1029" max="1029" width="17.33203125" style="210" customWidth="1"/>
    <col min="1030" max="1030" width="20.5546875" style="210" bestFit="1" customWidth="1"/>
    <col min="1031" max="1031" width="17.109375" style="210" customWidth="1"/>
    <col min="1032" max="1032" width="21.88671875" style="210" bestFit="1" customWidth="1"/>
    <col min="1033" max="1033" width="17.109375" style="210" bestFit="1" customWidth="1"/>
    <col min="1034" max="1034" width="18.109375" style="210" bestFit="1" customWidth="1"/>
    <col min="1035" max="1035" width="26.44140625" style="210" customWidth="1"/>
    <col min="1036" max="1280" width="9.109375" style="210"/>
    <col min="1281" max="1281" width="8.6640625" style="210" bestFit="1" customWidth="1"/>
    <col min="1282" max="1282" width="13.33203125" style="210" customWidth="1"/>
    <col min="1283" max="1283" width="16.109375" style="210" bestFit="1" customWidth="1"/>
    <col min="1284" max="1284" width="23.5546875" style="210" customWidth="1"/>
    <col min="1285" max="1285" width="17.33203125" style="210" customWidth="1"/>
    <col min="1286" max="1286" width="20.5546875" style="210" bestFit="1" customWidth="1"/>
    <col min="1287" max="1287" width="17.109375" style="210" customWidth="1"/>
    <col min="1288" max="1288" width="21.88671875" style="210" bestFit="1" customWidth="1"/>
    <col min="1289" max="1289" width="17.109375" style="210" bestFit="1" customWidth="1"/>
    <col min="1290" max="1290" width="18.109375" style="210" bestFit="1" customWidth="1"/>
    <col min="1291" max="1291" width="26.44140625" style="210" customWidth="1"/>
    <col min="1292" max="1536" width="9.109375" style="210"/>
    <col min="1537" max="1537" width="8.6640625" style="210" bestFit="1" customWidth="1"/>
    <col min="1538" max="1538" width="13.33203125" style="210" customWidth="1"/>
    <col min="1539" max="1539" width="16.109375" style="210" bestFit="1" customWidth="1"/>
    <col min="1540" max="1540" width="23.5546875" style="210" customWidth="1"/>
    <col min="1541" max="1541" width="17.33203125" style="210" customWidth="1"/>
    <col min="1542" max="1542" width="20.5546875" style="210" bestFit="1" customWidth="1"/>
    <col min="1543" max="1543" width="17.109375" style="210" customWidth="1"/>
    <col min="1544" max="1544" width="21.88671875" style="210" bestFit="1" customWidth="1"/>
    <col min="1545" max="1545" width="17.109375" style="210" bestFit="1" customWidth="1"/>
    <col min="1546" max="1546" width="18.109375" style="210" bestFit="1" customWidth="1"/>
    <col min="1547" max="1547" width="26.44140625" style="210" customWidth="1"/>
    <col min="1548" max="1792" width="9.109375" style="210"/>
    <col min="1793" max="1793" width="8.6640625" style="210" bestFit="1" customWidth="1"/>
    <col min="1794" max="1794" width="13.33203125" style="210" customWidth="1"/>
    <col min="1795" max="1795" width="16.109375" style="210" bestFit="1" customWidth="1"/>
    <col min="1796" max="1796" width="23.5546875" style="210" customWidth="1"/>
    <col min="1797" max="1797" width="17.33203125" style="210" customWidth="1"/>
    <col min="1798" max="1798" width="20.5546875" style="210" bestFit="1" customWidth="1"/>
    <col min="1799" max="1799" width="17.109375" style="210" customWidth="1"/>
    <col min="1800" max="1800" width="21.88671875" style="210" bestFit="1" customWidth="1"/>
    <col min="1801" max="1801" width="17.109375" style="210" bestFit="1" customWidth="1"/>
    <col min="1802" max="1802" width="18.109375" style="210" bestFit="1" customWidth="1"/>
    <col min="1803" max="1803" width="26.44140625" style="210" customWidth="1"/>
    <col min="1804" max="2048" width="9.109375" style="210"/>
    <col min="2049" max="2049" width="8.6640625" style="210" bestFit="1" customWidth="1"/>
    <col min="2050" max="2050" width="13.33203125" style="210" customWidth="1"/>
    <col min="2051" max="2051" width="16.109375" style="210" bestFit="1" customWidth="1"/>
    <col min="2052" max="2052" width="23.5546875" style="210" customWidth="1"/>
    <col min="2053" max="2053" width="17.33203125" style="210" customWidth="1"/>
    <col min="2054" max="2054" width="20.5546875" style="210" bestFit="1" customWidth="1"/>
    <col min="2055" max="2055" width="17.109375" style="210" customWidth="1"/>
    <col min="2056" max="2056" width="21.88671875" style="210" bestFit="1" customWidth="1"/>
    <col min="2057" max="2057" width="17.109375" style="210" bestFit="1" customWidth="1"/>
    <col min="2058" max="2058" width="18.109375" style="210" bestFit="1" customWidth="1"/>
    <col min="2059" max="2059" width="26.44140625" style="210" customWidth="1"/>
    <col min="2060" max="2304" width="9.109375" style="210"/>
    <col min="2305" max="2305" width="8.6640625" style="210" bestFit="1" customWidth="1"/>
    <col min="2306" max="2306" width="13.33203125" style="210" customWidth="1"/>
    <col min="2307" max="2307" width="16.109375" style="210" bestFit="1" customWidth="1"/>
    <col min="2308" max="2308" width="23.5546875" style="210" customWidth="1"/>
    <col min="2309" max="2309" width="17.33203125" style="210" customWidth="1"/>
    <col min="2310" max="2310" width="20.5546875" style="210" bestFit="1" customWidth="1"/>
    <col min="2311" max="2311" width="17.109375" style="210" customWidth="1"/>
    <col min="2312" max="2312" width="21.88671875" style="210" bestFit="1" customWidth="1"/>
    <col min="2313" max="2313" width="17.109375" style="210" bestFit="1" customWidth="1"/>
    <col min="2314" max="2314" width="18.109375" style="210" bestFit="1" customWidth="1"/>
    <col min="2315" max="2315" width="26.44140625" style="210" customWidth="1"/>
    <col min="2316" max="2560" width="9.109375" style="210"/>
    <col min="2561" max="2561" width="8.6640625" style="210" bestFit="1" customWidth="1"/>
    <col min="2562" max="2562" width="13.33203125" style="210" customWidth="1"/>
    <col min="2563" max="2563" width="16.109375" style="210" bestFit="1" customWidth="1"/>
    <col min="2564" max="2564" width="23.5546875" style="210" customWidth="1"/>
    <col min="2565" max="2565" width="17.33203125" style="210" customWidth="1"/>
    <col min="2566" max="2566" width="20.5546875" style="210" bestFit="1" customWidth="1"/>
    <col min="2567" max="2567" width="17.109375" style="210" customWidth="1"/>
    <col min="2568" max="2568" width="21.88671875" style="210" bestFit="1" customWidth="1"/>
    <col min="2569" max="2569" width="17.109375" style="210" bestFit="1" customWidth="1"/>
    <col min="2570" max="2570" width="18.109375" style="210" bestFit="1" customWidth="1"/>
    <col min="2571" max="2571" width="26.44140625" style="210" customWidth="1"/>
    <col min="2572" max="2816" width="9.109375" style="210"/>
    <col min="2817" max="2817" width="8.6640625" style="210" bestFit="1" customWidth="1"/>
    <col min="2818" max="2818" width="13.33203125" style="210" customWidth="1"/>
    <col min="2819" max="2819" width="16.109375" style="210" bestFit="1" customWidth="1"/>
    <col min="2820" max="2820" width="23.5546875" style="210" customWidth="1"/>
    <col min="2821" max="2821" width="17.33203125" style="210" customWidth="1"/>
    <col min="2822" max="2822" width="20.5546875" style="210" bestFit="1" customWidth="1"/>
    <col min="2823" max="2823" width="17.109375" style="210" customWidth="1"/>
    <col min="2824" max="2824" width="21.88671875" style="210" bestFit="1" customWidth="1"/>
    <col min="2825" max="2825" width="17.109375" style="210" bestFit="1" customWidth="1"/>
    <col min="2826" max="2826" width="18.109375" style="210" bestFit="1" customWidth="1"/>
    <col min="2827" max="2827" width="26.44140625" style="210" customWidth="1"/>
    <col min="2828" max="3072" width="9.109375" style="210"/>
    <col min="3073" max="3073" width="8.6640625" style="210" bestFit="1" customWidth="1"/>
    <col min="3074" max="3074" width="13.33203125" style="210" customWidth="1"/>
    <col min="3075" max="3075" width="16.109375" style="210" bestFit="1" customWidth="1"/>
    <col min="3076" max="3076" width="23.5546875" style="210" customWidth="1"/>
    <col min="3077" max="3077" width="17.33203125" style="210" customWidth="1"/>
    <col min="3078" max="3078" width="20.5546875" style="210" bestFit="1" customWidth="1"/>
    <col min="3079" max="3079" width="17.109375" style="210" customWidth="1"/>
    <col min="3080" max="3080" width="21.88671875" style="210" bestFit="1" customWidth="1"/>
    <col min="3081" max="3081" width="17.109375" style="210" bestFit="1" customWidth="1"/>
    <col min="3082" max="3082" width="18.109375" style="210" bestFit="1" customWidth="1"/>
    <col min="3083" max="3083" width="26.44140625" style="210" customWidth="1"/>
    <col min="3084" max="3328" width="9.109375" style="210"/>
    <col min="3329" max="3329" width="8.6640625" style="210" bestFit="1" customWidth="1"/>
    <col min="3330" max="3330" width="13.33203125" style="210" customWidth="1"/>
    <col min="3331" max="3331" width="16.109375" style="210" bestFit="1" customWidth="1"/>
    <col min="3332" max="3332" width="23.5546875" style="210" customWidth="1"/>
    <col min="3333" max="3333" width="17.33203125" style="210" customWidth="1"/>
    <col min="3334" max="3334" width="20.5546875" style="210" bestFit="1" customWidth="1"/>
    <col min="3335" max="3335" width="17.109375" style="210" customWidth="1"/>
    <col min="3336" max="3336" width="21.88671875" style="210" bestFit="1" customWidth="1"/>
    <col min="3337" max="3337" width="17.109375" style="210" bestFit="1" customWidth="1"/>
    <col min="3338" max="3338" width="18.109375" style="210" bestFit="1" customWidth="1"/>
    <col min="3339" max="3339" width="26.44140625" style="210" customWidth="1"/>
    <col min="3340" max="3584" width="9.109375" style="210"/>
    <col min="3585" max="3585" width="8.6640625" style="210" bestFit="1" customWidth="1"/>
    <col min="3586" max="3586" width="13.33203125" style="210" customWidth="1"/>
    <col min="3587" max="3587" width="16.109375" style="210" bestFit="1" customWidth="1"/>
    <col min="3588" max="3588" width="23.5546875" style="210" customWidth="1"/>
    <col min="3589" max="3589" width="17.33203125" style="210" customWidth="1"/>
    <col min="3590" max="3590" width="20.5546875" style="210" bestFit="1" customWidth="1"/>
    <col min="3591" max="3591" width="17.109375" style="210" customWidth="1"/>
    <col min="3592" max="3592" width="21.88671875" style="210" bestFit="1" customWidth="1"/>
    <col min="3593" max="3593" width="17.109375" style="210" bestFit="1" customWidth="1"/>
    <col min="3594" max="3594" width="18.109375" style="210" bestFit="1" customWidth="1"/>
    <col min="3595" max="3595" width="26.44140625" style="210" customWidth="1"/>
    <col min="3596" max="3840" width="9.109375" style="210"/>
    <col min="3841" max="3841" width="8.6640625" style="210" bestFit="1" customWidth="1"/>
    <col min="3842" max="3842" width="13.33203125" style="210" customWidth="1"/>
    <col min="3843" max="3843" width="16.109375" style="210" bestFit="1" customWidth="1"/>
    <col min="3844" max="3844" width="23.5546875" style="210" customWidth="1"/>
    <col min="3845" max="3845" width="17.33203125" style="210" customWidth="1"/>
    <col min="3846" max="3846" width="20.5546875" style="210" bestFit="1" customWidth="1"/>
    <col min="3847" max="3847" width="17.109375" style="210" customWidth="1"/>
    <col min="3848" max="3848" width="21.88671875" style="210" bestFit="1" customWidth="1"/>
    <col min="3849" max="3849" width="17.109375" style="210" bestFit="1" customWidth="1"/>
    <col min="3850" max="3850" width="18.109375" style="210" bestFit="1" customWidth="1"/>
    <col min="3851" max="3851" width="26.44140625" style="210" customWidth="1"/>
    <col min="3852" max="4096" width="9.109375" style="210"/>
    <col min="4097" max="4097" width="8.6640625" style="210" bestFit="1" customWidth="1"/>
    <col min="4098" max="4098" width="13.33203125" style="210" customWidth="1"/>
    <col min="4099" max="4099" width="16.109375" style="210" bestFit="1" customWidth="1"/>
    <col min="4100" max="4100" width="23.5546875" style="210" customWidth="1"/>
    <col min="4101" max="4101" width="17.33203125" style="210" customWidth="1"/>
    <col min="4102" max="4102" width="20.5546875" style="210" bestFit="1" customWidth="1"/>
    <col min="4103" max="4103" width="17.109375" style="210" customWidth="1"/>
    <col min="4104" max="4104" width="21.88671875" style="210" bestFit="1" customWidth="1"/>
    <col min="4105" max="4105" width="17.109375" style="210" bestFit="1" customWidth="1"/>
    <col min="4106" max="4106" width="18.109375" style="210" bestFit="1" customWidth="1"/>
    <col min="4107" max="4107" width="26.44140625" style="210" customWidth="1"/>
    <col min="4108" max="4352" width="9.109375" style="210"/>
    <col min="4353" max="4353" width="8.6640625" style="210" bestFit="1" customWidth="1"/>
    <col min="4354" max="4354" width="13.33203125" style="210" customWidth="1"/>
    <col min="4355" max="4355" width="16.109375" style="210" bestFit="1" customWidth="1"/>
    <col min="4356" max="4356" width="23.5546875" style="210" customWidth="1"/>
    <col min="4357" max="4357" width="17.33203125" style="210" customWidth="1"/>
    <col min="4358" max="4358" width="20.5546875" style="210" bestFit="1" customWidth="1"/>
    <col min="4359" max="4359" width="17.109375" style="210" customWidth="1"/>
    <col min="4360" max="4360" width="21.88671875" style="210" bestFit="1" customWidth="1"/>
    <col min="4361" max="4361" width="17.109375" style="210" bestFit="1" customWidth="1"/>
    <col min="4362" max="4362" width="18.109375" style="210" bestFit="1" customWidth="1"/>
    <col min="4363" max="4363" width="26.44140625" style="210" customWidth="1"/>
    <col min="4364" max="4608" width="9.109375" style="210"/>
    <col min="4609" max="4609" width="8.6640625" style="210" bestFit="1" customWidth="1"/>
    <col min="4610" max="4610" width="13.33203125" style="210" customWidth="1"/>
    <col min="4611" max="4611" width="16.109375" style="210" bestFit="1" customWidth="1"/>
    <col min="4612" max="4612" width="23.5546875" style="210" customWidth="1"/>
    <col min="4613" max="4613" width="17.33203125" style="210" customWidth="1"/>
    <col min="4614" max="4614" width="20.5546875" style="210" bestFit="1" customWidth="1"/>
    <col min="4615" max="4615" width="17.109375" style="210" customWidth="1"/>
    <col min="4616" max="4616" width="21.88671875" style="210" bestFit="1" customWidth="1"/>
    <col min="4617" max="4617" width="17.109375" style="210" bestFit="1" customWidth="1"/>
    <col min="4618" max="4618" width="18.109375" style="210" bestFit="1" customWidth="1"/>
    <col min="4619" max="4619" width="26.44140625" style="210" customWidth="1"/>
    <col min="4620" max="4864" width="9.109375" style="210"/>
    <col min="4865" max="4865" width="8.6640625" style="210" bestFit="1" customWidth="1"/>
    <col min="4866" max="4866" width="13.33203125" style="210" customWidth="1"/>
    <col min="4867" max="4867" width="16.109375" style="210" bestFit="1" customWidth="1"/>
    <col min="4868" max="4868" width="23.5546875" style="210" customWidth="1"/>
    <col min="4869" max="4869" width="17.33203125" style="210" customWidth="1"/>
    <col min="4870" max="4870" width="20.5546875" style="210" bestFit="1" customWidth="1"/>
    <col min="4871" max="4871" width="17.109375" style="210" customWidth="1"/>
    <col min="4872" max="4872" width="21.88671875" style="210" bestFit="1" customWidth="1"/>
    <col min="4873" max="4873" width="17.109375" style="210" bestFit="1" customWidth="1"/>
    <col min="4874" max="4874" width="18.109375" style="210" bestFit="1" customWidth="1"/>
    <col min="4875" max="4875" width="26.44140625" style="210" customWidth="1"/>
    <col min="4876" max="5120" width="9.109375" style="210"/>
    <col min="5121" max="5121" width="8.6640625" style="210" bestFit="1" customWidth="1"/>
    <col min="5122" max="5122" width="13.33203125" style="210" customWidth="1"/>
    <col min="5123" max="5123" width="16.109375" style="210" bestFit="1" customWidth="1"/>
    <col min="5124" max="5124" width="23.5546875" style="210" customWidth="1"/>
    <col min="5125" max="5125" width="17.33203125" style="210" customWidth="1"/>
    <col min="5126" max="5126" width="20.5546875" style="210" bestFit="1" customWidth="1"/>
    <col min="5127" max="5127" width="17.109375" style="210" customWidth="1"/>
    <col min="5128" max="5128" width="21.88671875" style="210" bestFit="1" customWidth="1"/>
    <col min="5129" max="5129" width="17.109375" style="210" bestFit="1" customWidth="1"/>
    <col min="5130" max="5130" width="18.109375" style="210" bestFit="1" customWidth="1"/>
    <col min="5131" max="5131" width="26.44140625" style="210" customWidth="1"/>
    <col min="5132" max="5376" width="9.109375" style="210"/>
    <col min="5377" max="5377" width="8.6640625" style="210" bestFit="1" customWidth="1"/>
    <col min="5378" max="5378" width="13.33203125" style="210" customWidth="1"/>
    <col min="5379" max="5379" width="16.109375" style="210" bestFit="1" customWidth="1"/>
    <col min="5380" max="5380" width="23.5546875" style="210" customWidth="1"/>
    <col min="5381" max="5381" width="17.33203125" style="210" customWidth="1"/>
    <col min="5382" max="5382" width="20.5546875" style="210" bestFit="1" customWidth="1"/>
    <col min="5383" max="5383" width="17.109375" style="210" customWidth="1"/>
    <col min="5384" max="5384" width="21.88671875" style="210" bestFit="1" customWidth="1"/>
    <col min="5385" max="5385" width="17.109375" style="210" bestFit="1" customWidth="1"/>
    <col min="5386" max="5386" width="18.109375" style="210" bestFit="1" customWidth="1"/>
    <col min="5387" max="5387" width="26.44140625" style="210" customWidth="1"/>
    <col min="5388" max="5632" width="9.109375" style="210"/>
    <col min="5633" max="5633" width="8.6640625" style="210" bestFit="1" customWidth="1"/>
    <col min="5634" max="5634" width="13.33203125" style="210" customWidth="1"/>
    <col min="5635" max="5635" width="16.109375" style="210" bestFit="1" customWidth="1"/>
    <col min="5636" max="5636" width="23.5546875" style="210" customWidth="1"/>
    <col min="5637" max="5637" width="17.33203125" style="210" customWidth="1"/>
    <col min="5638" max="5638" width="20.5546875" style="210" bestFit="1" customWidth="1"/>
    <col min="5639" max="5639" width="17.109375" style="210" customWidth="1"/>
    <col min="5640" max="5640" width="21.88671875" style="210" bestFit="1" customWidth="1"/>
    <col min="5641" max="5641" width="17.109375" style="210" bestFit="1" customWidth="1"/>
    <col min="5642" max="5642" width="18.109375" style="210" bestFit="1" customWidth="1"/>
    <col min="5643" max="5643" width="26.44140625" style="210" customWidth="1"/>
    <col min="5644" max="5888" width="9.109375" style="210"/>
    <col min="5889" max="5889" width="8.6640625" style="210" bestFit="1" customWidth="1"/>
    <col min="5890" max="5890" width="13.33203125" style="210" customWidth="1"/>
    <col min="5891" max="5891" width="16.109375" style="210" bestFit="1" customWidth="1"/>
    <col min="5892" max="5892" width="23.5546875" style="210" customWidth="1"/>
    <col min="5893" max="5893" width="17.33203125" style="210" customWidth="1"/>
    <col min="5894" max="5894" width="20.5546875" style="210" bestFit="1" customWidth="1"/>
    <col min="5895" max="5895" width="17.109375" style="210" customWidth="1"/>
    <col min="5896" max="5896" width="21.88671875" style="210" bestFit="1" customWidth="1"/>
    <col min="5897" max="5897" width="17.109375" style="210" bestFit="1" customWidth="1"/>
    <col min="5898" max="5898" width="18.109375" style="210" bestFit="1" customWidth="1"/>
    <col min="5899" max="5899" width="26.44140625" style="210" customWidth="1"/>
    <col min="5900" max="6144" width="9.109375" style="210"/>
    <col min="6145" max="6145" width="8.6640625" style="210" bestFit="1" customWidth="1"/>
    <col min="6146" max="6146" width="13.33203125" style="210" customWidth="1"/>
    <col min="6147" max="6147" width="16.109375" style="210" bestFit="1" customWidth="1"/>
    <col min="6148" max="6148" width="23.5546875" style="210" customWidth="1"/>
    <col min="6149" max="6149" width="17.33203125" style="210" customWidth="1"/>
    <col min="6150" max="6150" width="20.5546875" style="210" bestFit="1" customWidth="1"/>
    <col min="6151" max="6151" width="17.109375" style="210" customWidth="1"/>
    <col min="6152" max="6152" width="21.88671875" style="210" bestFit="1" customWidth="1"/>
    <col min="6153" max="6153" width="17.109375" style="210" bestFit="1" customWidth="1"/>
    <col min="6154" max="6154" width="18.109375" style="210" bestFit="1" customWidth="1"/>
    <col min="6155" max="6155" width="26.44140625" style="210" customWidth="1"/>
    <col min="6156" max="6400" width="9.109375" style="210"/>
    <col min="6401" max="6401" width="8.6640625" style="210" bestFit="1" customWidth="1"/>
    <col min="6402" max="6402" width="13.33203125" style="210" customWidth="1"/>
    <col min="6403" max="6403" width="16.109375" style="210" bestFit="1" customWidth="1"/>
    <col min="6404" max="6404" width="23.5546875" style="210" customWidth="1"/>
    <col min="6405" max="6405" width="17.33203125" style="210" customWidth="1"/>
    <col min="6406" max="6406" width="20.5546875" style="210" bestFit="1" customWidth="1"/>
    <col min="6407" max="6407" width="17.109375" style="210" customWidth="1"/>
    <col min="6408" max="6408" width="21.88671875" style="210" bestFit="1" customWidth="1"/>
    <col min="6409" max="6409" width="17.109375" style="210" bestFit="1" customWidth="1"/>
    <col min="6410" max="6410" width="18.109375" style="210" bestFit="1" customWidth="1"/>
    <col min="6411" max="6411" width="26.44140625" style="210" customWidth="1"/>
    <col min="6412" max="6656" width="9.109375" style="210"/>
    <col min="6657" max="6657" width="8.6640625" style="210" bestFit="1" customWidth="1"/>
    <col min="6658" max="6658" width="13.33203125" style="210" customWidth="1"/>
    <col min="6659" max="6659" width="16.109375" style="210" bestFit="1" customWidth="1"/>
    <col min="6660" max="6660" width="23.5546875" style="210" customWidth="1"/>
    <col min="6661" max="6661" width="17.33203125" style="210" customWidth="1"/>
    <col min="6662" max="6662" width="20.5546875" style="210" bestFit="1" customWidth="1"/>
    <col min="6663" max="6663" width="17.109375" style="210" customWidth="1"/>
    <col min="6664" max="6664" width="21.88671875" style="210" bestFit="1" customWidth="1"/>
    <col min="6665" max="6665" width="17.109375" style="210" bestFit="1" customWidth="1"/>
    <col min="6666" max="6666" width="18.109375" style="210" bestFit="1" customWidth="1"/>
    <col min="6667" max="6667" width="26.44140625" style="210" customWidth="1"/>
    <col min="6668" max="6912" width="9.109375" style="210"/>
    <col min="6913" max="6913" width="8.6640625" style="210" bestFit="1" customWidth="1"/>
    <col min="6914" max="6914" width="13.33203125" style="210" customWidth="1"/>
    <col min="6915" max="6915" width="16.109375" style="210" bestFit="1" customWidth="1"/>
    <col min="6916" max="6916" width="23.5546875" style="210" customWidth="1"/>
    <col min="6917" max="6917" width="17.33203125" style="210" customWidth="1"/>
    <col min="6918" max="6918" width="20.5546875" style="210" bestFit="1" customWidth="1"/>
    <col min="6919" max="6919" width="17.109375" style="210" customWidth="1"/>
    <col min="6920" max="6920" width="21.88671875" style="210" bestFit="1" customWidth="1"/>
    <col min="6921" max="6921" width="17.109375" style="210" bestFit="1" customWidth="1"/>
    <col min="6922" max="6922" width="18.109375" style="210" bestFit="1" customWidth="1"/>
    <col min="6923" max="6923" width="26.44140625" style="210" customWidth="1"/>
    <col min="6924" max="7168" width="9.109375" style="210"/>
    <col min="7169" max="7169" width="8.6640625" style="210" bestFit="1" customWidth="1"/>
    <col min="7170" max="7170" width="13.33203125" style="210" customWidth="1"/>
    <col min="7171" max="7171" width="16.109375" style="210" bestFit="1" customWidth="1"/>
    <col min="7172" max="7172" width="23.5546875" style="210" customWidth="1"/>
    <col min="7173" max="7173" width="17.33203125" style="210" customWidth="1"/>
    <col min="7174" max="7174" width="20.5546875" style="210" bestFit="1" customWidth="1"/>
    <col min="7175" max="7175" width="17.109375" style="210" customWidth="1"/>
    <col min="7176" max="7176" width="21.88671875" style="210" bestFit="1" customWidth="1"/>
    <col min="7177" max="7177" width="17.109375" style="210" bestFit="1" customWidth="1"/>
    <col min="7178" max="7178" width="18.109375" style="210" bestFit="1" customWidth="1"/>
    <col min="7179" max="7179" width="26.44140625" style="210" customWidth="1"/>
    <col min="7180" max="7424" width="9.109375" style="210"/>
    <col min="7425" max="7425" width="8.6640625" style="210" bestFit="1" customWidth="1"/>
    <col min="7426" max="7426" width="13.33203125" style="210" customWidth="1"/>
    <col min="7427" max="7427" width="16.109375" style="210" bestFit="1" customWidth="1"/>
    <col min="7428" max="7428" width="23.5546875" style="210" customWidth="1"/>
    <col min="7429" max="7429" width="17.33203125" style="210" customWidth="1"/>
    <col min="7430" max="7430" width="20.5546875" style="210" bestFit="1" customWidth="1"/>
    <col min="7431" max="7431" width="17.109375" style="210" customWidth="1"/>
    <col min="7432" max="7432" width="21.88671875" style="210" bestFit="1" customWidth="1"/>
    <col min="7433" max="7433" width="17.109375" style="210" bestFit="1" customWidth="1"/>
    <col min="7434" max="7434" width="18.109375" style="210" bestFit="1" customWidth="1"/>
    <col min="7435" max="7435" width="26.44140625" style="210" customWidth="1"/>
    <col min="7436" max="7680" width="9.109375" style="210"/>
    <col min="7681" max="7681" width="8.6640625" style="210" bestFit="1" customWidth="1"/>
    <col min="7682" max="7682" width="13.33203125" style="210" customWidth="1"/>
    <col min="7683" max="7683" width="16.109375" style="210" bestFit="1" customWidth="1"/>
    <col min="7684" max="7684" width="23.5546875" style="210" customWidth="1"/>
    <col min="7685" max="7685" width="17.33203125" style="210" customWidth="1"/>
    <col min="7686" max="7686" width="20.5546875" style="210" bestFit="1" customWidth="1"/>
    <col min="7687" max="7687" width="17.109375" style="210" customWidth="1"/>
    <col min="7688" max="7688" width="21.88671875" style="210" bestFit="1" customWidth="1"/>
    <col min="7689" max="7689" width="17.109375" style="210" bestFit="1" customWidth="1"/>
    <col min="7690" max="7690" width="18.109375" style="210" bestFit="1" customWidth="1"/>
    <col min="7691" max="7691" width="26.44140625" style="210" customWidth="1"/>
    <col min="7692" max="7936" width="9.109375" style="210"/>
    <col min="7937" max="7937" width="8.6640625" style="210" bestFit="1" customWidth="1"/>
    <col min="7938" max="7938" width="13.33203125" style="210" customWidth="1"/>
    <col min="7939" max="7939" width="16.109375" style="210" bestFit="1" customWidth="1"/>
    <col min="7940" max="7940" width="23.5546875" style="210" customWidth="1"/>
    <col min="7941" max="7941" width="17.33203125" style="210" customWidth="1"/>
    <col min="7942" max="7942" width="20.5546875" style="210" bestFit="1" customWidth="1"/>
    <col min="7943" max="7943" width="17.109375" style="210" customWidth="1"/>
    <col min="7944" max="7944" width="21.88671875" style="210" bestFit="1" customWidth="1"/>
    <col min="7945" max="7945" width="17.109375" style="210" bestFit="1" customWidth="1"/>
    <col min="7946" max="7946" width="18.109375" style="210" bestFit="1" customWidth="1"/>
    <col min="7947" max="7947" width="26.44140625" style="210" customWidth="1"/>
    <col min="7948" max="8192" width="9.109375" style="210"/>
    <col min="8193" max="8193" width="8.6640625" style="210" bestFit="1" customWidth="1"/>
    <col min="8194" max="8194" width="13.33203125" style="210" customWidth="1"/>
    <col min="8195" max="8195" width="16.109375" style="210" bestFit="1" customWidth="1"/>
    <col min="8196" max="8196" width="23.5546875" style="210" customWidth="1"/>
    <col min="8197" max="8197" width="17.33203125" style="210" customWidth="1"/>
    <col min="8198" max="8198" width="20.5546875" style="210" bestFit="1" customWidth="1"/>
    <col min="8199" max="8199" width="17.109375" style="210" customWidth="1"/>
    <col min="8200" max="8200" width="21.88671875" style="210" bestFit="1" customWidth="1"/>
    <col min="8201" max="8201" width="17.109375" style="210" bestFit="1" customWidth="1"/>
    <col min="8202" max="8202" width="18.109375" style="210" bestFit="1" customWidth="1"/>
    <col min="8203" max="8203" width="26.44140625" style="210" customWidth="1"/>
    <col min="8204" max="8448" width="9.109375" style="210"/>
    <col min="8449" max="8449" width="8.6640625" style="210" bestFit="1" customWidth="1"/>
    <col min="8450" max="8450" width="13.33203125" style="210" customWidth="1"/>
    <col min="8451" max="8451" width="16.109375" style="210" bestFit="1" customWidth="1"/>
    <col min="8452" max="8452" width="23.5546875" style="210" customWidth="1"/>
    <col min="8453" max="8453" width="17.33203125" style="210" customWidth="1"/>
    <col min="8454" max="8454" width="20.5546875" style="210" bestFit="1" customWidth="1"/>
    <col min="8455" max="8455" width="17.109375" style="210" customWidth="1"/>
    <col min="8456" max="8456" width="21.88671875" style="210" bestFit="1" customWidth="1"/>
    <col min="8457" max="8457" width="17.109375" style="210" bestFit="1" customWidth="1"/>
    <col min="8458" max="8458" width="18.109375" style="210" bestFit="1" customWidth="1"/>
    <col min="8459" max="8459" width="26.44140625" style="210" customWidth="1"/>
    <col min="8460" max="8704" width="9.109375" style="210"/>
    <col min="8705" max="8705" width="8.6640625" style="210" bestFit="1" customWidth="1"/>
    <col min="8706" max="8706" width="13.33203125" style="210" customWidth="1"/>
    <col min="8707" max="8707" width="16.109375" style="210" bestFit="1" customWidth="1"/>
    <col min="8708" max="8708" width="23.5546875" style="210" customWidth="1"/>
    <col min="8709" max="8709" width="17.33203125" style="210" customWidth="1"/>
    <col min="8710" max="8710" width="20.5546875" style="210" bestFit="1" customWidth="1"/>
    <col min="8711" max="8711" width="17.109375" style="210" customWidth="1"/>
    <col min="8712" max="8712" width="21.88671875" style="210" bestFit="1" customWidth="1"/>
    <col min="8713" max="8713" width="17.109375" style="210" bestFit="1" customWidth="1"/>
    <col min="8714" max="8714" width="18.109375" style="210" bestFit="1" customWidth="1"/>
    <col min="8715" max="8715" width="26.44140625" style="210" customWidth="1"/>
    <col min="8716" max="8960" width="9.109375" style="210"/>
    <col min="8961" max="8961" width="8.6640625" style="210" bestFit="1" customWidth="1"/>
    <col min="8962" max="8962" width="13.33203125" style="210" customWidth="1"/>
    <col min="8963" max="8963" width="16.109375" style="210" bestFit="1" customWidth="1"/>
    <col min="8964" max="8964" width="23.5546875" style="210" customWidth="1"/>
    <col min="8965" max="8965" width="17.33203125" style="210" customWidth="1"/>
    <col min="8966" max="8966" width="20.5546875" style="210" bestFit="1" customWidth="1"/>
    <col min="8967" max="8967" width="17.109375" style="210" customWidth="1"/>
    <col min="8968" max="8968" width="21.88671875" style="210" bestFit="1" customWidth="1"/>
    <col min="8969" max="8969" width="17.109375" style="210" bestFit="1" customWidth="1"/>
    <col min="8970" max="8970" width="18.109375" style="210" bestFit="1" customWidth="1"/>
    <col min="8971" max="8971" width="26.44140625" style="210" customWidth="1"/>
    <col min="8972" max="9216" width="9.109375" style="210"/>
    <col min="9217" max="9217" width="8.6640625" style="210" bestFit="1" customWidth="1"/>
    <col min="9218" max="9218" width="13.33203125" style="210" customWidth="1"/>
    <col min="9219" max="9219" width="16.109375" style="210" bestFit="1" customWidth="1"/>
    <col min="9220" max="9220" width="23.5546875" style="210" customWidth="1"/>
    <col min="9221" max="9221" width="17.33203125" style="210" customWidth="1"/>
    <col min="9222" max="9222" width="20.5546875" style="210" bestFit="1" customWidth="1"/>
    <col min="9223" max="9223" width="17.109375" style="210" customWidth="1"/>
    <col min="9224" max="9224" width="21.88671875" style="210" bestFit="1" customWidth="1"/>
    <col min="9225" max="9225" width="17.109375" style="210" bestFit="1" customWidth="1"/>
    <col min="9226" max="9226" width="18.109375" style="210" bestFit="1" customWidth="1"/>
    <col min="9227" max="9227" width="26.44140625" style="210" customWidth="1"/>
    <col min="9228" max="9472" width="9.109375" style="210"/>
    <col min="9473" max="9473" width="8.6640625" style="210" bestFit="1" customWidth="1"/>
    <col min="9474" max="9474" width="13.33203125" style="210" customWidth="1"/>
    <col min="9475" max="9475" width="16.109375" style="210" bestFit="1" customWidth="1"/>
    <col min="9476" max="9476" width="23.5546875" style="210" customWidth="1"/>
    <col min="9477" max="9477" width="17.33203125" style="210" customWidth="1"/>
    <col min="9478" max="9478" width="20.5546875" style="210" bestFit="1" customWidth="1"/>
    <col min="9479" max="9479" width="17.109375" style="210" customWidth="1"/>
    <col min="9480" max="9480" width="21.88671875" style="210" bestFit="1" customWidth="1"/>
    <col min="9481" max="9481" width="17.109375" style="210" bestFit="1" customWidth="1"/>
    <col min="9482" max="9482" width="18.109375" style="210" bestFit="1" customWidth="1"/>
    <col min="9483" max="9483" width="26.44140625" style="210" customWidth="1"/>
    <col min="9484" max="9728" width="9.109375" style="210"/>
    <col min="9729" max="9729" width="8.6640625" style="210" bestFit="1" customWidth="1"/>
    <col min="9730" max="9730" width="13.33203125" style="210" customWidth="1"/>
    <col min="9731" max="9731" width="16.109375" style="210" bestFit="1" customWidth="1"/>
    <col min="9732" max="9732" width="23.5546875" style="210" customWidth="1"/>
    <col min="9733" max="9733" width="17.33203125" style="210" customWidth="1"/>
    <col min="9734" max="9734" width="20.5546875" style="210" bestFit="1" customWidth="1"/>
    <col min="9735" max="9735" width="17.109375" style="210" customWidth="1"/>
    <col min="9736" max="9736" width="21.88671875" style="210" bestFit="1" customWidth="1"/>
    <col min="9737" max="9737" width="17.109375" style="210" bestFit="1" customWidth="1"/>
    <col min="9738" max="9738" width="18.109375" style="210" bestFit="1" customWidth="1"/>
    <col min="9739" max="9739" width="26.44140625" style="210" customWidth="1"/>
    <col min="9740" max="9984" width="9.109375" style="210"/>
    <col min="9985" max="9985" width="8.6640625" style="210" bestFit="1" customWidth="1"/>
    <col min="9986" max="9986" width="13.33203125" style="210" customWidth="1"/>
    <col min="9987" max="9987" width="16.109375" style="210" bestFit="1" customWidth="1"/>
    <col min="9988" max="9988" width="23.5546875" style="210" customWidth="1"/>
    <col min="9989" max="9989" width="17.33203125" style="210" customWidth="1"/>
    <col min="9990" max="9990" width="20.5546875" style="210" bestFit="1" customWidth="1"/>
    <col min="9991" max="9991" width="17.109375" style="210" customWidth="1"/>
    <col min="9992" max="9992" width="21.88671875" style="210" bestFit="1" customWidth="1"/>
    <col min="9993" max="9993" width="17.109375" style="210" bestFit="1" customWidth="1"/>
    <col min="9994" max="9994" width="18.109375" style="210" bestFit="1" customWidth="1"/>
    <col min="9995" max="9995" width="26.44140625" style="210" customWidth="1"/>
    <col min="9996" max="10240" width="9.109375" style="210"/>
    <col min="10241" max="10241" width="8.6640625" style="210" bestFit="1" customWidth="1"/>
    <col min="10242" max="10242" width="13.33203125" style="210" customWidth="1"/>
    <col min="10243" max="10243" width="16.109375" style="210" bestFit="1" customWidth="1"/>
    <col min="10244" max="10244" width="23.5546875" style="210" customWidth="1"/>
    <col min="10245" max="10245" width="17.33203125" style="210" customWidth="1"/>
    <col min="10246" max="10246" width="20.5546875" style="210" bestFit="1" customWidth="1"/>
    <col min="10247" max="10247" width="17.109375" style="210" customWidth="1"/>
    <col min="10248" max="10248" width="21.88671875" style="210" bestFit="1" customWidth="1"/>
    <col min="10249" max="10249" width="17.109375" style="210" bestFit="1" customWidth="1"/>
    <col min="10250" max="10250" width="18.109375" style="210" bestFit="1" customWidth="1"/>
    <col min="10251" max="10251" width="26.44140625" style="210" customWidth="1"/>
    <col min="10252" max="10496" width="9.109375" style="210"/>
    <col min="10497" max="10497" width="8.6640625" style="210" bestFit="1" customWidth="1"/>
    <col min="10498" max="10498" width="13.33203125" style="210" customWidth="1"/>
    <col min="10499" max="10499" width="16.109375" style="210" bestFit="1" customWidth="1"/>
    <col min="10500" max="10500" width="23.5546875" style="210" customWidth="1"/>
    <col min="10501" max="10501" width="17.33203125" style="210" customWidth="1"/>
    <col min="10502" max="10502" width="20.5546875" style="210" bestFit="1" customWidth="1"/>
    <col min="10503" max="10503" width="17.109375" style="210" customWidth="1"/>
    <col min="10504" max="10504" width="21.88671875" style="210" bestFit="1" customWidth="1"/>
    <col min="10505" max="10505" width="17.109375" style="210" bestFit="1" customWidth="1"/>
    <col min="10506" max="10506" width="18.109375" style="210" bestFit="1" customWidth="1"/>
    <col min="10507" max="10507" width="26.44140625" style="210" customWidth="1"/>
    <col min="10508" max="10752" width="9.109375" style="210"/>
    <col min="10753" max="10753" width="8.6640625" style="210" bestFit="1" customWidth="1"/>
    <col min="10754" max="10754" width="13.33203125" style="210" customWidth="1"/>
    <col min="10755" max="10755" width="16.109375" style="210" bestFit="1" customWidth="1"/>
    <col min="10756" max="10756" width="23.5546875" style="210" customWidth="1"/>
    <col min="10757" max="10757" width="17.33203125" style="210" customWidth="1"/>
    <col min="10758" max="10758" width="20.5546875" style="210" bestFit="1" customWidth="1"/>
    <col min="10759" max="10759" width="17.109375" style="210" customWidth="1"/>
    <col min="10760" max="10760" width="21.88671875" style="210" bestFit="1" customWidth="1"/>
    <col min="10761" max="10761" width="17.109375" style="210" bestFit="1" customWidth="1"/>
    <col min="10762" max="10762" width="18.109375" style="210" bestFit="1" customWidth="1"/>
    <col min="10763" max="10763" width="26.44140625" style="210" customWidth="1"/>
    <col min="10764" max="11008" width="9.109375" style="210"/>
    <col min="11009" max="11009" width="8.6640625" style="210" bestFit="1" customWidth="1"/>
    <col min="11010" max="11010" width="13.33203125" style="210" customWidth="1"/>
    <col min="11011" max="11011" width="16.109375" style="210" bestFit="1" customWidth="1"/>
    <col min="11012" max="11012" width="23.5546875" style="210" customWidth="1"/>
    <col min="11013" max="11013" width="17.33203125" style="210" customWidth="1"/>
    <col min="11014" max="11014" width="20.5546875" style="210" bestFit="1" customWidth="1"/>
    <col min="11015" max="11015" width="17.109375" style="210" customWidth="1"/>
    <col min="11016" max="11016" width="21.88671875" style="210" bestFit="1" customWidth="1"/>
    <col min="11017" max="11017" width="17.109375" style="210" bestFit="1" customWidth="1"/>
    <col min="11018" max="11018" width="18.109375" style="210" bestFit="1" customWidth="1"/>
    <col min="11019" max="11019" width="26.44140625" style="210" customWidth="1"/>
    <col min="11020" max="11264" width="9.109375" style="210"/>
    <col min="11265" max="11265" width="8.6640625" style="210" bestFit="1" customWidth="1"/>
    <col min="11266" max="11266" width="13.33203125" style="210" customWidth="1"/>
    <col min="11267" max="11267" width="16.109375" style="210" bestFit="1" customWidth="1"/>
    <col min="11268" max="11268" width="23.5546875" style="210" customWidth="1"/>
    <col min="11269" max="11269" width="17.33203125" style="210" customWidth="1"/>
    <col min="11270" max="11270" width="20.5546875" style="210" bestFit="1" customWidth="1"/>
    <col min="11271" max="11271" width="17.109375" style="210" customWidth="1"/>
    <col min="11272" max="11272" width="21.88671875" style="210" bestFit="1" customWidth="1"/>
    <col min="11273" max="11273" width="17.109375" style="210" bestFit="1" customWidth="1"/>
    <col min="11274" max="11274" width="18.109375" style="210" bestFit="1" customWidth="1"/>
    <col min="11275" max="11275" width="26.44140625" style="210" customWidth="1"/>
    <col min="11276" max="11520" width="9.109375" style="210"/>
    <col min="11521" max="11521" width="8.6640625" style="210" bestFit="1" customWidth="1"/>
    <col min="11522" max="11522" width="13.33203125" style="210" customWidth="1"/>
    <col min="11523" max="11523" width="16.109375" style="210" bestFit="1" customWidth="1"/>
    <col min="11524" max="11524" width="23.5546875" style="210" customWidth="1"/>
    <col min="11525" max="11525" width="17.33203125" style="210" customWidth="1"/>
    <col min="11526" max="11526" width="20.5546875" style="210" bestFit="1" customWidth="1"/>
    <col min="11527" max="11527" width="17.109375" style="210" customWidth="1"/>
    <col min="11528" max="11528" width="21.88671875" style="210" bestFit="1" customWidth="1"/>
    <col min="11529" max="11529" width="17.109375" style="210" bestFit="1" customWidth="1"/>
    <col min="11530" max="11530" width="18.109375" style="210" bestFit="1" customWidth="1"/>
    <col min="11531" max="11531" width="26.44140625" style="210" customWidth="1"/>
    <col min="11532" max="11776" width="9.109375" style="210"/>
    <col min="11777" max="11777" width="8.6640625" style="210" bestFit="1" customWidth="1"/>
    <col min="11778" max="11778" width="13.33203125" style="210" customWidth="1"/>
    <col min="11779" max="11779" width="16.109375" style="210" bestFit="1" customWidth="1"/>
    <col min="11780" max="11780" width="23.5546875" style="210" customWidth="1"/>
    <col min="11781" max="11781" width="17.33203125" style="210" customWidth="1"/>
    <col min="11782" max="11782" width="20.5546875" style="210" bestFit="1" customWidth="1"/>
    <col min="11783" max="11783" width="17.109375" style="210" customWidth="1"/>
    <col min="11784" max="11784" width="21.88671875" style="210" bestFit="1" customWidth="1"/>
    <col min="11785" max="11785" width="17.109375" style="210" bestFit="1" customWidth="1"/>
    <col min="11786" max="11786" width="18.109375" style="210" bestFit="1" customWidth="1"/>
    <col min="11787" max="11787" width="26.44140625" style="210" customWidth="1"/>
    <col min="11788" max="12032" width="9.109375" style="210"/>
    <col min="12033" max="12033" width="8.6640625" style="210" bestFit="1" customWidth="1"/>
    <col min="12034" max="12034" width="13.33203125" style="210" customWidth="1"/>
    <col min="12035" max="12035" width="16.109375" style="210" bestFit="1" customWidth="1"/>
    <col min="12036" max="12036" width="23.5546875" style="210" customWidth="1"/>
    <col min="12037" max="12037" width="17.33203125" style="210" customWidth="1"/>
    <col min="12038" max="12038" width="20.5546875" style="210" bestFit="1" customWidth="1"/>
    <col min="12039" max="12039" width="17.109375" style="210" customWidth="1"/>
    <col min="12040" max="12040" width="21.88671875" style="210" bestFit="1" customWidth="1"/>
    <col min="12041" max="12041" width="17.109375" style="210" bestFit="1" customWidth="1"/>
    <col min="12042" max="12042" width="18.109375" style="210" bestFit="1" customWidth="1"/>
    <col min="12043" max="12043" width="26.44140625" style="210" customWidth="1"/>
    <col min="12044" max="12288" width="9.109375" style="210"/>
    <col min="12289" max="12289" width="8.6640625" style="210" bestFit="1" customWidth="1"/>
    <col min="12290" max="12290" width="13.33203125" style="210" customWidth="1"/>
    <col min="12291" max="12291" width="16.109375" style="210" bestFit="1" customWidth="1"/>
    <col min="12292" max="12292" width="23.5546875" style="210" customWidth="1"/>
    <col min="12293" max="12293" width="17.33203125" style="210" customWidth="1"/>
    <col min="12294" max="12294" width="20.5546875" style="210" bestFit="1" customWidth="1"/>
    <col min="12295" max="12295" width="17.109375" style="210" customWidth="1"/>
    <col min="12296" max="12296" width="21.88671875" style="210" bestFit="1" customWidth="1"/>
    <col min="12297" max="12297" width="17.109375" style="210" bestFit="1" customWidth="1"/>
    <col min="12298" max="12298" width="18.109375" style="210" bestFit="1" customWidth="1"/>
    <col min="12299" max="12299" width="26.44140625" style="210" customWidth="1"/>
    <col min="12300" max="12544" width="9.109375" style="210"/>
    <col min="12545" max="12545" width="8.6640625" style="210" bestFit="1" customWidth="1"/>
    <col min="12546" max="12546" width="13.33203125" style="210" customWidth="1"/>
    <col min="12547" max="12547" width="16.109375" style="210" bestFit="1" customWidth="1"/>
    <col min="12548" max="12548" width="23.5546875" style="210" customWidth="1"/>
    <col min="12549" max="12549" width="17.33203125" style="210" customWidth="1"/>
    <col min="12550" max="12550" width="20.5546875" style="210" bestFit="1" customWidth="1"/>
    <col min="12551" max="12551" width="17.109375" style="210" customWidth="1"/>
    <col min="12552" max="12552" width="21.88671875" style="210" bestFit="1" customWidth="1"/>
    <col min="12553" max="12553" width="17.109375" style="210" bestFit="1" customWidth="1"/>
    <col min="12554" max="12554" width="18.109375" style="210" bestFit="1" customWidth="1"/>
    <col min="12555" max="12555" width="26.44140625" style="210" customWidth="1"/>
    <col min="12556" max="12800" width="9.109375" style="210"/>
    <col min="12801" max="12801" width="8.6640625" style="210" bestFit="1" customWidth="1"/>
    <col min="12802" max="12802" width="13.33203125" style="210" customWidth="1"/>
    <col min="12803" max="12803" width="16.109375" style="210" bestFit="1" customWidth="1"/>
    <col min="12804" max="12804" width="23.5546875" style="210" customWidth="1"/>
    <col min="12805" max="12805" width="17.33203125" style="210" customWidth="1"/>
    <col min="12806" max="12806" width="20.5546875" style="210" bestFit="1" customWidth="1"/>
    <col min="12807" max="12807" width="17.109375" style="210" customWidth="1"/>
    <col min="12808" max="12808" width="21.88671875" style="210" bestFit="1" customWidth="1"/>
    <col min="12809" max="12809" width="17.109375" style="210" bestFit="1" customWidth="1"/>
    <col min="12810" max="12810" width="18.109375" style="210" bestFit="1" customWidth="1"/>
    <col min="12811" max="12811" width="26.44140625" style="210" customWidth="1"/>
    <col min="12812" max="13056" width="9.109375" style="210"/>
    <col min="13057" max="13057" width="8.6640625" style="210" bestFit="1" customWidth="1"/>
    <col min="13058" max="13058" width="13.33203125" style="210" customWidth="1"/>
    <col min="13059" max="13059" width="16.109375" style="210" bestFit="1" customWidth="1"/>
    <col min="13060" max="13060" width="23.5546875" style="210" customWidth="1"/>
    <col min="13061" max="13061" width="17.33203125" style="210" customWidth="1"/>
    <col min="13062" max="13062" width="20.5546875" style="210" bestFit="1" customWidth="1"/>
    <col min="13063" max="13063" width="17.109375" style="210" customWidth="1"/>
    <col min="13064" max="13064" width="21.88671875" style="210" bestFit="1" customWidth="1"/>
    <col min="13065" max="13065" width="17.109375" style="210" bestFit="1" customWidth="1"/>
    <col min="13066" max="13066" width="18.109375" style="210" bestFit="1" customWidth="1"/>
    <col min="13067" max="13067" width="26.44140625" style="210" customWidth="1"/>
    <col min="13068" max="13312" width="9.109375" style="210"/>
    <col min="13313" max="13313" width="8.6640625" style="210" bestFit="1" customWidth="1"/>
    <col min="13314" max="13314" width="13.33203125" style="210" customWidth="1"/>
    <col min="13315" max="13315" width="16.109375" style="210" bestFit="1" customWidth="1"/>
    <col min="13316" max="13316" width="23.5546875" style="210" customWidth="1"/>
    <col min="13317" max="13317" width="17.33203125" style="210" customWidth="1"/>
    <col min="13318" max="13318" width="20.5546875" style="210" bestFit="1" customWidth="1"/>
    <col min="13319" max="13319" width="17.109375" style="210" customWidth="1"/>
    <col min="13320" max="13320" width="21.88671875" style="210" bestFit="1" customWidth="1"/>
    <col min="13321" max="13321" width="17.109375" style="210" bestFit="1" customWidth="1"/>
    <col min="13322" max="13322" width="18.109375" style="210" bestFit="1" customWidth="1"/>
    <col min="13323" max="13323" width="26.44140625" style="210" customWidth="1"/>
    <col min="13324" max="13568" width="9.109375" style="210"/>
    <col min="13569" max="13569" width="8.6640625" style="210" bestFit="1" customWidth="1"/>
    <col min="13570" max="13570" width="13.33203125" style="210" customWidth="1"/>
    <col min="13571" max="13571" width="16.109375" style="210" bestFit="1" customWidth="1"/>
    <col min="13572" max="13572" width="23.5546875" style="210" customWidth="1"/>
    <col min="13573" max="13573" width="17.33203125" style="210" customWidth="1"/>
    <col min="13574" max="13574" width="20.5546875" style="210" bestFit="1" customWidth="1"/>
    <col min="13575" max="13575" width="17.109375" style="210" customWidth="1"/>
    <col min="13576" max="13576" width="21.88671875" style="210" bestFit="1" customWidth="1"/>
    <col min="13577" max="13577" width="17.109375" style="210" bestFit="1" customWidth="1"/>
    <col min="13578" max="13578" width="18.109375" style="210" bestFit="1" customWidth="1"/>
    <col min="13579" max="13579" width="26.44140625" style="210" customWidth="1"/>
    <col min="13580" max="13824" width="9.109375" style="210"/>
    <col min="13825" max="13825" width="8.6640625" style="210" bestFit="1" customWidth="1"/>
    <col min="13826" max="13826" width="13.33203125" style="210" customWidth="1"/>
    <col min="13827" max="13827" width="16.109375" style="210" bestFit="1" customWidth="1"/>
    <col min="13828" max="13828" width="23.5546875" style="210" customWidth="1"/>
    <col min="13829" max="13829" width="17.33203125" style="210" customWidth="1"/>
    <col min="13830" max="13830" width="20.5546875" style="210" bestFit="1" customWidth="1"/>
    <col min="13831" max="13831" width="17.109375" style="210" customWidth="1"/>
    <col min="13832" max="13832" width="21.88671875" style="210" bestFit="1" customWidth="1"/>
    <col min="13833" max="13833" width="17.109375" style="210" bestFit="1" customWidth="1"/>
    <col min="13834" max="13834" width="18.109375" style="210" bestFit="1" customWidth="1"/>
    <col min="13835" max="13835" width="26.44140625" style="210" customWidth="1"/>
    <col min="13836" max="14080" width="9.109375" style="210"/>
    <col min="14081" max="14081" width="8.6640625" style="210" bestFit="1" customWidth="1"/>
    <col min="14082" max="14082" width="13.33203125" style="210" customWidth="1"/>
    <col min="14083" max="14083" width="16.109375" style="210" bestFit="1" customWidth="1"/>
    <col min="14084" max="14084" width="23.5546875" style="210" customWidth="1"/>
    <col min="14085" max="14085" width="17.33203125" style="210" customWidth="1"/>
    <col min="14086" max="14086" width="20.5546875" style="210" bestFit="1" customWidth="1"/>
    <col min="14087" max="14087" width="17.109375" style="210" customWidth="1"/>
    <col min="14088" max="14088" width="21.88671875" style="210" bestFit="1" customWidth="1"/>
    <col min="14089" max="14089" width="17.109375" style="210" bestFit="1" customWidth="1"/>
    <col min="14090" max="14090" width="18.109375" style="210" bestFit="1" customWidth="1"/>
    <col min="14091" max="14091" width="26.44140625" style="210" customWidth="1"/>
    <col min="14092" max="14336" width="9.109375" style="210"/>
    <col min="14337" max="14337" width="8.6640625" style="210" bestFit="1" customWidth="1"/>
    <col min="14338" max="14338" width="13.33203125" style="210" customWidth="1"/>
    <col min="14339" max="14339" width="16.109375" style="210" bestFit="1" customWidth="1"/>
    <col min="14340" max="14340" width="23.5546875" style="210" customWidth="1"/>
    <col min="14341" max="14341" width="17.33203125" style="210" customWidth="1"/>
    <col min="14342" max="14342" width="20.5546875" style="210" bestFit="1" customWidth="1"/>
    <col min="14343" max="14343" width="17.109375" style="210" customWidth="1"/>
    <col min="14344" max="14344" width="21.88671875" style="210" bestFit="1" customWidth="1"/>
    <col min="14345" max="14345" width="17.109375" style="210" bestFit="1" customWidth="1"/>
    <col min="14346" max="14346" width="18.109375" style="210" bestFit="1" customWidth="1"/>
    <col min="14347" max="14347" width="26.44140625" style="210" customWidth="1"/>
    <col min="14348" max="14592" width="9.109375" style="210"/>
    <col min="14593" max="14593" width="8.6640625" style="210" bestFit="1" customWidth="1"/>
    <col min="14594" max="14594" width="13.33203125" style="210" customWidth="1"/>
    <col min="14595" max="14595" width="16.109375" style="210" bestFit="1" customWidth="1"/>
    <col min="14596" max="14596" width="23.5546875" style="210" customWidth="1"/>
    <col min="14597" max="14597" width="17.33203125" style="210" customWidth="1"/>
    <col min="14598" max="14598" width="20.5546875" style="210" bestFit="1" customWidth="1"/>
    <col min="14599" max="14599" width="17.109375" style="210" customWidth="1"/>
    <col min="14600" max="14600" width="21.88671875" style="210" bestFit="1" customWidth="1"/>
    <col min="14601" max="14601" width="17.109375" style="210" bestFit="1" customWidth="1"/>
    <col min="14602" max="14602" width="18.109375" style="210" bestFit="1" customWidth="1"/>
    <col min="14603" max="14603" width="26.44140625" style="210" customWidth="1"/>
    <col min="14604" max="14848" width="9.109375" style="210"/>
    <col min="14849" max="14849" width="8.6640625" style="210" bestFit="1" customWidth="1"/>
    <col min="14850" max="14850" width="13.33203125" style="210" customWidth="1"/>
    <col min="14851" max="14851" width="16.109375" style="210" bestFit="1" customWidth="1"/>
    <col min="14852" max="14852" width="23.5546875" style="210" customWidth="1"/>
    <col min="14853" max="14853" width="17.33203125" style="210" customWidth="1"/>
    <col min="14854" max="14854" width="20.5546875" style="210" bestFit="1" customWidth="1"/>
    <col min="14855" max="14855" width="17.109375" style="210" customWidth="1"/>
    <col min="14856" max="14856" width="21.88671875" style="210" bestFit="1" customWidth="1"/>
    <col min="14857" max="14857" width="17.109375" style="210" bestFit="1" customWidth="1"/>
    <col min="14858" max="14858" width="18.109375" style="210" bestFit="1" customWidth="1"/>
    <col min="14859" max="14859" width="26.44140625" style="210" customWidth="1"/>
    <col min="14860" max="15104" width="9.109375" style="210"/>
    <col min="15105" max="15105" width="8.6640625" style="210" bestFit="1" customWidth="1"/>
    <col min="15106" max="15106" width="13.33203125" style="210" customWidth="1"/>
    <col min="15107" max="15107" width="16.109375" style="210" bestFit="1" customWidth="1"/>
    <col min="15108" max="15108" width="23.5546875" style="210" customWidth="1"/>
    <col min="15109" max="15109" width="17.33203125" style="210" customWidth="1"/>
    <col min="15110" max="15110" width="20.5546875" style="210" bestFit="1" customWidth="1"/>
    <col min="15111" max="15111" width="17.109375" style="210" customWidth="1"/>
    <col min="15112" max="15112" width="21.88671875" style="210" bestFit="1" customWidth="1"/>
    <col min="15113" max="15113" width="17.109375" style="210" bestFit="1" customWidth="1"/>
    <col min="15114" max="15114" width="18.109375" style="210" bestFit="1" customWidth="1"/>
    <col min="15115" max="15115" width="26.44140625" style="210" customWidth="1"/>
    <col min="15116" max="15360" width="9.109375" style="210"/>
    <col min="15361" max="15361" width="8.6640625" style="210" bestFit="1" customWidth="1"/>
    <col min="15362" max="15362" width="13.33203125" style="210" customWidth="1"/>
    <col min="15363" max="15363" width="16.109375" style="210" bestFit="1" customWidth="1"/>
    <col min="15364" max="15364" width="23.5546875" style="210" customWidth="1"/>
    <col min="15365" max="15365" width="17.33203125" style="210" customWidth="1"/>
    <col min="15366" max="15366" width="20.5546875" style="210" bestFit="1" customWidth="1"/>
    <col min="15367" max="15367" width="17.109375" style="210" customWidth="1"/>
    <col min="15368" max="15368" width="21.88671875" style="210" bestFit="1" customWidth="1"/>
    <col min="15369" max="15369" width="17.109375" style="210" bestFit="1" customWidth="1"/>
    <col min="15370" max="15370" width="18.109375" style="210" bestFit="1" customWidth="1"/>
    <col min="15371" max="15371" width="26.44140625" style="210" customWidth="1"/>
    <col min="15372" max="15616" width="9.109375" style="210"/>
    <col min="15617" max="15617" width="8.6640625" style="210" bestFit="1" customWidth="1"/>
    <col min="15618" max="15618" width="13.33203125" style="210" customWidth="1"/>
    <col min="15619" max="15619" width="16.109375" style="210" bestFit="1" customWidth="1"/>
    <col min="15620" max="15620" width="23.5546875" style="210" customWidth="1"/>
    <col min="15621" max="15621" width="17.33203125" style="210" customWidth="1"/>
    <col min="15622" max="15622" width="20.5546875" style="210" bestFit="1" customWidth="1"/>
    <col min="15623" max="15623" width="17.109375" style="210" customWidth="1"/>
    <col min="15624" max="15624" width="21.88671875" style="210" bestFit="1" customWidth="1"/>
    <col min="15625" max="15625" width="17.109375" style="210" bestFit="1" customWidth="1"/>
    <col min="15626" max="15626" width="18.109375" style="210" bestFit="1" customWidth="1"/>
    <col min="15627" max="15627" width="26.44140625" style="210" customWidth="1"/>
    <col min="15628" max="15872" width="9.109375" style="210"/>
    <col min="15873" max="15873" width="8.6640625" style="210" bestFit="1" customWidth="1"/>
    <col min="15874" max="15874" width="13.33203125" style="210" customWidth="1"/>
    <col min="15875" max="15875" width="16.109375" style="210" bestFit="1" customWidth="1"/>
    <col min="15876" max="15876" width="23.5546875" style="210" customWidth="1"/>
    <col min="15877" max="15877" width="17.33203125" style="210" customWidth="1"/>
    <col min="15878" max="15878" width="20.5546875" style="210" bestFit="1" customWidth="1"/>
    <col min="15879" max="15879" width="17.109375" style="210" customWidth="1"/>
    <col min="15880" max="15880" width="21.88671875" style="210" bestFit="1" customWidth="1"/>
    <col min="15881" max="15881" width="17.109375" style="210" bestFit="1" customWidth="1"/>
    <col min="15882" max="15882" width="18.109375" style="210" bestFit="1" customWidth="1"/>
    <col min="15883" max="15883" width="26.44140625" style="210" customWidth="1"/>
    <col min="15884" max="16128" width="9.109375" style="210"/>
    <col min="16129" max="16129" width="8.6640625" style="210" bestFit="1" customWidth="1"/>
    <col min="16130" max="16130" width="13.33203125" style="210" customWidth="1"/>
    <col min="16131" max="16131" width="16.109375" style="210" bestFit="1" customWidth="1"/>
    <col min="16132" max="16132" width="23.5546875" style="210" customWidth="1"/>
    <col min="16133" max="16133" width="17.33203125" style="210" customWidth="1"/>
    <col min="16134" max="16134" width="20.5546875" style="210" bestFit="1" customWidth="1"/>
    <col min="16135" max="16135" width="17.109375" style="210" customWidth="1"/>
    <col min="16136" max="16136" width="21.88671875" style="210" bestFit="1" customWidth="1"/>
    <col min="16137" max="16137" width="17.109375" style="210" bestFit="1" customWidth="1"/>
    <col min="16138" max="16138" width="18.109375" style="210" bestFit="1" customWidth="1"/>
    <col min="16139" max="16139" width="26.44140625" style="210" customWidth="1"/>
    <col min="16140" max="16384" width="9.109375" style="210"/>
  </cols>
  <sheetData>
    <row r="1" spans="13:13" s="243" customFormat="1" x14ac:dyDescent="0.25">
      <c r="M1" s="244"/>
    </row>
    <row r="2" spans="13:13" s="243" customFormat="1" x14ac:dyDescent="0.25">
      <c r="M2" s="244"/>
    </row>
    <row r="3" spans="13:13" s="243" customFormat="1" x14ac:dyDescent="0.25">
      <c r="M3" s="244"/>
    </row>
    <row r="4" spans="13:13" s="243" customFormat="1" x14ac:dyDescent="0.25">
      <c r="M4" s="244"/>
    </row>
    <row r="5" spans="13:13" s="243" customFormat="1" x14ac:dyDescent="0.25">
      <c r="M5" s="244"/>
    </row>
    <row r="6" spans="13:13" s="243" customFormat="1" x14ac:dyDescent="0.25">
      <c r="M6" s="244"/>
    </row>
    <row r="7" spans="13:13" s="243" customFormat="1" x14ac:dyDescent="0.25">
      <c r="M7" s="244"/>
    </row>
    <row r="8" spans="13:13" s="243" customFormat="1" x14ac:dyDescent="0.25">
      <c r="M8" s="244"/>
    </row>
    <row r="9" spans="13:13" s="243" customFormat="1" x14ac:dyDescent="0.25">
      <c r="M9" s="244"/>
    </row>
    <row r="10" spans="13:13" s="243" customFormat="1" x14ac:dyDescent="0.25">
      <c r="M10" s="244"/>
    </row>
    <row r="11" spans="13:13" s="243" customFormat="1" x14ac:dyDescent="0.25">
      <c r="M11" s="244"/>
    </row>
    <row r="12" spans="13:13" s="243" customFormat="1" x14ac:dyDescent="0.25">
      <c r="M12" s="244"/>
    </row>
    <row r="13" spans="13:13" s="243" customFormat="1" x14ac:dyDescent="0.25">
      <c r="M13" s="244"/>
    </row>
    <row r="14" spans="13:13" s="243" customFormat="1" x14ac:dyDescent="0.25">
      <c r="M14" s="244"/>
    </row>
    <row r="15" spans="13:13" s="243" customFormat="1" x14ac:dyDescent="0.25">
      <c r="M15" s="244"/>
    </row>
    <row r="16" spans="13:13" s="243" customFormat="1" x14ac:dyDescent="0.25">
      <c r="M16" s="244"/>
    </row>
    <row r="17" spans="13:13" s="243" customFormat="1" x14ac:dyDescent="0.25">
      <c r="M17" s="244"/>
    </row>
    <row r="18" spans="13:13" s="243" customFormat="1" x14ac:dyDescent="0.25">
      <c r="M18" s="244"/>
    </row>
    <row r="19" spans="13:13" s="243" customFormat="1" x14ac:dyDescent="0.25">
      <c r="M19" s="244"/>
    </row>
    <row r="20" spans="13:13" s="243" customFormat="1" x14ac:dyDescent="0.25">
      <c r="M20" s="244"/>
    </row>
    <row r="21" spans="13:13" s="243" customFormat="1" x14ac:dyDescent="0.25">
      <c r="M21" s="244"/>
    </row>
    <row r="22" spans="13:13" s="243" customFormat="1" x14ac:dyDescent="0.25">
      <c r="M22" s="244"/>
    </row>
    <row r="23" spans="13:13" s="243" customFormat="1" x14ac:dyDescent="0.25">
      <c r="M23" s="244"/>
    </row>
    <row r="24" spans="13:13" s="243" customFormat="1" x14ac:dyDescent="0.25">
      <c r="M24" s="244"/>
    </row>
    <row r="25" spans="13:13" s="243" customFormat="1" x14ac:dyDescent="0.25">
      <c r="M25" s="244"/>
    </row>
    <row r="26" spans="13:13" s="243" customFormat="1" x14ac:dyDescent="0.25">
      <c r="M26" s="244"/>
    </row>
    <row r="27" spans="13:13" s="243" customFormat="1" x14ac:dyDescent="0.25">
      <c r="M27" s="244"/>
    </row>
    <row r="28" spans="13:13" s="243" customFormat="1" x14ac:dyDescent="0.25">
      <c r="M28" s="244"/>
    </row>
    <row r="29" spans="13:13" s="243" customFormat="1" x14ac:dyDescent="0.25">
      <c r="M29" s="244"/>
    </row>
    <row r="30" spans="13:13" s="243" customFormat="1" x14ac:dyDescent="0.25">
      <c r="M30" s="244"/>
    </row>
    <row r="31" spans="13:13" s="243" customFormat="1" x14ac:dyDescent="0.25">
      <c r="M31" s="244"/>
    </row>
    <row r="32" spans="13:13" s="243" customFormat="1" x14ac:dyDescent="0.25">
      <c r="M32" s="244"/>
    </row>
    <row r="33" spans="1:13" s="243" customFormat="1" x14ac:dyDescent="0.25">
      <c r="M33" s="244"/>
    </row>
    <row r="34" spans="1:13" s="243" customFormat="1" x14ac:dyDescent="0.25">
      <c r="M34" s="244"/>
    </row>
    <row r="35" spans="1:13" s="243" customFormat="1" x14ac:dyDescent="0.25">
      <c r="M35" s="244"/>
    </row>
    <row r="36" spans="1:13" s="243" customFormat="1" x14ac:dyDescent="0.25">
      <c r="M36" s="244"/>
    </row>
    <row r="37" spans="1:13" s="243" customFormat="1" ht="15.75" customHeight="1" x14ac:dyDescent="0.25">
      <c r="A37" s="243" t="s">
        <v>823</v>
      </c>
      <c r="I37" s="131"/>
    </row>
    <row r="38" spans="1:13" s="243" customFormat="1" ht="15.75" customHeight="1" x14ac:dyDescent="0.25">
      <c r="A38" s="243" t="s">
        <v>849</v>
      </c>
    </row>
    <row r="39" spans="1:13" s="243" customFormat="1" ht="15.75" customHeight="1" x14ac:dyDescent="0.25">
      <c r="A39" s="243" t="s">
        <v>850</v>
      </c>
    </row>
    <row r="40" spans="1:13" s="243" customFormat="1" ht="15.75" customHeight="1" x14ac:dyDescent="0.25">
      <c r="A40" s="243" t="s">
        <v>851</v>
      </c>
    </row>
    <row r="41" spans="1:13" s="243" customFormat="1" ht="24.75" customHeight="1" x14ac:dyDescent="0.3">
      <c r="A41" s="246"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23 V to 25 V, VOUT1 = 3.3 V, IOUT1 = 5A, VOUT2 = 5 V, IOUT2 = 5 A,  Fsw = 440 kHz, Current Limit = 6 A</v>
      </c>
    </row>
    <row r="42" spans="1:13" ht="24.75" customHeight="1" thickBot="1" x14ac:dyDescent="0.3">
      <c r="A42" s="212" t="s">
        <v>720</v>
      </c>
    </row>
    <row r="43" spans="1:13" ht="18" customHeight="1" x14ac:dyDescent="0.25">
      <c r="A43" s="469" t="s">
        <v>249</v>
      </c>
      <c r="B43" s="470" t="s">
        <v>248</v>
      </c>
      <c r="C43" s="470" t="s">
        <v>7</v>
      </c>
      <c r="D43" s="707" t="s">
        <v>107</v>
      </c>
      <c r="E43" s="708"/>
      <c r="F43" s="708"/>
      <c r="G43" s="709"/>
      <c r="H43" s="471" t="s">
        <v>238</v>
      </c>
      <c r="I43" s="471" t="s">
        <v>157</v>
      </c>
      <c r="J43" s="471" t="s">
        <v>239</v>
      </c>
      <c r="L43" s="211"/>
      <c r="M43" s="210"/>
    </row>
    <row r="44" spans="1:13" s="217" customFormat="1" ht="15.75" customHeight="1" x14ac:dyDescent="0.25">
      <c r="A44" s="214">
        <v>2</v>
      </c>
      <c r="B44" s="215" t="s">
        <v>451</v>
      </c>
      <c r="C44" s="229">
        <v>0.1</v>
      </c>
      <c r="D44" s="722">
        <f t="shared" ref="D44:D52" si="0">C44</f>
        <v>0.1</v>
      </c>
      <c r="E44" s="723"/>
      <c r="F44" s="723"/>
      <c r="G44" s="230"/>
      <c r="H44" s="231" t="s">
        <v>243</v>
      </c>
      <c r="I44" s="216" t="s">
        <v>240</v>
      </c>
      <c r="J44" s="216" t="s">
        <v>240</v>
      </c>
      <c r="L44" s="218"/>
    </row>
    <row r="45" spans="1:13" s="217" customFormat="1" ht="15.6" x14ac:dyDescent="0.25">
      <c r="A45" s="213">
        <v>1</v>
      </c>
      <c r="B45" s="232" t="s">
        <v>244</v>
      </c>
      <c r="C45" s="240">
        <f>'Design Regulator'!D75</f>
        <v>4.7</v>
      </c>
      <c r="D45" s="701">
        <f t="shared" si="0"/>
        <v>4.7</v>
      </c>
      <c r="E45" s="702"/>
      <c r="F45" s="702"/>
      <c r="G45" s="234"/>
      <c r="H45" s="235" t="s">
        <v>243</v>
      </c>
      <c r="I45" s="236" t="s">
        <v>240</v>
      </c>
      <c r="J45" s="236" t="s">
        <v>240</v>
      </c>
      <c r="L45" s="218"/>
    </row>
    <row r="46" spans="1:13" s="217" customFormat="1" ht="15.6" x14ac:dyDescent="0.25">
      <c r="A46" s="213">
        <v>1</v>
      </c>
      <c r="B46" s="232" t="s">
        <v>245</v>
      </c>
      <c r="C46" s="233">
        <f>'Design Regulator'!D76</f>
        <v>68</v>
      </c>
      <c r="D46" s="705">
        <f t="shared" si="0"/>
        <v>68</v>
      </c>
      <c r="E46" s="706"/>
      <c r="F46" s="706"/>
      <c r="G46" s="234"/>
      <c r="H46" s="235" t="s">
        <v>243</v>
      </c>
      <c r="I46" s="236" t="s">
        <v>240</v>
      </c>
      <c r="J46" s="236" t="s">
        <v>240</v>
      </c>
      <c r="L46" s="218"/>
    </row>
    <row r="47" spans="1:13" s="217" customFormat="1" ht="15.6" x14ac:dyDescent="0.25">
      <c r="A47" s="213">
        <v>1</v>
      </c>
      <c r="B47" s="232" t="s">
        <v>729</v>
      </c>
      <c r="C47" s="240">
        <f>IF(MODE=1, 'Variable Management'!E377, "N/A")</f>
        <v>3.9000000000000008</v>
      </c>
      <c r="D47" s="701">
        <f t="shared" ref="D47:D48" si="1">C47</f>
        <v>3.9000000000000008</v>
      </c>
      <c r="E47" s="702"/>
      <c r="F47" s="702"/>
      <c r="G47" s="234"/>
      <c r="H47" s="235" t="str">
        <f>IF(MODE=1, "0603", "-")</f>
        <v>0603</v>
      </c>
      <c r="I47" s="235" t="str">
        <f>IF(MODE=1, "Std", "-")</f>
        <v>Std</v>
      </c>
      <c r="J47" s="235" t="str">
        <f>IF(MODE=1, "Std", "-")</f>
        <v>Std</v>
      </c>
      <c r="L47" s="218"/>
    </row>
    <row r="48" spans="1:13" s="217" customFormat="1" ht="15.6" x14ac:dyDescent="0.25">
      <c r="A48" s="213">
        <v>1</v>
      </c>
      <c r="B48" s="232" t="s">
        <v>730</v>
      </c>
      <c r="C48" s="233">
        <f>IF(MODE=1, 'Variable Management'!E378, "N/A")</f>
        <v>56</v>
      </c>
      <c r="D48" s="705">
        <f t="shared" si="1"/>
        <v>56</v>
      </c>
      <c r="E48" s="706"/>
      <c r="F48" s="706"/>
      <c r="G48" s="234"/>
      <c r="H48" s="235" t="str">
        <f>IF(MODE=1, "0603", "-")</f>
        <v>0603</v>
      </c>
      <c r="I48" s="235" t="str">
        <f>IF(MODE=1, "Std", "-")</f>
        <v>Std</v>
      </c>
      <c r="J48" s="235" t="str">
        <f>IF(MODE=1, "Std", "-")</f>
        <v>Std</v>
      </c>
      <c r="L48" s="218"/>
    </row>
    <row r="49" spans="1:12" s="217" customFormat="1" ht="15.6" x14ac:dyDescent="0.25">
      <c r="A49" s="213">
        <f>ROUNDUP('Design Regulator'!E45/10,0)</f>
        <v>4</v>
      </c>
      <c r="B49" s="232" t="s">
        <v>246</v>
      </c>
      <c r="C49" s="239">
        <v>10</v>
      </c>
      <c r="D49" s="703">
        <f>C49</f>
        <v>10</v>
      </c>
      <c r="E49" s="704"/>
      <c r="F49" s="704"/>
      <c r="G49" s="234"/>
      <c r="H49" s="235">
        <v>1210</v>
      </c>
      <c r="I49" s="236" t="s">
        <v>240</v>
      </c>
      <c r="J49" s="236" t="s">
        <v>240</v>
      </c>
      <c r="L49" s="218"/>
    </row>
    <row r="50" spans="1:12" s="217" customFormat="1" ht="15.6" x14ac:dyDescent="0.25">
      <c r="A50" s="213">
        <f>ROUNDUP('Design Regulator'!E36/47,0)</f>
        <v>2</v>
      </c>
      <c r="B50" s="232" t="s">
        <v>247</v>
      </c>
      <c r="C50" s="239">
        <v>47</v>
      </c>
      <c r="D50" s="697">
        <f>C50</f>
        <v>47</v>
      </c>
      <c r="E50" s="698"/>
      <c r="F50" s="698"/>
      <c r="G50" s="234"/>
      <c r="H50" s="235">
        <v>1210</v>
      </c>
      <c r="I50" s="236" t="s">
        <v>240</v>
      </c>
      <c r="J50" s="236" t="s">
        <v>240</v>
      </c>
      <c r="L50" s="218"/>
    </row>
    <row r="51" spans="1:12" s="217" customFormat="1" ht="15.6" x14ac:dyDescent="0.25">
      <c r="A51" s="224">
        <v>3</v>
      </c>
      <c r="B51" s="225" t="s">
        <v>820</v>
      </c>
      <c r="C51" s="238">
        <v>2.2000000000000002</v>
      </c>
      <c r="D51" s="699">
        <f t="shared" si="0"/>
        <v>2.2000000000000002</v>
      </c>
      <c r="E51" s="700"/>
      <c r="F51" s="700"/>
      <c r="G51" s="237"/>
      <c r="H51" s="227" t="s">
        <v>243</v>
      </c>
      <c r="I51" s="228" t="s">
        <v>240</v>
      </c>
      <c r="J51" s="228" t="s">
        <v>240</v>
      </c>
      <c r="L51" s="218"/>
    </row>
    <row r="52" spans="1:12" s="217" customFormat="1" ht="15.6" x14ac:dyDescent="0.25">
      <c r="A52" s="224">
        <v>1</v>
      </c>
      <c r="B52" s="225" t="s">
        <v>731</v>
      </c>
      <c r="C52" s="238">
        <v>0.47</v>
      </c>
      <c r="D52" s="699">
        <f t="shared" si="0"/>
        <v>0.47</v>
      </c>
      <c r="E52" s="700"/>
      <c r="F52" s="700"/>
      <c r="G52" s="237"/>
      <c r="H52" s="227" t="s">
        <v>243</v>
      </c>
      <c r="I52" s="228" t="s">
        <v>240</v>
      </c>
      <c r="J52" s="228" t="s">
        <v>240</v>
      </c>
      <c r="L52" s="218"/>
    </row>
    <row r="53" spans="1:12" s="217" customFormat="1" ht="15.6" x14ac:dyDescent="0.25">
      <c r="A53" s="213">
        <v>1</v>
      </c>
      <c r="B53" s="232" t="s">
        <v>721</v>
      </c>
      <c r="C53" s="242">
        <f>'Design Regulator'!E28</f>
        <v>3.3</v>
      </c>
      <c r="D53" s="719" t="str">
        <f>"Inductor, "&amp;Lf*1000000&amp;"µH, "&amp;Rdcr*1000&amp;"mΩ, &gt;"&amp;ROUNDUP(Ilimit_DC*1.3/SCH_MODE,0)&amp;"A"</f>
        <v>Inductor, 3.3µH, 25mΩ, &gt;8A</v>
      </c>
      <c r="E53" s="720"/>
      <c r="F53" s="720"/>
      <c r="G53" s="721"/>
      <c r="H53" s="236" t="s">
        <v>251</v>
      </c>
      <c r="I53" s="236" t="s">
        <v>251</v>
      </c>
      <c r="J53" s="236" t="s">
        <v>250</v>
      </c>
      <c r="L53" s="218"/>
    </row>
    <row r="54" spans="1:12" s="217" customFormat="1" ht="15.6" x14ac:dyDescent="0.25">
      <c r="A54" s="213">
        <v>1</v>
      </c>
      <c r="B54" s="232" t="s">
        <v>722</v>
      </c>
      <c r="C54" s="242">
        <f>IF(MODE = 1, 'Design Regulator'!J28, 'Design Regulator'!E28)</f>
        <v>4.7</v>
      </c>
      <c r="D54" s="719" t="str">
        <f>IF(MODE=1, "Inductor, "&amp;Lo_2*1000000&amp;"µH, "&amp;Rdcr2*1000&amp;"mΩ, &gt;"&amp;ROUNDUP(Ilimit2_DC*1.3,0)&amp;"A", "Inductor, "&amp;Lf*1000000&amp;"µH, "&amp;Rdcr*1000&amp;"mΩ, &gt;"&amp;ROUNDUP(Ilimit_DC*1.3/SCH_MODE,0)&amp;"A")</f>
        <v>Inductor, 4.7µH, 24.5mΩ, &gt;8A</v>
      </c>
      <c r="E54" s="720"/>
      <c r="F54" s="720"/>
      <c r="G54" s="721"/>
      <c r="H54" s="236" t="s">
        <v>251</v>
      </c>
      <c r="I54" s="236" t="s">
        <v>251</v>
      </c>
      <c r="J54" s="236" t="s">
        <v>250</v>
      </c>
      <c r="L54" s="218"/>
    </row>
    <row r="55" spans="1:12" s="217" customFormat="1" ht="15.6" x14ac:dyDescent="0.25">
      <c r="A55" s="224">
        <v>2</v>
      </c>
      <c r="B55" s="225" t="s">
        <v>510</v>
      </c>
      <c r="C55" s="241" t="s">
        <v>241</v>
      </c>
      <c r="D55" s="713">
        <f>'Design Regulator'!E87</f>
        <v>11.5</v>
      </c>
      <c r="E55" s="714"/>
      <c r="F55" s="714"/>
      <c r="G55" s="715"/>
      <c r="H55" s="228" t="s">
        <v>240</v>
      </c>
      <c r="I55" s="228" t="str">
        <f>'Design Regulator'!E85</f>
        <v>'852NL, '818NL</v>
      </c>
      <c r="J55" s="228" t="s">
        <v>251</v>
      </c>
      <c r="L55" s="218"/>
    </row>
    <row r="56" spans="1:12" s="217" customFormat="1" ht="15.6" x14ac:dyDescent="0.25">
      <c r="A56" s="224">
        <v>2</v>
      </c>
      <c r="B56" s="225" t="s">
        <v>511</v>
      </c>
      <c r="C56" s="241" t="s">
        <v>241</v>
      </c>
      <c r="D56" s="713">
        <f>'Design Regulator'!H87</f>
        <v>11.5</v>
      </c>
      <c r="E56" s="714"/>
      <c r="F56" s="714"/>
      <c r="G56" s="715"/>
      <c r="H56" s="228" t="s">
        <v>240</v>
      </c>
      <c r="I56" s="228" t="str">
        <f>IF(MODE=1, 'Design Regulator'!H85, 'Design Regulator'!E85)</f>
        <v>'852NL, '818NL</v>
      </c>
      <c r="J56" s="228" t="s">
        <v>251</v>
      </c>
      <c r="L56" s="218"/>
    </row>
    <row r="57" spans="1:12" s="217" customFormat="1" ht="15.6" x14ac:dyDescent="0.25">
      <c r="A57" s="219">
        <v>1</v>
      </c>
      <c r="B57" s="220" t="s">
        <v>252</v>
      </c>
      <c r="C57" s="221">
        <f>'Design Regulator'!D74</f>
        <v>9.5299999999999994</v>
      </c>
      <c r="D57" s="691">
        <f t="shared" ref="D57:D69" si="2">C57</f>
        <v>9.5299999999999994</v>
      </c>
      <c r="E57" s="692"/>
      <c r="F57" s="692"/>
      <c r="G57" s="693"/>
      <c r="H57" s="222" t="s">
        <v>243</v>
      </c>
      <c r="I57" s="223" t="s">
        <v>240</v>
      </c>
      <c r="J57" s="223" t="s">
        <v>240</v>
      </c>
      <c r="L57" s="218"/>
    </row>
    <row r="58" spans="1:12" s="217" customFormat="1" ht="15.6" x14ac:dyDescent="0.25">
      <c r="A58" s="219">
        <v>1</v>
      </c>
      <c r="B58" s="220" t="s">
        <v>723</v>
      </c>
      <c r="C58" s="221">
        <f>IF(MODE=1, 'Variable Management'!E376, "N/A")</f>
        <v>12.1</v>
      </c>
      <c r="D58" s="691">
        <f t="shared" ref="D58" si="3">C58</f>
        <v>12.1</v>
      </c>
      <c r="E58" s="692"/>
      <c r="F58" s="692"/>
      <c r="G58" s="693"/>
      <c r="H58" s="235" t="str">
        <f>IF(MODE=1, "0603", "-")</f>
        <v>0603</v>
      </c>
      <c r="I58" s="235" t="str">
        <f>IF(MODE=1, "Std", "-")</f>
        <v>Std</v>
      </c>
      <c r="J58" s="235" t="str">
        <f>IF(MODE=1, "Std", "-")</f>
        <v>Std</v>
      </c>
      <c r="L58" s="218"/>
    </row>
    <row r="59" spans="1:12" s="217" customFormat="1" ht="15.6" x14ac:dyDescent="0.25">
      <c r="A59" s="219">
        <v>1</v>
      </c>
      <c r="B59" s="220" t="s">
        <v>724</v>
      </c>
      <c r="C59" s="426">
        <f>Rs*1000</f>
        <v>9</v>
      </c>
      <c r="D59" s="716">
        <f t="shared" si="2"/>
        <v>9</v>
      </c>
      <c r="E59" s="717"/>
      <c r="F59" s="717"/>
      <c r="G59" s="718"/>
      <c r="H59" s="222" t="s">
        <v>725</v>
      </c>
      <c r="I59" s="223" t="s">
        <v>240</v>
      </c>
      <c r="J59" s="223" t="s">
        <v>240</v>
      </c>
      <c r="L59" s="218"/>
    </row>
    <row r="60" spans="1:12" s="217" customFormat="1" ht="15.6" x14ac:dyDescent="0.25">
      <c r="A60" s="219">
        <v>1</v>
      </c>
      <c r="B60" s="220" t="s">
        <v>726</v>
      </c>
      <c r="C60" s="426">
        <f>IF(MODE=1, Rs_Ch2*1000, Rs*1000)</f>
        <v>8</v>
      </c>
      <c r="D60" s="716">
        <f t="shared" ref="D60" si="4">C60</f>
        <v>8</v>
      </c>
      <c r="E60" s="717"/>
      <c r="F60" s="717"/>
      <c r="G60" s="718"/>
      <c r="H60" s="222" t="s">
        <v>725</v>
      </c>
      <c r="I60" s="223" t="s">
        <v>240</v>
      </c>
      <c r="J60" s="223" t="s">
        <v>240</v>
      </c>
      <c r="L60" s="218"/>
    </row>
    <row r="61" spans="1:12" s="217" customFormat="1" ht="15.6" x14ac:dyDescent="0.25">
      <c r="A61" s="219">
        <v>1</v>
      </c>
      <c r="B61" s="220" t="s">
        <v>821</v>
      </c>
      <c r="C61" s="221">
        <f>'Design Regulator'!E13</f>
        <v>52.3</v>
      </c>
      <c r="D61" s="691">
        <f t="shared" si="2"/>
        <v>52.3</v>
      </c>
      <c r="E61" s="692"/>
      <c r="F61" s="692"/>
      <c r="G61" s="693"/>
      <c r="H61" s="222" t="s">
        <v>243</v>
      </c>
      <c r="I61" s="223" t="s">
        <v>240</v>
      </c>
      <c r="J61" s="223" t="s">
        <v>240</v>
      </c>
      <c r="L61" s="218"/>
    </row>
    <row r="62" spans="1:12" s="217" customFormat="1" ht="15.6" x14ac:dyDescent="0.25">
      <c r="A62" s="219">
        <v>1</v>
      </c>
      <c r="B62" s="220" t="s">
        <v>254</v>
      </c>
      <c r="C62" s="221">
        <f>'Design Regulator'!E68</f>
        <v>78.7</v>
      </c>
      <c r="D62" s="691">
        <f t="shared" si="2"/>
        <v>78.7</v>
      </c>
      <c r="E62" s="692"/>
      <c r="F62" s="692"/>
      <c r="G62" s="693"/>
      <c r="H62" s="222" t="s">
        <v>243</v>
      </c>
      <c r="I62" s="223" t="s">
        <v>240</v>
      </c>
      <c r="J62" s="223" t="s">
        <v>240</v>
      </c>
      <c r="L62" s="218"/>
    </row>
    <row r="63" spans="1:12" s="217" customFormat="1" ht="15.6" x14ac:dyDescent="0.25">
      <c r="A63" s="219">
        <v>1</v>
      </c>
      <c r="B63" s="220" t="s">
        <v>255</v>
      </c>
      <c r="C63" s="221">
        <f>'Design Regulator'!E69</f>
        <v>24.9</v>
      </c>
      <c r="D63" s="691">
        <f t="shared" si="2"/>
        <v>24.9</v>
      </c>
      <c r="E63" s="692"/>
      <c r="F63" s="692"/>
      <c r="G63" s="693"/>
      <c r="H63" s="222" t="s">
        <v>243</v>
      </c>
      <c r="I63" s="223" t="s">
        <v>240</v>
      </c>
      <c r="J63" s="223" t="s">
        <v>240</v>
      </c>
      <c r="L63" s="218"/>
    </row>
    <row r="64" spans="1:12" s="217" customFormat="1" ht="15.6" x14ac:dyDescent="0.25">
      <c r="A64" s="219">
        <v>1</v>
      </c>
      <c r="B64" s="220" t="s">
        <v>727</v>
      </c>
      <c r="C64" s="221">
        <f>IF(MODE=1, 'Design Regulator'!J68, "N/A")</f>
        <v>78.7</v>
      </c>
      <c r="D64" s="691">
        <f t="shared" ref="D64:D65" si="5">C64</f>
        <v>78.7</v>
      </c>
      <c r="E64" s="692"/>
      <c r="F64" s="692"/>
      <c r="G64" s="693"/>
      <c r="H64" s="235" t="str">
        <f>IF(MODE=1, "0603", "-")</f>
        <v>0603</v>
      </c>
      <c r="I64" s="235" t="str">
        <f>IF(MODE=1, "Std", "-")</f>
        <v>Std</v>
      </c>
      <c r="J64" s="235" t="str">
        <f>IF(MODE=1, "Std", "-")</f>
        <v>Std</v>
      </c>
      <c r="L64" s="218"/>
    </row>
    <row r="65" spans="1:12" s="217" customFormat="1" ht="15.6" x14ac:dyDescent="0.25">
      <c r="A65" s="219">
        <v>1</v>
      </c>
      <c r="B65" s="220" t="s">
        <v>728</v>
      </c>
      <c r="C65" s="221">
        <f>IF(MODE=1, 'Design Regulator'!J69, "N/A")</f>
        <v>15</v>
      </c>
      <c r="D65" s="691">
        <f t="shared" si="5"/>
        <v>15</v>
      </c>
      <c r="E65" s="692"/>
      <c r="F65" s="692"/>
      <c r="G65" s="693"/>
      <c r="H65" s="235" t="str">
        <f>IF(MODE=1, "0603", "-")</f>
        <v>0603</v>
      </c>
      <c r="I65" s="235" t="str">
        <f>IF(MODE=1, "Std", "-")</f>
        <v>Std</v>
      </c>
      <c r="J65" s="235" t="str">
        <f>IF(MODE=1, "Std", "-")</f>
        <v>Std</v>
      </c>
      <c r="L65" s="218"/>
    </row>
    <row r="66" spans="1:12" s="217" customFormat="1" ht="15.6" x14ac:dyDescent="0.25">
      <c r="A66" s="224">
        <v>1</v>
      </c>
      <c r="B66" s="225" t="s">
        <v>822</v>
      </c>
      <c r="C66" s="226">
        <f>Rcnfg</f>
        <v>10</v>
      </c>
      <c r="D66" s="710">
        <f t="shared" si="2"/>
        <v>10</v>
      </c>
      <c r="E66" s="711"/>
      <c r="F66" s="711"/>
      <c r="G66" s="712"/>
      <c r="H66" s="227" t="s">
        <v>243</v>
      </c>
      <c r="I66" s="228" t="s">
        <v>240</v>
      </c>
      <c r="J66" s="228" t="s">
        <v>240</v>
      </c>
      <c r="L66" s="218"/>
    </row>
    <row r="67" spans="1:12" s="217" customFormat="1" ht="15.6" x14ac:dyDescent="0.25">
      <c r="A67" s="219">
        <v>2</v>
      </c>
      <c r="B67" s="220" t="s">
        <v>752</v>
      </c>
      <c r="C67" s="221">
        <v>100</v>
      </c>
      <c r="D67" s="691">
        <f t="shared" si="2"/>
        <v>100</v>
      </c>
      <c r="E67" s="692"/>
      <c r="F67" s="692"/>
      <c r="G67" s="693"/>
      <c r="H67" s="222" t="s">
        <v>243</v>
      </c>
      <c r="I67" s="223" t="s">
        <v>240</v>
      </c>
      <c r="J67" s="223" t="s">
        <v>240</v>
      </c>
      <c r="L67" s="218"/>
    </row>
    <row r="68" spans="1:12" s="217" customFormat="1" ht="15.6" x14ac:dyDescent="0.25">
      <c r="A68" s="219">
        <v>1</v>
      </c>
      <c r="B68" s="220" t="s">
        <v>841</v>
      </c>
      <c r="C68" s="221">
        <f>Rss_u/1000</f>
        <v>20</v>
      </c>
      <c r="D68" s="691">
        <f t="shared" si="2"/>
        <v>20</v>
      </c>
      <c r="E68" s="692"/>
      <c r="F68" s="692"/>
      <c r="G68" s="693"/>
      <c r="H68" s="222" t="s">
        <v>243</v>
      </c>
      <c r="I68" s="223" t="s">
        <v>240</v>
      </c>
      <c r="J68" s="223" t="s">
        <v>240</v>
      </c>
      <c r="L68" s="218"/>
    </row>
    <row r="69" spans="1:12" s="217" customFormat="1" ht="15.6" x14ac:dyDescent="0.25">
      <c r="A69" s="224">
        <v>1</v>
      </c>
      <c r="B69" s="225" t="s">
        <v>253</v>
      </c>
      <c r="C69" s="241">
        <v>2.2000000000000002</v>
      </c>
      <c r="D69" s="694">
        <f t="shared" si="2"/>
        <v>2.2000000000000002</v>
      </c>
      <c r="E69" s="695"/>
      <c r="F69" s="695"/>
      <c r="G69" s="696"/>
      <c r="H69" s="227" t="s">
        <v>243</v>
      </c>
      <c r="I69" s="228" t="s">
        <v>240</v>
      </c>
      <c r="J69" s="228" t="s">
        <v>240</v>
      </c>
      <c r="L69" s="218"/>
    </row>
    <row r="70" spans="1:12" s="217" customFormat="1" ht="14.25" customHeight="1" x14ac:dyDescent="0.25">
      <c r="A70" s="724">
        <v>1</v>
      </c>
      <c r="B70" s="736" t="s">
        <v>256</v>
      </c>
      <c r="C70" s="734" t="str">
        <f>CHOOSE(VARIANT, "LM5137F", "LM5137F-Q1","LM25137F","LM25137F-Q1")</f>
        <v>LM5137F-Q1</v>
      </c>
      <c r="D70" s="728" t="str">
        <f>CHOOSE(VARIANT, "IC, LM5137, Functional Safety Buck PWM Controller, 4V–80V Input", "IC, LM5137F-Q1, Functional Safety Buck PWM Controller, 4V–80V Input", "IC, LM25137F, Functional Safety Buck PWM Controller, 4V–42V Input", "IC, LM25137F-Q1, Functional Safety Buck PWM Controller, 4V–42V Input")</f>
        <v>IC, LM5137F-Q1, Functional Safety Buck PWM Controller, 4V–80V Input</v>
      </c>
      <c r="E70" s="729"/>
      <c r="F70" s="729"/>
      <c r="G70" s="730"/>
      <c r="H70" s="726" t="s">
        <v>798</v>
      </c>
      <c r="I70" s="726" t="str">
        <f>CHOOSE(VARIANT, "LM5137FDRHAR", "LM5137FDQRHARQ1", "LM25137FDRHAR", "LM25137FDQRHARQ1")</f>
        <v>LM5137FDQRHARQ1</v>
      </c>
      <c r="J70" s="726" t="s">
        <v>242</v>
      </c>
      <c r="L70" s="218"/>
    </row>
    <row r="71" spans="1:12" x14ac:dyDescent="0.25">
      <c r="A71" s="725"/>
      <c r="B71" s="737"/>
      <c r="C71" s="735"/>
      <c r="D71" s="731"/>
      <c r="E71" s="732"/>
      <c r="F71" s="732"/>
      <c r="G71" s="733"/>
      <c r="H71" s="727"/>
      <c r="I71" s="727"/>
      <c r="J71" s="727"/>
    </row>
    <row r="73" spans="1:12" x14ac:dyDescent="0.25">
      <c r="A73" s="247" t="s">
        <v>264</v>
      </c>
    </row>
    <row r="74" spans="1:12" ht="17.100000000000001" customHeight="1" x14ac:dyDescent="0.25">
      <c r="A74" s="126" t="s">
        <v>588</v>
      </c>
      <c r="D74" s="532" t="s">
        <v>587</v>
      </c>
      <c r="E74" s="210" t="s">
        <v>589</v>
      </c>
    </row>
    <row r="75" spans="1:12" ht="17.100000000000001" customHeight="1" x14ac:dyDescent="0.25">
      <c r="A75" s="210" t="s">
        <v>452</v>
      </c>
    </row>
    <row r="76" spans="1:12" ht="17.100000000000001" customHeight="1" x14ac:dyDescent="0.25">
      <c r="A76" s="210" t="s">
        <v>450</v>
      </c>
    </row>
  </sheetData>
  <sheetProtection algorithmName="SHA-512" hashValue="5H4gFHJjudX9ewVFG4Mi1JpjbjmDtZub09MRNqTiCNltlKSah+rIbtoh/aIQE7/GudB6kK7DgqbS05/t+mKFMQ==" saltValue="U6Z09e6tLM2Z/+R6BKegEQ==" spinCount="100000" sheet="1" objects="1" scenarios="1" selectLockedCells="1" selectUnlockedCells="1"/>
  <mergeCells count="34">
    <mergeCell ref="A70:A71"/>
    <mergeCell ref="J70:J71"/>
    <mergeCell ref="D70:G71"/>
    <mergeCell ref="C70:C71"/>
    <mergeCell ref="B70:B71"/>
    <mergeCell ref="H70:H71"/>
    <mergeCell ref="I70:I71"/>
    <mergeCell ref="D43:G43"/>
    <mergeCell ref="D66:G66"/>
    <mergeCell ref="D62:G62"/>
    <mergeCell ref="D63:G63"/>
    <mergeCell ref="D55:G55"/>
    <mergeCell ref="D56:G56"/>
    <mergeCell ref="D61:G61"/>
    <mergeCell ref="D59:G59"/>
    <mergeCell ref="D53:G53"/>
    <mergeCell ref="D54:G54"/>
    <mergeCell ref="D58:G58"/>
    <mergeCell ref="D60:G60"/>
    <mergeCell ref="D64:G64"/>
    <mergeCell ref="D44:F44"/>
    <mergeCell ref="D45:F45"/>
    <mergeCell ref="D46:F46"/>
    <mergeCell ref="D47:F47"/>
    <mergeCell ref="D51:F51"/>
    <mergeCell ref="D49:F49"/>
    <mergeCell ref="D65:G65"/>
    <mergeCell ref="D48:F48"/>
    <mergeCell ref="D67:G67"/>
    <mergeCell ref="D68:G68"/>
    <mergeCell ref="D69:G69"/>
    <mergeCell ref="D57:G57"/>
    <mergeCell ref="D50:F50"/>
    <mergeCell ref="D52:F52"/>
  </mergeCells>
  <phoneticPr fontId="91" type="noConversion"/>
  <hyperlinks>
    <hyperlink ref="D74" r:id="rId1" xr:uid="{00000000-0004-0000-0100-000000000000}"/>
  </hyperlinks>
  <printOptions horizontalCentered="1"/>
  <pageMargins left="0.23" right="0.23" top="0.7" bottom="0.61" header="0.3" footer="0.5"/>
  <pageSetup scale="46" fitToHeight="2" orientation="landscape" r:id="rId2"/>
  <headerFooter alignWithMargins="0"/>
  <ignoredErrors>
    <ignoredError sqref="H44:H46 H52 H53 H66 H51 H57 H61:H63 H67:H69 H59:H60"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zoomScaleNormal="100" zoomScaleSheetLayoutView="80" workbookViewId="0">
      <selection activeCell="B6" sqref="B6"/>
    </sheetView>
  </sheetViews>
  <sheetFormatPr defaultColWidth="9.109375" defaultRowHeight="13.2" x14ac:dyDescent="0.25"/>
  <cols>
    <col min="1" max="13" width="9.109375" style="119"/>
    <col min="14" max="14" width="11.88671875" style="119" customWidth="1"/>
    <col min="15" max="16" width="9.109375" style="119"/>
    <col min="17" max="17" width="15.6640625" style="119" customWidth="1"/>
    <col min="18" max="16384" width="9.109375" style="119"/>
  </cols>
  <sheetData>
    <row r="1" spans="1:23" s="111" customFormat="1" ht="47.25" customHeight="1" x14ac:dyDescent="0.3">
      <c r="A1" s="738" t="s">
        <v>856</v>
      </c>
      <c r="B1" s="739"/>
      <c r="C1" s="739"/>
      <c r="D1" s="739"/>
      <c r="E1" s="739"/>
      <c r="F1" s="739"/>
      <c r="G1" s="739"/>
      <c r="H1" s="739"/>
      <c r="I1" s="739"/>
      <c r="J1" s="739"/>
      <c r="K1" s="739"/>
      <c r="L1" s="739"/>
      <c r="M1" s="739"/>
      <c r="N1" s="739"/>
      <c r="O1" s="739"/>
      <c r="P1" s="739"/>
      <c r="Q1" s="739"/>
    </row>
    <row r="6" spans="1:23" ht="20.399999999999999" x14ac:dyDescent="0.35">
      <c r="B6" s="120" t="s">
        <v>867</v>
      </c>
      <c r="M6" s="120"/>
      <c r="W6" s="120"/>
    </row>
  </sheetData>
  <sheetProtection algorithmName="SHA-512" hashValue="33hO307eJMEo9NRPj3bfKWZMkre2e5P7fg3LoTA9Bkyz0G2dsStoQMczNXzmU9zT4+lVdE59Furb0sPpIG3u3A==" saltValue="o6t84Jn84Turqq6WkRdqGQ==" spinCount="100000" sheet="1" objects="1" scenarios="1"/>
  <mergeCells count="1">
    <mergeCell ref="A1:Q1"/>
  </mergeCells>
  <phoneticPr fontId="91" type="noConversion"/>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F414"/>
  <sheetViews>
    <sheetView zoomScale="115" zoomScaleNormal="115" workbookViewId="0">
      <pane ySplit="5" topLeftCell="A246" activePane="bottomLeft" state="frozenSplit"/>
      <selection pane="bottomLeft" activeCell="A262" sqref="A262"/>
    </sheetView>
  </sheetViews>
  <sheetFormatPr defaultRowHeight="13.2" x14ac:dyDescent="0.25"/>
  <cols>
    <col min="1" max="1" width="35.6640625" customWidth="1"/>
    <col min="2" max="2" width="14.88671875" customWidth="1"/>
    <col min="3" max="3" width="12.109375" style="2" customWidth="1"/>
    <col min="4" max="4" width="13.44140625" customWidth="1"/>
    <col min="5" max="5" width="11.5546875" customWidth="1"/>
    <col min="6" max="6" width="12.44140625" bestFit="1" customWidth="1"/>
    <col min="7" max="7" width="17.44140625" customWidth="1"/>
    <col min="8" max="8" width="34.6640625" customWidth="1"/>
    <col min="9" max="9" width="11.6640625" customWidth="1"/>
    <col min="10" max="10" width="12.44140625" bestFit="1" customWidth="1"/>
    <col min="11" max="11" width="15.109375" customWidth="1"/>
    <col min="12" max="12" width="13.33203125" customWidth="1"/>
    <col min="14" max="14" width="8.6640625" customWidth="1"/>
    <col min="16" max="16" width="8.33203125" customWidth="1"/>
    <col min="23" max="23" width="11.5546875" bestFit="1" customWidth="1"/>
    <col min="24" max="24" width="12.5546875" customWidth="1"/>
    <col min="25" max="25" width="12.44140625" customWidth="1"/>
  </cols>
  <sheetData>
    <row r="1" spans="1:32" ht="30.75" customHeight="1" x14ac:dyDescent="0.5">
      <c r="A1" s="741" t="s">
        <v>383</v>
      </c>
      <c r="B1" s="741"/>
      <c r="C1" s="741"/>
      <c r="D1" s="741"/>
      <c r="E1" s="741"/>
      <c r="F1" s="741"/>
      <c r="G1" s="741"/>
      <c r="H1" s="741"/>
      <c r="I1" s="741"/>
    </row>
    <row r="2" spans="1:32" ht="12" customHeight="1" x14ac:dyDescent="0.25">
      <c r="A2" s="49"/>
      <c r="B2" s="49" t="s">
        <v>188</v>
      </c>
      <c r="C2" s="50"/>
      <c r="E2" s="49"/>
      <c r="F2" s="49"/>
      <c r="G2" s="49"/>
      <c r="H2" s="49"/>
      <c r="I2" s="49"/>
    </row>
    <row r="3" spans="1:32" ht="11.25" customHeight="1" x14ac:dyDescent="0.25">
      <c r="A3" s="49"/>
      <c r="B3" s="49" t="s">
        <v>219</v>
      </c>
      <c r="C3" s="51"/>
      <c r="E3" s="49"/>
      <c r="F3" s="49"/>
      <c r="G3" s="49"/>
      <c r="H3" s="49"/>
      <c r="I3" s="49"/>
    </row>
    <row r="4" spans="1:32" ht="11.25" customHeight="1" x14ac:dyDescent="0.25">
      <c r="A4" s="49"/>
      <c r="B4" s="49" t="s">
        <v>189</v>
      </c>
      <c r="C4" s="52"/>
      <c r="E4" s="49"/>
      <c r="F4" s="49"/>
      <c r="G4" s="49"/>
      <c r="H4" s="49"/>
      <c r="I4" s="49"/>
    </row>
    <row r="5" spans="1:32" x14ac:dyDescent="0.25">
      <c r="A5" s="2" t="s">
        <v>47</v>
      </c>
      <c r="B5" s="2" t="s">
        <v>7</v>
      </c>
      <c r="C5" s="2" t="s">
        <v>8</v>
      </c>
      <c r="E5" s="740" t="s">
        <v>12</v>
      </c>
      <c r="F5" s="740"/>
      <c r="G5" s="740"/>
      <c r="H5" s="740"/>
      <c r="I5" s="2" t="s">
        <v>404</v>
      </c>
    </row>
    <row r="6" spans="1:32" ht="16.2" thickBot="1" x14ac:dyDescent="0.35">
      <c r="A6" s="504" t="s">
        <v>147</v>
      </c>
      <c r="B6" s="2"/>
      <c r="D6" s="2"/>
      <c r="E6" s="49"/>
      <c r="F6" s="49"/>
      <c r="G6" s="49"/>
      <c r="H6" s="49"/>
      <c r="I6" s="2"/>
    </row>
    <row r="7" spans="1:32" x14ac:dyDescent="0.25">
      <c r="A7" s="207" t="s">
        <v>282</v>
      </c>
      <c r="B7" s="12">
        <f>'Design Regulator'!E7</f>
        <v>23</v>
      </c>
      <c r="C7" s="62" t="s">
        <v>0</v>
      </c>
      <c r="D7" s="115" t="s">
        <v>283</v>
      </c>
      <c r="E7" s="62"/>
      <c r="F7" s="62"/>
      <c r="G7" s="62"/>
      <c r="H7" s="62"/>
      <c r="I7" s="63">
        <v>1</v>
      </c>
    </row>
    <row r="8" spans="1:32" x14ac:dyDescent="0.25">
      <c r="A8" s="208" t="s">
        <v>602</v>
      </c>
      <c r="B8" s="29">
        <f>'Design Regulator'!E8</f>
        <v>24</v>
      </c>
      <c r="C8" t="s">
        <v>0</v>
      </c>
      <c r="D8" t="s">
        <v>13</v>
      </c>
      <c r="I8" s="56"/>
      <c r="K8" s="285" t="str">
        <f>CHOOSE(SCH_MODE, "Efficiency vs. IOUT (Ch1)", "Efficiency vs. IOUT - 2 Ph", "Efficiency vs. IOUT - 3 Ph", "Efficiency vs. IOUT - 4 Ph")</f>
        <v>Efficiency vs. IOUT (Ch1)</v>
      </c>
      <c r="L8" s="114">
        <v>1</v>
      </c>
      <c r="N8" s="285" t="s">
        <v>802</v>
      </c>
      <c r="O8" s="114">
        <v>1</v>
      </c>
      <c r="T8" s="285" t="s">
        <v>737</v>
      </c>
      <c r="U8" s="114">
        <v>1</v>
      </c>
      <c r="W8" s="285" t="s">
        <v>653</v>
      </c>
      <c r="X8" s="114">
        <v>1</v>
      </c>
      <c r="Z8" s="285" t="str">
        <f>CHOOSE(SCH_MODE, "Bode Plot (Ch1)", "Bode Plot - 2 Ph", "Bode Plot - 3 Ph", "Bode Plot - 4 Ph")</f>
        <v>Bode Plot (Ch1)</v>
      </c>
      <c r="AA8" s="114">
        <v>1</v>
      </c>
      <c r="AE8">
        <v>9.6</v>
      </c>
      <c r="AF8">
        <v>41.2</v>
      </c>
    </row>
    <row r="9" spans="1:32" x14ac:dyDescent="0.25">
      <c r="A9" s="208" t="s">
        <v>281</v>
      </c>
      <c r="B9" s="29">
        <f>'Design Regulator'!E9</f>
        <v>25</v>
      </c>
      <c r="C9" t="s">
        <v>0</v>
      </c>
      <c r="D9" s="112" t="s">
        <v>284</v>
      </c>
      <c r="I9" s="56"/>
      <c r="K9" s="285" t="str">
        <f>IF(MODE=1, "Efficiency vs. IOUT (Ch2)", "N/A - Do Not Use")</f>
        <v>Efficiency vs. IOUT (Ch2)</v>
      </c>
      <c r="L9" s="114">
        <v>2</v>
      </c>
      <c r="N9" s="285" t="s">
        <v>803</v>
      </c>
      <c r="O9" s="114">
        <v>2</v>
      </c>
      <c r="T9" s="285" t="s">
        <v>738</v>
      </c>
      <c r="U9" s="114">
        <v>2</v>
      </c>
      <c r="W9" s="285" t="s">
        <v>805</v>
      </c>
      <c r="X9" s="114">
        <v>2</v>
      </c>
      <c r="Z9" s="285" t="str">
        <f>IF(MODE=1, "Bode Plot (Ch2)", "N/A - Do Not Use")</f>
        <v>Bode Plot (Ch2)</v>
      </c>
      <c r="AA9" s="114">
        <v>2</v>
      </c>
      <c r="AE9">
        <v>19.100000000000001</v>
      </c>
      <c r="AF9">
        <v>54.9</v>
      </c>
    </row>
    <row r="10" spans="1:32" x14ac:dyDescent="0.25">
      <c r="A10" s="208"/>
      <c r="B10" s="4"/>
      <c r="C10"/>
      <c r="D10" s="112"/>
      <c r="I10" s="56"/>
      <c r="K10" s="514" t="s">
        <v>568</v>
      </c>
      <c r="L10" s="515">
        <v>1</v>
      </c>
      <c r="N10" s="514" t="s">
        <v>804</v>
      </c>
      <c r="O10" s="515">
        <v>1</v>
      </c>
      <c r="P10" s="112" t="s">
        <v>591</v>
      </c>
      <c r="T10" s="285" t="s">
        <v>739</v>
      </c>
      <c r="U10" s="114">
        <v>3</v>
      </c>
      <c r="W10" s="514" t="s">
        <v>806</v>
      </c>
      <c r="X10" s="515">
        <v>1</v>
      </c>
      <c r="Z10" s="514" t="s">
        <v>741</v>
      </c>
      <c r="AA10" s="515">
        <v>2</v>
      </c>
      <c r="AE10">
        <v>29.4</v>
      </c>
      <c r="AF10">
        <v>71.5</v>
      </c>
    </row>
    <row r="11" spans="1:32" x14ac:dyDescent="0.25">
      <c r="A11" s="55" t="s">
        <v>4</v>
      </c>
      <c r="B11" s="29">
        <f>'Design Regulator'!E10</f>
        <v>3.3</v>
      </c>
      <c r="C11" t="s">
        <v>0</v>
      </c>
      <c r="D11" s="112" t="s">
        <v>616</v>
      </c>
      <c r="I11" s="56"/>
      <c r="O11" s="660" t="b">
        <f>IF(INPUT_UVLO=1, TRUE, FALSE)</f>
        <v>1</v>
      </c>
      <c r="T11" s="285" t="s">
        <v>740</v>
      </c>
      <c r="U11" s="114">
        <v>4</v>
      </c>
      <c r="V11" s="112"/>
    </row>
    <row r="12" spans="1:32" x14ac:dyDescent="0.25">
      <c r="A12" s="55" t="s">
        <v>5</v>
      </c>
      <c r="B12" s="29">
        <f>'Design Regulator'!E11</f>
        <v>5</v>
      </c>
      <c r="C12" t="s">
        <v>1</v>
      </c>
      <c r="D12" s="112" t="s">
        <v>617</v>
      </c>
      <c r="I12" s="56">
        <v>1</v>
      </c>
      <c r="T12" s="514" t="s">
        <v>608</v>
      </c>
      <c r="U12" s="515">
        <v>1</v>
      </c>
      <c r="V12" s="112"/>
    </row>
    <row r="13" spans="1:32" x14ac:dyDescent="0.25">
      <c r="A13" s="208" t="s">
        <v>603</v>
      </c>
      <c r="B13" s="29">
        <f>'Design Regulator'!J10</f>
        <v>5</v>
      </c>
      <c r="C13" t="s">
        <v>0</v>
      </c>
      <c r="D13" s="112" t="s">
        <v>619</v>
      </c>
      <c r="I13" s="56">
        <v>1</v>
      </c>
      <c r="K13" s="285" t="s">
        <v>680</v>
      </c>
      <c r="L13" s="114">
        <v>1</v>
      </c>
      <c r="N13" s="285" t="s">
        <v>680</v>
      </c>
      <c r="O13" s="114">
        <v>1</v>
      </c>
      <c r="T13" s="573" t="s">
        <v>749</v>
      </c>
      <c r="U13" s="569">
        <f>IF(U12=1, 1, 2)</f>
        <v>1</v>
      </c>
      <c r="V13" s="112"/>
      <c r="W13" s="44" t="s">
        <v>833</v>
      </c>
      <c r="X13" s="114">
        <v>1</v>
      </c>
      <c r="Z13" s="285" t="s">
        <v>795</v>
      </c>
      <c r="AA13" s="114">
        <v>1</v>
      </c>
    </row>
    <row r="14" spans="1:32" x14ac:dyDescent="0.25">
      <c r="A14" s="208" t="s">
        <v>604</v>
      </c>
      <c r="B14" s="29">
        <f>'Design Regulator'!J11</f>
        <v>5</v>
      </c>
      <c r="C14" t="s">
        <v>1</v>
      </c>
      <c r="D14" s="112" t="s">
        <v>618</v>
      </c>
      <c r="I14" s="56"/>
      <c r="K14" s="285" t="s">
        <v>681</v>
      </c>
      <c r="L14" s="114">
        <v>2</v>
      </c>
      <c r="N14" s="285" t="s">
        <v>681</v>
      </c>
      <c r="O14" s="114">
        <v>2</v>
      </c>
      <c r="T14" s="287" t="s">
        <v>748</v>
      </c>
      <c r="U14" s="574">
        <f>IF(U12=1, 2, 1)</f>
        <v>2</v>
      </c>
      <c r="W14" s="285" t="s">
        <v>835</v>
      </c>
      <c r="X14" s="114">
        <v>2</v>
      </c>
      <c r="Z14" s="285" t="s">
        <v>796</v>
      </c>
      <c r="AA14" s="114">
        <v>2</v>
      </c>
    </row>
    <row r="15" spans="1:32" x14ac:dyDescent="0.25">
      <c r="A15" s="208"/>
      <c r="C15"/>
      <c r="D15" s="112"/>
      <c r="I15" s="56"/>
      <c r="K15">
        <v>12</v>
      </c>
      <c r="L15" s="114">
        <v>3</v>
      </c>
      <c r="N15" s="285" t="s">
        <v>852</v>
      </c>
      <c r="O15" s="114">
        <v>3</v>
      </c>
      <c r="T15" s="287" t="s">
        <v>747</v>
      </c>
      <c r="U15" s="290">
        <f>SCH_MODE</f>
        <v>1</v>
      </c>
      <c r="W15" s="285" t="s">
        <v>836</v>
      </c>
      <c r="X15" s="114">
        <v>3</v>
      </c>
      <c r="Z15" s="514" t="s">
        <v>797</v>
      </c>
      <c r="AA15" s="515">
        <v>1</v>
      </c>
    </row>
    <row r="16" spans="1:32" x14ac:dyDescent="0.25">
      <c r="A16" s="208" t="s">
        <v>316</v>
      </c>
      <c r="B16" s="500">
        <f>Vout/Iout</f>
        <v>0.65999999999999992</v>
      </c>
      <c r="C16" s="209" t="s">
        <v>116</v>
      </c>
      <c r="D16" s="112" t="s">
        <v>606</v>
      </c>
      <c r="I16" s="56"/>
      <c r="K16" s="285" t="s">
        <v>682</v>
      </c>
      <c r="L16" s="114">
        <v>4</v>
      </c>
      <c r="N16" s="285" t="s">
        <v>682</v>
      </c>
      <c r="O16" s="114">
        <v>4</v>
      </c>
      <c r="W16" s="514" t="s">
        <v>834</v>
      </c>
      <c r="X16" s="515">
        <v>1</v>
      </c>
      <c r="AA16" s="114">
        <f>SENSING_TYPE</f>
        <v>1</v>
      </c>
    </row>
    <row r="17" spans="1:25" x14ac:dyDescent="0.25">
      <c r="A17" s="208" t="s">
        <v>605</v>
      </c>
      <c r="B17" s="500">
        <f>Vout2/Iout2</f>
        <v>1</v>
      </c>
      <c r="C17" s="209" t="s">
        <v>116</v>
      </c>
      <c r="D17" s="112"/>
      <c r="I17" s="56"/>
      <c r="K17" s="514" t="s">
        <v>683</v>
      </c>
      <c r="L17" s="515">
        <f>IF(Vout=3.3, 1, IF(Vout=5, 2, IF(Vout=12, 3, 4)))</f>
        <v>1</v>
      </c>
      <c r="N17" s="514" t="s">
        <v>684</v>
      </c>
      <c r="O17" s="515">
        <f>IF(Vout2=3.3, 1, IF(Vout2=5, 2, IF(Vout2=12, 3, 4)))</f>
        <v>2</v>
      </c>
      <c r="T17">
        <f>SCH_MODE</f>
        <v>1</v>
      </c>
      <c r="X17" s="660" t="b">
        <f>IF(CNFG=1, TRUE, FALSE)</f>
        <v>1</v>
      </c>
    </row>
    <row r="18" spans="1:25" x14ac:dyDescent="0.25">
      <c r="A18" s="208" t="s">
        <v>288</v>
      </c>
      <c r="B18" s="284">
        <f>CHOOSE(MODE, Vout*Iout+Vout2*Iout2, Vout*Iout)</f>
        <v>41.5</v>
      </c>
      <c r="C18" t="s">
        <v>116</v>
      </c>
      <c r="D18" s="112" t="s">
        <v>303</v>
      </c>
      <c r="I18" s="56"/>
      <c r="Y18" s="2"/>
    </row>
    <row r="19" spans="1:25" x14ac:dyDescent="0.25">
      <c r="A19" s="208"/>
      <c r="C19"/>
      <c r="D19" s="112"/>
      <c r="I19" s="56"/>
      <c r="X19" s="285" t="s">
        <v>858</v>
      </c>
      <c r="Y19" s="290">
        <v>1</v>
      </c>
    </row>
    <row r="20" spans="1:25" x14ac:dyDescent="0.25">
      <c r="A20" s="208" t="s">
        <v>127</v>
      </c>
      <c r="B20" s="398">
        <v>0.9</v>
      </c>
      <c r="C20"/>
      <c r="D20" s="112" t="s">
        <v>417</v>
      </c>
      <c r="I20" s="56"/>
      <c r="X20" s="285" t="s">
        <v>859</v>
      </c>
      <c r="Y20" s="290">
        <v>2</v>
      </c>
    </row>
    <row r="21" spans="1:25" x14ac:dyDescent="0.25">
      <c r="A21" s="208" t="s">
        <v>292</v>
      </c>
      <c r="B21" s="303">
        <f>Pout/Efficiency</f>
        <v>46.111111111111107</v>
      </c>
      <c r="C21" t="s">
        <v>116</v>
      </c>
      <c r="D21" s="112" t="s">
        <v>607</v>
      </c>
      <c r="I21" s="56"/>
      <c r="L21">
        <f>Vout</f>
        <v>3.3</v>
      </c>
      <c r="X21" s="285" t="s">
        <v>860</v>
      </c>
      <c r="Y21" s="290">
        <v>3</v>
      </c>
    </row>
    <row r="22" spans="1:25" x14ac:dyDescent="0.25">
      <c r="A22" s="208"/>
      <c r="B22" s="48"/>
      <c r="C22"/>
      <c r="D22" s="112"/>
      <c r="I22" s="56"/>
      <c r="X22" s="285" t="s">
        <v>861</v>
      </c>
      <c r="Y22" s="290">
        <v>4</v>
      </c>
    </row>
    <row r="23" spans="1:25" x14ac:dyDescent="0.25">
      <c r="A23" s="208" t="s">
        <v>289</v>
      </c>
      <c r="B23" s="296">
        <f>Pin/VIN_min</f>
        <v>2.0048309178743962</v>
      </c>
      <c r="C23" t="s">
        <v>1</v>
      </c>
      <c r="D23" s="112"/>
      <c r="I23" s="56"/>
      <c r="W23" s="515" t="s">
        <v>792</v>
      </c>
      <c r="X23" s="287" t="str">
        <f>CHOOSE(VARIANT, "LM5137F", "LM5137F-Q1", "LM25137F", "LM25137F-Q1")</f>
        <v>LM5137F-Q1</v>
      </c>
      <c r="Y23" s="515">
        <v>2</v>
      </c>
    </row>
    <row r="24" spans="1:25" x14ac:dyDescent="0.25">
      <c r="A24" s="208" t="s">
        <v>290</v>
      </c>
      <c r="B24" s="296">
        <f>Pin/VIN_nom</f>
        <v>1.9212962962962961</v>
      </c>
      <c r="C24" t="s">
        <v>1</v>
      </c>
      <c r="D24" s="112" t="s">
        <v>304</v>
      </c>
      <c r="I24" s="56"/>
      <c r="W24" s="515" t="s">
        <v>793</v>
      </c>
      <c r="X24" s="287">
        <f>CHOOSE(VARIANT, 80, 80, 42, 42)</f>
        <v>80</v>
      </c>
      <c r="Y24" t="s">
        <v>0</v>
      </c>
    </row>
    <row r="25" spans="1:25" x14ac:dyDescent="0.25">
      <c r="A25" s="208" t="s">
        <v>291</v>
      </c>
      <c r="B25" s="296">
        <f>Pin/VIN_max</f>
        <v>1.8444444444444443</v>
      </c>
      <c r="C25" t="s">
        <v>1</v>
      </c>
      <c r="D25" s="112"/>
      <c r="I25" s="56"/>
      <c r="W25" s="112" t="s">
        <v>794</v>
      </c>
      <c r="X25" s="285">
        <f>CHOOSE(VARIANT, 60, 60, 36, 36)</f>
        <v>60</v>
      </c>
      <c r="Y25" s="112" t="s">
        <v>0</v>
      </c>
    </row>
    <row r="26" spans="1:25" x14ac:dyDescent="0.25">
      <c r="A26" s="208"/>
      <c r="C26"/>
      <c r="D26" s="112"/>
      <c r="I26" s="56"/>
    </row>
    <row r="27" spans="1:25" x14ac:dyDescent="0.25">
      <c r="A27" s="57" t="s">
        <v>6</v>
      </c>
      <c r="B27" s="248">
        <f>'Design Regulator'!E12*1000</f>
        <v>440000</v>
      </c>
      <c r="C27" s="112" t="s">
        <v>9</v>
      </c>
      <c r="D27" s="112" t="s">
        <v>623</v>
      </c>
      <c r="I27" s="56"/>
    </row>
    <row r="28" spans="1:25" x14ac:dyDescent="0.25">
      <c r="A28" s="208" t="s">
        <v>772</v>
      </c>
      <c r="B28" s="507">
        <f>1/Fsw</f>
        <v>2.2727272727272728E-6</v>
      </c>
      <c r="C28" s="112" t="s">
        <v>531</v>
      </c>
      <c r="D28" s="112" t="s">
        <v>620</v>
      </c>
      <c r="I28" s="56">
        <v>1</v>
      </c>
    </row>
    <row r="29" spans="1:25" x14ac:dyDescent="0.25">
      <c r="A29" s="57" t="s">
        <v>41</v>
      </c>
      <c r="B29" s="58">
        <v>0.8</v>
      </c>
      <c r="C29" t="s">
        <v>0</v>
      </c>
      <c r="D29" s="112" t="s">
        <v>621</v>
      </c>
      <c r="I29" s="56"/>
    </row>
    <row r="30" spans="1:25" x14ac:dyDescent="0.25">
      <c r="A30" s="208" t="s">
        <v>275</v>
      </c>
      <c r="B30" s="297">
        <f>(1000000/(Fsw/1000)-15)/42.8*1000</f>
        <v>52750.637213254035</v>
      </c>
      <c r="C30" s="209" t="s">
        <v>116</v>
      </c>
      <c r="D30" s="112" t="s">
        <v>622</v>
      </c>
      <c r="I30" s="56"/>
    </row>
    <row r="31" spans="1:25" ht="13.8" thickBot="1" x14ac:dyDescent="0.3">
      <c r="A31" s="375"/>
      <c r="B31" s="375"/>
      <c r="C31" s="553"/>
      <c r="D31" s="375"/>
      <c r="E31" s="375"/>
      <c r="F31" s="375"/>
      <c r="G31" s="375"/>
      <c r="H31" s="375"/>
      <c r="I31" s="554"/>
    </row>
    <row r="33" spans="1:9" ht="16.2" thickBot="1" x14ac:dyDescent="0.35">
      <c r="A33" s="504" t="s">
        <v>689</v>
      </c>
      <c r="B33" s="2" t="s">
        <v>626</v>
      </c>
      <c r="D33" s="2" t="s">
        <v>627</v>
      </c>
    </row>
    <row r="34" spans="1:9" x14ac:dyDescent="0.25">
      <c r="A34" s="207" t="s">
        <v>14</v>
      </c>
      <c r="B34" s="280">
        <f>Vout/VIN_nom</f>
        <v>0.13749999999999998</v>
      </c>
      <c r="C34" s="556"/>
      <c r="D34" s="283"/>
      <c r="E34" s="283"/>
      <c r="F34" s="115" t="s">
        <v>286</v>
      </c>
      <c r="G34" s="62"/>
      <c r="H34" s="62"/>
      <c r="I34" s="63"/>
    </row>
    <row r="35" spans="1:9" x14ac:dyDescent="0.25">
      <c r="A35" s="208" t="s">
        <v>15</v>
      </c>
      <c r="B35" s="281">
        <f>1-34:34</f>
        <v>0.86250000000000004</v>
      </c>
      <c r="C35"/>
      <c r="F35" s="112" t="s">
        <v>287</v>
      </c>
      <c r="I35" s="56"/>
    </row>
    <row r="36" spans="1:9" x14ac:dyDescent="0.25">
      <c r="A36" s="112"/>
      <c r="C36"/>
      <c r="E36" s="112"/>
      <c r="I36" s="56"/>
    </row>
    <row r="37" spans="1:9" x14ac:dyDescent="0.25">
      <c r="A37" s="208" t="s">
        <v>691</v>
      </c>
      <c r="B37" s="291">
        <f>Vout/VIN_min</f>
        <v>0.14347826086956522</v>
      </c>
      <c r="C37"/>
      <c r="D37" s="291">
        <f>Vout2/VIN_min</f>
        <v>0.21739130434782608</v>
      </c>
      <c r="E37" s="112"/>
      <c r="I37" s="56"/>
    </row>
    <row r="38" spans="1:9" x14ac:dyDescent="0.25">
      <c r="A38" s="208" t="s">
        <v>692</v>
      </c>
      <c r="B38" s="291">
        <f>Vout/VIN_nom</f>
        <v>0.13749999999999998</v>
      </c>
      <c r="C38"/>
      <c r="D38" s="291">
        <f>Vout2/VIN_nom</f>
        <v>0.20833333333333334</v>
      </c>
      <c r="I38" s="56"/>
    </row>
    <row r="39" spans="1:9" x14ac:dyDescent="0.25">
      <c r="A39" s="208" t="s">
        <v>693</v>
      </c>
      <c r="B39" s="291">
        <f>Vout/VIN_max</f>
        <v>0.13200000000000001</v>
      </c>
      <c r="C39"/>
      <c r="D39" s="291">
        <f>Vout2/VIN_max</f>
        <v>0.2</v>
      </c>
      <c r="E39" s="112"/>
      <c r="I39" s="56"/>
    </row>
    <row r="40" spans="1:9" x14ac:dyDescent="0.25">
      <c r="A40" s="112"/>
      <c r="B40" s="537"/>
      <c r="C40" s="112"/>
      <c r="E40" s="112"/>
      <c r="I40" s="56"/>
    </row>
    <row r="41" spans="1:9" x14ac:dyDescent="0.25">
      <c r="A41" s="112" t="s">
        <v>296</v>
      </c>
      <c r="B41" s="282">
        <f>(VIN_nom-Vout)*D1_Vinnom/(Fsw*(Iout/Number_of_Phases)*0.35)</f>
        <v>3.6964285714285706E-6</v>
      </c>
      <c r="C41" t="s">
        <v>19</v>
      </c>
      <c r="D41" s="282">
        <f>(VIN_nom-Vout2)*D2_Vinnom/(Fsw*Iout2*0.35)</f>
        <v>5.140692640692641E-6</v>
      </c>
      <c r="E41" t="s">
        <v>19</v>
      </c>
      <c r="F41" s="112" t="s">
        <v>628</v>
      </c>
      <c r="I41" s="56"/>
    </row>
    <row r="42" spans="1:9" x14ac:dyDescent="0.25">
      <c r="A42" s="112" t="s">
        <v>624</v>
      </c>
      <c r="B42" s="282">
        <f>1000*Vout*Rs/21.82/Fsw</f>
        <v>3.0934922089825843E-6</v>
      </c>
      <c r="C42" t="s">
        <v>19</v>
      </c>
      <c r="D42" s="282">
        <f>1000*Vout2*Rs_Ch2/21.82/Fsw</f>
        <v>4.1663194733772185E-6</v>
      </c>
      <c r="E42" t="s">
        <v>19</v>
      </c>
      <c r="F42" s="112" t="s">
        <v>690</v>
      </c>
      <c r="I42" s="56"/>
    </row>
    <row r="43" spans="1:9" x14ac:dyDescent="0.25">
      <c r="A43" s="112"/>
      <c r="C43" s="112"/>
      <c r="E43" s="112"/>
      <c r="I43" s="56"/>
    </row>
    <row r="44" spans="1:9" x14ac:dyDescent="0.25">
      <c r="A44" s="208" t="s">
        <v>297</v>
      </c>
      <c r="B44" s="282">
        <f>B42</f>
        <v>3.0934922089825843E-6</v>
      </c>
      <c r="C44" t="s">
        <v>19</v>
      </c>
      <c r="D44" s="511">
        <f>D42</f>
        <v>4.1663194733772185E-6</v>
      </c>
      <c r="E44" s="112" t="s">
        <v>19</v>
      </c>
      <c r="F44" s="112" t="s">
        <v>532</v>
      </c>
      <c r="I44" s="56"/>
    </row>
    <row r="45" spans="1:9" x14ac:dyDescent="0.25">
      <c r="A45" s="208"/>
      <c r="B45" s="4">
        <f>Lopt*1000000</f>
        <v>3.0934922089825845</v>
      </c>
      <c r="C45" s="112" t="s">
        <v>213</v>
      </c>
      <c r="D45" s="4">
        <f>Lopt2*1000000</f>
        <v>4.1663194733772189</v>
      </c>
      <c r="E45" s="112" t="s">
        <v>213</v>
      </c>
      <c r="I45" s="56"/>
    </row>
    <row r="46" spans="1:9" x14ac:dyDescent="0.25">
      <c r="A46" s="612"/>
      <c r="C46"/>
      <c r="E46" s="112"/>
      <c r="I46" s="56"/>
    </row>
    <row r="47" spans="1:9" x14ac:dyDescent="0.25">
      <c r="A47" s="208" t="s">
        <v>646</v>
      </c>
      <c r="B47" s="70">
        <f>'Design Regulator'!E28/1000000</f>
        <v>3.2999999999999997E-6</v>
      </c>
      <c r="C47" t="s">
        <v>19</v>
      </c>
      <c r="D47" s="70">
        <f>'Design Regulator'!J28/1000000</f>
        <v>4.6999999999999999E-6</v>
      </c>
      <c r="E47" t="s">
        <v>19</v>
      </c>
      <c r="F47" s="112" t="s">
        <v>533</v>
      </c>
      <c r="I47" s="56"/>
    </row>
    <row r="48" spans="1:9" x14ac:dyDescent="0.25">
      <c r="A48" s="208" t="s">
        <v>11</v>
      </c>
      <c r="B48" s="29">
        <f>'Design Regulator'!E29/1000</f>
        <v>2.5000000000000001E-2</v>
      </c>
      <c r="C48" s="209" t="s">
        <v>116</v>
      </c>
      <c r="D48" s="29">
        <f>'Design Regulator'!J29/1000</f>
        <v>2.4500000000000001E-2</v>
      </c>
      <c r="E48" s="209" t="s">
        <v>116</v>
      </c>
      <c r="F48" s="112" t="s">
        <v>534</v>
      </c>
      <c r="I48" s="56"/>
    </row>
    <row r="49" spans="1:9" x14ac:dyDescent="0.25">
      <c r="A49" s="208"/>
      <c r="B49" s="112"/>
      <c r="C49" s="112"/>
      <c r="D49" s="112"/>
      <c r="E49" s="112"/>
      <c r="I49" s="56"/>
    </row>
    <row r="50" spans="1:9" x14ac:dyDescent="0.25">
      <c r="A50" s="208" t="s">
        <v>16</v>
      </c>
      <c r="B50" s="291">
        <f>(Vout+Iout*(Rdcr+Rs))/(Vin+Iout*Rs)</f>
        <v>0.14431274693283425</v>
      </c>
      <c r="C50"/>
      <c r="I50" s="56"/>
    </row>
    <row r="51" spans="1:9" x14ac:dyDescent="0.25">
      <c r="A51" s="208" t="s">
        <v>17</v>
      </c>
      <c r="B51" s="291">
        <f>1-_Don2</f>
        <v>0.85568725306716575</v>
      </c>
      <c r="C51"/>
      <c r="I51" s="56"/>
    </row>
    <row r="52" spans="1:9" x14ac:dyDescent="0.25">
      <c r="A52" s="208"/>
      <c r="C52"/>
      <c r="I52" s="56"/>
    </row>
    <row r="53" spans="1:9" x14ac:dyDescent="0.25">
      <c r="A53" s="208" t="s">
        <v>694</v>
      </c>
      <c r="B53" s="291">
        <f>CHOOSE(MODE, (Vout+Iout*(Rdcr+Rs))/(VIN_min+Iout*Rs), (Vout+Iout/Number_of_Phases*(Rdcr+Rs))/(VIN_min+Iout/Number_of_Phases*Rs))</f>
        <v>0.15057496203080925</v>
      </c>
      <c r="C53"/>
      <c r="D53" s="291">
        <f>(Vout2+Iout2*(Rdcr2+Rs_Ch2))/(VIN_min+Iout2*Rs_Ch2)</f>
        <v>0.22406684027777776</v>
      </c>
      <c r="F53" s="112" t="s">
        <v>629</v>
      </c>
      <c r="I53" s="56"/>
    </row>
    <row r="54" spans="1:9" ht="15.6" x14ac:dyDescent="0.35">
      <c r="A54" s="208" t="s">
        <v>695</v>
      </c>
      <c r="B54" s="291">
        <f>CHOOSE(MODE, (Vout+Iout*(Rdcr+Rs))/(VIN_nom+Iout*Rs), (Vout+Iout/Number_of_Phases*(Rdcr+Rs))/(VIN_nom+Iout/Number_of_Phases*Rs))</f>
        <v>0.14431274693283425</v>
      </c>
      <c r="C54"/>
      <c r="D54" s="291">
        <f>(Vout2+Iout2*(Rdcr2+Rs_Ch2))/(VIN_nom+Iout2*Rs_Ch2)</f>
        <v>0.21474625623960067</v>
      </c>
      <c r="F54" s="370" t="s">
        <v>418</v>
      </c>
      <c r="I54" s="56"/>
    </row>
    <row r="55" spans="1:9" x14ac:dyDescent="0.25">
      <c r="A55" s="208" t="s">
        <v>696</v>
      </c>
      <c r="B55" s="291">
        <f>CHOOSE(MODE, (Vout+Iout*(Rdcr+Rs))/(VIN_max+Iout*Rs), (Vout+Iout/Number_of_Phases*(Rdcr+Rs))/(VIN_max+Iout/Number_of_Phases*Rs))</f>
        <v>0.13855060890397283</v>
      </c>
      <c r="C55"/>
      <c r="D55" s="291">
        <f>(Vout2+Iout2*(Rdcr2+Rs_Ch2))/(VIN_max+Iout2*Rs_Ch2)</f>
        <v>0.20617012779552715</v>
      </c>
      <c r="I55" s="56"/>
    </row>
    <row r="56" spans="1:9" x14ac:dyDescent="0.25">
      <c r="A56" s="208"/>
      <c r="C56"/>
      <c r="I56" s="56"/>
    </row>
    <row r="57" spans="1:9" x14ac:dyDescent="0.25">
      <c r="A57" s="208" t="s">
        <v>293</v>
      </c>
      <c r="B57" s="501">
        <f>MAX(0, (VIN_min-Vout)*D1_Vinmin_2/(Fsw*Lf))</f>
        <v>2.0429247603353597</v>
      </c>
      <c r="C57" s="112" t="s">
        <v>1</v>
      </c>
      <c r="D57" s="501">
        <f>MAX(0.1, (VIN_min-Vout2)*D2_Vinmin_2/(Fsw*Lo_2))</f>
        <v>1.9502916465183753</v>
      </c>
      <c r="E57" s="112" t="s">
        <v>1</v>
      </c>
      <c r="G57" s="30"/>
      <c r="I57" s="56"/>
    </row>
    <row r="58" spans="1:9" x14ac:dyDescent="0.25">
      <c r="A58" s="208" t="s">
        <v>294</v>
      </c>
      <c r="B58" s="501">
        <f>MAX(0, (VIN_nom-Vout)*D1_Vinnom_2/(Fsw*Lf))</f>
        <v>2.0573511442904056</v>
      </c>
      <c r="C58" s="112" t="s">
        <v>1</v>
      </c>
      <c r="D58" s="501">
        <f>MAX(0, (VIN_nom-Vout2)*D2_Vinnom_2/(Fsw*Lo_2))</f>
        <v>1.9730071898222497</v>
      </c>
      <c r="E58" s="112" t="s">
        <v>1</v>
      </c>
      <c r="I58" s="56"/>
    </row>
    <row r="59" spans="1:9" x14ac:dyDescent="0.25">
      <c r="A59" s="208" t="s">
        <v>295</v>
      </c>
      <c r="B59" s="501">
        <f>MAX(0, (VIN_max-Vout)*D1_Vinmax_2/(Fsw*Lf))</f>
        <v>2.0706254911957371</v>
      </c>
      <c r="C59" s="112" t="s">
        <v>1</v>
      </c>
      <c r="D59" s="501">
        <f>MAX(0, (VIN_max-Vout2)*D2_Vinmax_2/(Fsw*Lo_2))</f>
        <v>1.9939083926066454</v>
      </c>
      <c r="E59" s="112" t="s">
        <v>1</v>
      </c>
      <c r="I59" s="56"/>
    </row>
    <row r="60" spans="1:9" x14ac:dyDescent="0.25">
      <c r="A60" s="208"/>
      <c r="B60" s="555"/>
      <c r="D60" s="463"/>
      <c r="E60" s="112"/>
      <c r="I60" s="56"/>
    </row>
    <row r="61" spans="1:9" x14ac:dyDescent="0.25">
      <c r="A61" s="208" t="s">
        <v>549</v>
      </c>
      <c r="B61" s="557">
        <f>SQRT((Iout/Number_of_Phases)^2+(Iripple_Vinmin^2)/12)</f>
        <v>5.0346593858339554</v>
      </c>
      <c r="C61" s="112" t="s">
        <v>1</v>
      </c>
      <c r="D61" s="296">
        <f>SQRT(Iout2^2+(Iripple2_Vinmin^2)/12)</f>
        <v>5.0315971412869107</v>
      </c>
      <c r="E61" s="112" t="s">
        <v>1</v>
      </c>
      <c r="F61" s="351"/>
      <c r="I61" s="56"/>
    </row>
    <row r="62" spans="1:9" x14ac:dyDescent="0.25">
      <c r="A62" s="208" t="s">
        <v>550</v>
      </c>
      <c r="B62" s="557">
        <f>SQRT((Iout/Number_of_Phases)^2+(Iripple_Vinnom^2)/12)</f>
        <v>5.0351489032178662</v>
      </c>
      <c r="C62" s="112" t="s">
        <v>1</v>
      </c>
      <c r="D62" s="296">
        <f>SQRT(Iout2^2+(Iripple2_Vinnom^2)/12)</f>
        <v>5.0323350889612728</v>
      </c>
      <c r="E62" s="112" t="s">
        <v>1</v>
      </c>
      <c r="F62" s="351"/>
      <c r="I62" s="56"/>
    </row>
    <row r="63" spans="1:9" x14ac:dyDescent="0.25">
      <c r="A63" s="208" t="s">
        <v>551</v>
      </c>
      <c r="B63" s="557">
        <f>SQRT((Iout/Number_of_Phases)^2+(Iripple_Vinmax^2)/12)</f>
        <v>5.0356023301156139</v>
      </c>
      <c r="C63" s="112" t="s">
        <v>1</v>
      </c>
      <c r="D63" s="296">
        <f>SQRT(Iout2^2+(Iripple2_Vinmax^2)/12)</f>
        <v>5.0330215467293868</v>
      </c>
      <c r="E63" s="112" t="s">
        <v>1</v>
      </c>
      <c r="F63" s="351"/>
      <c r="I63" s="56"/>
    </row>
    <row r="64" spans="1:9" x14ac:dyDescent="0.25">
      <c r="A64" s="208" t="s">
        <v>552</v>
      </c>
      <c r="B64" s="558">
        <f>B62^2*Rs</f>
        <v>0.22817452029818472</v>
      </c>
      <c r="C64" s="112" t="s">
        <v>116</v>
      </c>
      <c r="D64" s="558">
        <f>D62^2*Rs</f>
        <v>0.22791956802831773</v>
      </c>
      <c r="E64" s="112" t="s">
        <v>116</v>
      </c>
      <c r="F64" s="385" t="s">
        <v>647</v>
      </c>
      <c r="I64" s="56"/>
    </row>
    <row r="65" spans="1:16" x14ac:dyDescent="0.25">
      <c r="A65" s="208"/>
      <c r="B65" s="112"/>
      <c r="C65" s="112"/>
      <c r="D65" s="112"/>
      <c r="I65" s="56"/>
    </row>
    <row r="66" spans="1:16" x14ac:dyDescent="0.25">
      <c r="A66" s="208" t="s">
        <v>302</v>
      </c>
      <c r="B66" s="292">
        <f>MAX(B57:B59)</f>
        <v>2.0706254911957371</v>
      </c>
      <c r="C66" s="385" t="s">
        <v>1</v>
      </c>
      <c r="D66" s="292">
        <f t="shared" ref="D66" si="0">MAX(D57:D59)</f>
        <v>1.9939083926066454</v>
      </c>
      <c r="E66" s="112" t="s">
        <v>1</v>
      </c>
      <c r="F66" s="112" t="s">
        <v>648</v>
      </c>
      <c r="I66" s="56"/>
    </row>
    <row r="67" spans="1:16" x14ac:dyDescent="0.25">
      <c r="A67" s="208"/>
      <c r="B67" s="112"/>
      <c r="C67" s="112"/>
      <c r="D67" s="112"/>
      <c r="F67" s="112"/>
      <c r="G67" s="285"/>
      <c r="I67" s="56"/>
    </row>
    <row r="68" spans="1:16" x14ac:dyDescent="0.25">
      <c r="B68" s="399">
        <f>B57/(Iout/Number_of_Phases)</f>
        <v>0.40858495206707196</v>
      </c>
      <c r="C68" s="560"/>
      <c r="D68" s="399">
        <f>D57/Iout2</f>
        <v>0.39005832930367507</v>
      </c>
      <c r="F68" s="4"/>
      <c r="G68" s="400"/>
      <c r="I68" s="56"/>
    </row>
    <row r="69" spans="1:16" x14ac:dyDescent="0.25">
      <c r="A69" s="208" t="s">
        <v>733</v>
      </c>
      <c r="B69" s="399">
        <f>B58/(Iout/Number_of_Phases)</f>
        <v>0.4114702288580811</v>
      </c>
      <c r="C69"/>
      <c r="D69" s="399">
        <f>D58/Iout2</f>
        <v>0.39460143796444991</v>
      </c>
      <c r="F69" s="4"/>
      <c r="G69" s="400"/>
      <c r="I69" s="56"/>
    </row>
    <row r="70" spans="1:16" x14ac:dyDescent="0.25">
      <c r="A70" s="208"/>
      <c r="B70" s="399">
        <f>B59/(Iout/Number_of_Phases)</f>
        <v>0.41412509823914745</v>
      </c>
      <c r="C70"/>
      <c r="D70" s="399">
        <f>D59/Iout2</f>
        <v>0.39878167852132906</v>
      </c>
      <c r="F70" s="4"/>
      <c r="G70" s="400"/>
      <c r="I70" s="56"/>
    </row>
    <row r="71" spans="1:16" x14ac:dyDescent="0.25">
      <c r="A71" s="208"/>
      <c r="C71"/>
      <c r="I71" s="56"/>
    </row>
    <row r="72" spans="1:16" x14ac:dyDescent="0.25">
      <c r="A72" s="112" t="s">
        <v>625</v>
      </c>
      <c r="B72" s="398">
        <v>100</v>
      </c>
      <c r="C72" s="112" t="s">
        <v>453</v>
      </c>
      <c r="D72" s="559">
        <v>100</v>
      </c>
      <c r="E72" s="112" t="s">
        <v>453</v>
      </c>
      <c r="I72" s="56"/>
    </row>
    <row r="73" spans="1:16" x14ac:dyDescent="0.25">
      <c r="A73" s="208" t="s">
        <v>212</v>
      </c>
      <c r="B73" s="381">
        <f>Rdcr*(1+0.0039*(B72-25))</f>
        <v>3.2312500000000001E-2</v>
      </c>
      <c r="C73" s="209" t="s">
        <v>116</v>
      </c>
      <c r="D73" s="298">
        <f>Rdcr2*(1+0.0039*(D72-25))</f>
        <v>3.166625E-2</v>
      </c>
      <c r="E73" s="209" t="s">
        <v>116</v>
      </c>
      <c r="I73" s="56"/>
    </row>
    <row r="74" spans="1:16" ht="13.8" thickBot="1" x14ac:dyDescent="0.3">
      <c r="A74" s="305"/>
      <c r="B74" s="306"/>
      <c r="C74" s="60"/>
      <c r="D74" s="60"/>
      <c r="E74" s="60"/>
      <c r="F74" s="60"/>
      <c r="G74" s="60"/>
      <c r="H74" s="60"/>
      <c r="I74" s="61"/>
    </row>
    <row r="75" spans="1:16" x14ac:dyDescent="0.25">
      <c r="A75" s="2"/>
      <c r="B75" s="1"/>
      <c r="C75" s="1"/>
    </row>
    <row r="76" spans="1:16" ht="16.2" thickBot="1" x14ac:dyDescent="0.35">
      <c r="A76" s="504" t="s">
        <v>380</v>
      </c>
      <c r="B76" s="1"/>
      <c r="C76" s="1"/>
    </row>
    <row r="77" spans="1:16" x14ac:dyDescent="0.25">
      <c r="A77" s="89"/>
      <c r="B77" s="62"/>
      <c r="C77" s="62"/>
      <c r="D77" s="62"/>
      <c r="E77" s="62"/>
      <c r="F77" s="62"/>
      <c r="G77" s="62"/>
      <c r="H77" s="62"/>
      <c r="I77" s="63"/>
    </row>
    <row r="78" spans="1:16" x14ac:dyDescent="0.25">
      <c r="A78" s="208" t="s">
        <v>301</v>
      </c>
      <c r="B78" s="29">
        <f>'Design Regulator'!E17</f>
        <v>6</v>
      </c>
      <c r="C78" t="s">
        <v>1</v>
      </c>
      <c r="D78" s="308">
        <f>'Design Regulator'!J17</f>
        <v>6</v>
      </c>
      <c r="E78" s="112" t="s">
        <v>1</v>
      </c>
      <c r="F78" s="112" t="s">
        <v>503</v>
      </c>
      <c r="I78" s="56"/>
      <c r="K78" s="112"/>
      <c r="N78" s="112"/>
    </row>
    <row r="79" spans="1:16" x14ac:dyDescent="0.25">
      <c r="A79" s="208"/>
      <c r="C79"/>
      <c r="I79" s="56"/>
      <c r="K79" s="112"/>
      <c r="L79" s="112"/>
    </row>
    <row r="80" spans="1:16" x14ac:dyDescent="0.25">
      <c r="A80" s="208" t="s">
        <v>306</v>
      </c>
      <c r="B80" s="296">
        <f>CHOOSE(MODE, Ilimit_DC+Iripple_Vinmin/2, Ilimit_DC/Number_of_Phases+Iripple_Vinmin/2)</f>
        <v>7.0214623801676801</v>
      </c>
      <c r="C80" t="s">
        <v>1</v>
      </c>
      <c r="D80" s="296">
        <f>Ilimit2_DC+Iripple2_Vinmin/2</f>
        <v>6.9751458232591874</v>
      </c>
      <c r="E80" s="112" t="s">
        <v>1</v>
      </c>
      <c r="F80" s="112" t="s">
        <v>631</v>
      </c>
      <c r="I80" s="56"/>
      <c r="K80" s="4"/>
      <c r="L80" s="4"/>
      <c r="N80" s="302"/>
      <c r="P80" s="302"/>
    </row>
    <row r="81" spans="1:16" x14ac:dyDescent="0.25">
      <c r="A81" s="208" t="s">
        <v>308</v>
      </c>
      <c r="B81" s="296">
        <f>CHOOSE(MODE, Ilimit_DC+Iripple_Vinnom/2, Ilimit_DC/Number_of_Phases+Iripple_Vinnom/2)</f>
        <v>7.028675572145203</v>
      </c>
      <c r="C81" t="s">
        <v>1</v>
      </c>
      <c r="D81" s="296">
        <f>Ilimit2_DC+Iripple2_Vinnom/2</f>
        <v>6.9865035949111247</v>
      </c>
      <c r="E81" s="112" t="s">
        <v>1</v>
      </c>
      <c r="I81" s="56"/>
      <c r="K81" s="4"/>
      <c r="L81" s="4"/>
      <c r="N81" s="302"/>
      <c r="P81" s="302"/>
    </row>
    <row r="82" spans="1:16" x14ac:dyDescent="0.25">
      <c r="A82" s="208" t="s">
        <v>307</v>
      </c>
      <c r="B82" s="296">
        <f>CHOOSE(MODE, Ilimit_DC+Iripple_Vinmax/2, Ilimit_DC/Number_of_Phases+Iripple_Vinmax/2)</f>
        <v>7.035312745597869</v>
      </c>
      <c r="C82" t="s">
        <v>1</v>
      </c>
      <c r="D82" s="296">
        <f>Ilimit2_DC+Iripple2_Vinmax/2</f>
        <v>6.9969541963033226</v>
      </c>
      <c r="E82" s="112" t="s">
        <v>1</v>
      </c>
      <c r="I82" s="56"/>
      <c r="K82" s="4"/>
      <c r="L82" s="4"/>
      <c r="N82" s="302"/>
      <c r="P82" s="302"/>
    </row>
    <row r="83" spans="1:16" x14ac:dyDescent="0.25">
      <c r="A83" s="208"/>
      <c r="B83" s="4"/>
      <c r="C83" s="112"/>
      <c r="D83" s="112"/>
      <c r="I83" s="56"/>
    </row>
    <row r="84" spans="1:16" x14ac:dyDescent="0.25">
      <c r="I84" s="56"/>
    </row>
    <row r="85" spans="1:16" x14ac:dyDescent="0.25">
      <c r="A85" s="208" t="s">
        <v>633</v>
      </c>
      <c r="B85" s="464">
        <v>5.3999999999999999E-2</v>
      </c>
      <c r="C85" s="112" t="s">
        <v>0</v>
      </c>
      <c r="E85" s="112"/>
      <c r="I85" s="56"/>
    </row>
    <row r="86" spans="1:16" x14ac:dyDescent="0.25">
      <c r="A86" s="208" t="s">
        <v>632</v>
      </c>
      <c r="B86" s="464">
        <v>0.06</v>
      </c>
      <c r="C86" s="112" t="s">
        <v>0</v>
      </c>
      <c r="E86" s="112"/>
      <c r="F86" s="2"/>
      <c r="I86" s="56"/>
    </row>
    <row r="87" spans="1:16" x14ac:dyDescent="0.25">
      <c r="A87" s="208" t="s">
        <v>634</v>
      </c>
      <c r="B87" s="464">
        <v>6.6000000000000003E-2</v>
      </c>
      <c r="C87" s="112" t="s">
        <v>0</v>
      </c>
      <c r="E87" s="112"/>
      <c r="I87" s="56"/>
    </row>
    <row r="88" spans="1:16" x14ac:dyDescent="0.25">
      <c r="A88" s="208"/>
      <c r="B88" s="351"/>
      <c r="C88" s="112"/>
      <c r="E88" s="112"/>
      <c r="F88">
        <f>SENSING_TYPE</f>
        <v>1</v>
      </c>
      <c r="I88" s="56"/>
    </row>
    <row r="89" spans="1:16" x14ac:dyDescent="0.25">
      <c r="A89" s="208" t="s">
        <v>535</v>
      </c>
      <c r="B89" s="298">
        <f>Buck_CS_threshold/B80</f>
        <v>8.5452284369523512E-3</v>
      </c>
      <c r="C89" s="209" t="s">
        <v>116</v>
      </c>
      <c r="D89" s="298">
        <f>Buck_CS_threshold/D80</f>
        <v>8.6019707000139188E-3</v>
      </c>
      <c r="E89" s="209" t="s">
        <v>116</v>
      </c>
      <c r="I89" s="56"/>
    </row>
    <row r="90" spans="1:16" x14ac:dyDescent="0.25">
      <c r="A90" s="208" t="s">
        <v>536</v>
      </c>
      <c r="B90" s="298">
        <f>Buck_CS_threshold/B81</f>
        <v>8.5364588796474437E-3</v>
      </c>
      <c r="C90" s="209" t="s">
        <v>116</v>
      </c>
      <c r="D90" s="298">
        <f>Buck_CS_threshold/D81</f>
        <v>8.5879867067846626E-3</v>
      </c>
      <c r="E90" s="209" t="s">
        <v>116</v>
      </c>
      <c r="I90" s="56"/>
    </row>
    <row r="91" spans="1:16" x14ac:dyDescent="0.25">
      <c r="A91" s="208" t="s">
        <v>537</v>
      </c>
      <c r="B91" s="298">
        <f>Buck_CS_threshold/B82</f>
        <v>8.5284055122557493E-3</v>
      </c>
      <c r="C91" s="209" t="s">
        <v>116</v>
      </c>
      <c r="D91" s="298">
        <f>Buck_CS_threshold/D82</f>
        <v>8.5751597504667952E-3</v>
      </c>
      <c r="E91" s="209" t="s">
        <v>116</v>
      </c>
      <c r="I91" s="56"/>
    </row>
    <row r="92" spans="1:16" x14ac:dyDescent="0.25">
      <c r="A92" s="208"/>
      <c r="B92" s="30"/>
      <c r="C92" s="209"/>
      <c r="E92" s="209"/>
      <c r="I92" s="56"/>
    </row>
    <row r="93" spans="1:16" x14ac:dyDescent="0.25">
      <c r="A93" s="208" t="s">
        <v>305</v>
      </c>
      <c r="B93" s="299">
        <f>B90</f>
        <v>8.5364588796474437E-3</v>
      </c>
      <c r="C93" s="209" t="s">
        <v>116</v>
      </c>
      <c r="D93" s="298">
        <f>D90</f>
        <v>8.5879867067846626E-3</v>
      </c>
      <c r="E93" s="209" t="s">
        <v>116</v>
      </c>
      <c r="F93" s="112" t="s">
        <v>635</v>
      </c>
      <c r="I93" s="56"/>
    </row>
    <row r="94" spans="1:16" x14ac:dyDescent="0.25">
      <c r="A94" s="208" t="s">
        <v>164</v>
      </c>
      <c r="B94" s="630">
        <f>'Design Regulator'!E19/1000</f>
        <v>8.9999999999999993E-3</v>
      </c>
      <c r="C94" s="209" t="s">
        <v>116</v>
      </c>
      <c r="D94" s="561">
        <f>'Design Regulator'!J19/1000</f>
        <v>8.0000000000000002E-3</v>
      </c>
      <c r="E94" s="209" t="s">
        <v>116</v>
      </c>
      <c r="F94" s="112" t="s">
        <v>309</v>
      </c>
      <c r="I94" s="56"/>
      <c r="K94" s="112"/>
      <c r="L94" s="112"/>
    </row>
    <row r="95" spans="1:16" x14ac:dyDescent="0.25">
      <c r="A95" s="208"/>
      <c r="B95" s="401"/>
      <c r="C95" s="209"/>
      <c r="E95" s="209"/>
      <c r="I95" s="56"/>
      <c r="K95" s="112"/>
      <c r="L95" s="112"/>
    </row>
    <row r="96" spans="1:16" x14ac:dyDescent="0.25">
      <c r="A96" s="208" t="s">
        <v>636</v>
      </c>
      <c r="B96" s="296">
        <f>Buck_CS_threshold/Rs</f>
        <v>6.666666666666667</v>
      </c>
      <c r="C96" s="112" t="s">
        <v>1</v>
      </c>
      <c r="D96" s="296">
        <f>Buck_CS_threshold/Rs_Ch2</f>
        <v>7.5</v>
      </c>
      <c r="E96" s="112" t="s">
        <v>1</v>
      </c>
      <c r="F96" s="112" t="s">
        <v>637</v>
      </c>
      <c r="I96" s="56"/>
    </row>
    <row r="97" spans="1:12" x14ac:dyDescent="0.25">
      <c r="A97" s="208"/>
      <c r="E97" s="2"/>
      <c r="I97" s="56"/>
    </row>
    <row r="98" spans="1:12" ht="15.6" x14ac:dyDescent="0.35">
      <c r="A98" s="208" t="s">
        <v>419</v>
      </c>
      <c r="B98" s="303">
        <f>Number_of_Phases*(Buck_CS_threshold/Rs-Iripple_Vinmin/2)</f>
        <v>5.6452042864989869</v>
      </c>
      <c r="C98" t="s">
        <v>1</v>
      </c>
      <c r="D98" s="303">
        <f>Buck_CS_threshold/Rs_Ch2-Iripple2_Vinmin/2</f>
        <v>6.5248541767408126</v>
      </c>
      <c r="E98" t="s">
        <v>1</v>
      </c>
      <c r="F98" s="112" t="s">
        <v>421</v>
      </c>
      <c r="I98" s="56"/>
    </row>
    <row r="99" spans="1:12" x14ac:dyDescent="0.25">
      <c r="A99" s="208" t="s">
        <v>449</v>
      </c>
      <c r="B99" s="303">
        <f>Number_of_Phases*(Buck_CS_threshold/Rs-Iripple_Vinnom/2)</f>
        <v>5.637991094521464</v>
      </c>
      <c r="C99" t="s">
        <v>1</v>
      </c>
      <c r="D99" s="303">
        <f>Buck_CS_threshold/Rs_Ch2-Iripple2_Vinnom/2</f>
        <v>6.5134964050888753</v>
      </c>
      <c r="E99" t="s">
        <v>1</v>
      </c>
      <c r="I99" s="56"/>
    </row>
    <row r="100" spans="1:12" x14ac:dyDescent="0.25">
      <c r="A100" s="208" t="s">
        <v>420</v>
      </c>
      <c r="B100" s="303">
        <f>Number_of_Phases*(Buck_CS_threshold/Rs-Iripple_Vinmax/2)</f>
        <v>5.6313539210687988</v>
      </c>
      <c r="C100" t="s">
        <v>1</v>
      </c>
      <c r="D100" s="303">
        <f>Buck_CS_threshold/Rs_Ch2-Iripple2_Vinmax/2</f>
        <v>6.5030458036966774</v>
      </c>
      <c r="E100" t="s">
        <v>1</v>
      </c>
      <c r="I100" s="56"/>
    </row>
    <row r="101" spans="1:12" x14ac:dyDescent="0.25">
      <c r="A101" s="208"/>
      <c r="B101" s="48"/>
      <c r="C101"/>
      <c r="D101" s="48"/>
      <c r="I101" s="56"/>
    </row>
    <row r="102" spans="1:12" x14ac:dyDescent="0.25">
      <c r="A102" s="208" t="s">
        <v>641</v>
      </c>
      <c r="B102" s="500">
        <f>SQRT((Iout_OCP_Vinmin/Number_of_Phases)^2+(Iripple_Vinmin^2)/12)</f>
        <v>5.6759251728394444</v>
      </c>
      <c r="C102" t="s">
        <v>1</v>
      </c>
      <c r="D102" s="500">
        <f>SQRT(Iout2_OCP_Vinmin^2+(Iripple2_Vinmin^2)/12)</f>
        <v>6.5490985501776224</v>
      </c>
      <c r="E102" t="s">
        <v>1</v>
      </c>
      <c r="I102" s="56"/>
    </row>
    <row r="103" spans="1:12" x14ac:dyDescent="0.25">
      <c r="A103" s="208" t="s">
        <v>642</v>
      </c>
      <c r="B103" s="500">
        <f>SQRT((Iout_OCP_Vinnom/Number_of_Phases)^2+(Iripple_Vinnom^2)/12)</f>
        <v>5.669185837444334</v>
      </c>
      <c r="C103" t="s">
        <v>1</v>
      </c>
      <c r="D103" s="500">
        <f>SQRT(Iout2_OCP_Vinnom^2+(Iripple2_Vinnom^2)/12)</f>
        <v>6.5383508522177483</v>
      </c>
      <c r="E103" t="s">
        <v>1</v>
      </c>
      <c r="I103" s="56"/>
    </row>
    <row r="104" spans="1:12" x14ac:dyDescent="0.25">
      <c r="A104" s="208" t="s">
        <v>643</v>
      </c>
      <c r="B104" s="500">
        <f>SQRT((Iout_OCP_Vinmax/Number_of_Phases)^2+(Iripple_Vinmax^2)/12)</f>
        <v>5.662988417028834</v>
      </c>
      <c r="C104" t="s">
        <v>1</v>
      </c>
      <c r="D104" s="500">
        <f>SQRT(Iout2_OCP_Vinmax^2+(Iripple2_Vinmax^2)/12)</f>
        <v>6.5284692397850232</v>
      </c>
      <c r="E104" t="s">
        <v>1</v>
      </c>
      <c r="I104" s="56"/>
    </row>
    <row r="105" spans="1:12" x14ac:dyDescent="0.25">
      <c r="A105" s="208"/>
      <c r="B105" s="48"/>
      <c r="C105"/>
      <c r="D105" s="48"/>
      <c r="I105" s="56"/>
    </row>
    <row r="106" spans="1:12" x14ac:dyDescent="0.25">
      <c r="A106" s="208" t="s">
        <v>638</v>
      </c>
      <c r="B106" s="500">
        <f>B102^2*Rs</f>
        <v>0.28994513910905223</v>
      </c>
      <c r="C106" s="112" t="s">
        <v>116</v>
      </c>
      <c r="D106" s="500">
        <f>D102^2*Rs_Ch2</f>
        <v>0.34312553455950912</v>
      </c>
      <c r="E106" s="112" t="s">
        <v>116</v>
      </c>
      <c r="F106" s="112" t="s">
        <v>644</v>
      </c>
      <c r="I106" s="56"/>
    </row>
    <row r="107" spans="1:12" x14ac:dyDescent="0.25">
      <c r="A107" s="208" t="s">
        <v>639</v>
      </c>
      <c r="B107" s="500">
        <f>B103^2*Rs</f>
        <v>0.28925701253531466</v>
      </c>
      <c r="C107" t="s">
        <v>116</v>
      </c>
      <c r="D107" s="500">
        <f>D103^2*Rs_Ch2</f>
        <v>0.34200025493357245</v>
      </c>
      <c r="E107" t="s">
        <v>116</v>
      </c>
      <c r="I107" s="56"/>
    </row>
    <row r="108" spans="1:12" x14ac:dyDescent="0.25">
      <c r="A108" s="208" t="s">
        <v>640</v>
      </c>
      <c r="B108" s="500">
        <f>B104^2*Rs</f>
        <v>0.28862494030262464</v>
      </c>
      <c r="C108" t="s">
        <v>116</v>
      </c>
      <c r="D108" s="500">
        <f>D104^2*Rs_Ch2</f>
        <v>0.34096728491855388</v>
      </c>
      <c r="E108" t="s">
        <v>116</v>
      </c>
      <c r="I108" s="56"/>
    </row>
    <row r="109" spans="1:12" ht="13.8" thickBot="1" x14ac:dyDescent="0.3">
      <c r="A109" s="59"/>
      <c r="B109" s="60"/>
      <c r="C109" s="60"/>
      <c r="D109" s="60"/>
      <c r="E109" s="116"/>
      <c r="F109" s="60"/>
      <c r="G109" s="60"/>
      <c r="H109" s="60"/>
      <c r="I109" s="61"/>
    </row>
    <row r="111" spans="1:12" ht="16.2" thickBot="1" x14ac:dyDescent="0.35">
      <c r="A111" s="513" t="s">
        <v>139</v>
      </c>
      <c r="D111" s="2"/>
    </row>
    <row r="112" spans="1:12" x14ac:dyDescent="0.25">
      <c r="A112" s="207" t="s">
        <v>312</v>
      </c>
      <c r="B112" s="566">
        <f>Iripple_Vinmin/SQRT(12)</f>
        <v>0.58974158015688583</v>
      </c>
      <c r="C112" s="304" t="s">
        <v>1</v>
      </c>
      <c r="D112" s="566">
        <f>Iripple2_Vinmin/SQRT(12)</f>
        <v>0.56300070355783127</v>
      </c>
      <c r="E112" s="304" t="s">
        <v>1</v>
      </c>
      <c r="F112" s="115" t="s">
        <v>311</v>
      </c>
      <c r="G112" s="62"/>
      <c r="H112" s="62"/>
      <c r="I112" s="63"/>
      <c r="L112" s="4"/>
    </row>
    <row r="113" spans="1:12" x14ac:dyDescent="0.25">
      <c r="A113" s="208" t="s">
        <v>313</v>
      </c>
      <c r="B113" s="500">
        <f>Iripple_Vinnom/SQRT(12)</f>
        <v>0.59390611848682517</v>
      </c>
      <c r="C113" s="112" t="s">
        <v>1</v>
      </c>
      <c r="D113" s="500">
        <f>Iripple2_Vinnom/SQRT(12)</f>
        <v>0.56955811607847151</v>
      </c>
      <c r="E113" s="112" t="s">
        <v>1</v>
      </c>
      <c r="F113" s="112"/>
      <c r="I113" s="56"/>
      <c r="L113" s="4"/>
    </row>
    <row r="114" spans="1:12" x14ac:dyDescent="0.25">
      <c r="A114" s="208" t="s">
        <v>314</v>
      </c>
      <c r="B114" s="500">
        <f>Iripple_Vinmax/SQRT(12)</f>
        <v>0.59773809236637998</v>
      </c>
      <c r="C114" s="112" t="s">
        <v>1</v>
      </c>
      <c r="D114" s="500">
        <f>Iripple2_Vinmax/SQRT(12)</f>
        <v>0.57559177360545044</v>
      </c>
      <c r="E114" s="112" t="s">
        <v>1</v>
      </c>
      <c r="F114" s="112"/>
      <c r="I114" s="56"/>
      <c r="L114" s="4"/>
    </row>
    <row r="115" spans="1:12" x14ac:dyDescent="0.25">
      <c r="A115" s="208" t="s">
        <v>540</v>
      </c>
      <c r="B115" s="500">
        <f>MAX(B112:B114)</f>
        <v>0.59773809236637998</v>
      </c>
      <c r="C115" s="112" t="s">
        <v>1</v>
      </c>
      <c r="D115" s="500">
        <f>MAX(D112:D114)</f>
        <v>0.57559177360545044</v>
      </c>
      <c r="E115" s="112" t="s">
        <v>1</v>
      </c>
      <c r="F115" s="112"/>
      <c r="I115" s="56"/>
      <c r="L115" s="4"/>
    </row>
    <row r="116" spans="1:12" x14ac:dyDescent="0.25">
      <c r="A116" s="208"/>
      <c r="B116" s="48"/>
      <c r="C116" s="112"/>
      <c r="F116" s="112"/>
      <c r="I116" s="56"/>
      <c r="L116" s="4"/>
    </row>
    <row r="117" spans="1:12" x14ac:dyDescent="0.25">
      <c r="A117" s="208" t="s">
        <v>21</v>
      </c>
      <c r="B117" s="403">
        <f>'Design Regulator'!E34/1000</f>
        <v>0.02</v>
      </c>
      <c r="C117" t="s">
        <v>0</v>
      </c>
      <c r="D117" s="308">
        <f>'Design Regulator'!J34/1000</f>
        <v>0.02</v>
      </c>
      <c r="E117" t="s">
        <v>0</v>
      </c>
      <c r="F117" s="112" t="s">
        <v>422</v>
      </c>
      <c r="I117" s="56"/>
    </row>
    <row r="118" spans="1:12" x14ac:dyDescent="0.25">
      <c r="A118" s="208"/>
      <c r="B118" s="112"/>
      <c r="C118"/>
      <c r="F118" s="112"/>
      <c r="I118" s="56"/>
    </row>
    <row r="119" spans="1:12" x14ac:dyDescent="0.25">
      <c r="A119" s="208" t="s">
        <v>405</v>
      </c>
      <c r="B119" s="402">
        <f>Vo1_ripple*1000</f>
        <v>20</v>
      </c>
      <c r="C119" s="112" t="s">
        <v>285</v>
      </c>
      <c r="D119" s="301">
        <f>Vo2_ripple*1000</f>
        <v>20</v>
      </c>
      <c r="E119" s="112" t="s">
        <v>285</v>
      </c>
      <c r="F119" s="112" t="s">
        <v>423</v>
      </c>
      <c r="I119" s="56"/>
      <c r="L119" s="4"/>
    </row>
    <row r="120" spans="1:12" x14ac:dyDescent="0.25">
      <c r="A120" s="55"/>
      <c r="B120" s="112"/>
      <c r="F120" s="112"/>
      <c r="I120" s="56"/>
    </row>
    <row r="121" spans="1:12" x14ac:dyDescent="0.25">
      <c r="A121" s="65" t="s">
        <v>22</v>
      </c>
      <c r="B121" s="412">
        <f>Iripple_Vinnom/(Fsw*8*Vo1_ripple)</f>
        <v>2.922373784503417E-5</v>
      </c>
      <c r="C121" t="s">
        <v>24</v>
      </c>
      <c r="D121" s="412">
        <f>Iripple2_Vinnom/(Fsw*8*Vo2_ripple)</f>
        <v>2.8025670309975135E-5</v>
      </c>
      <c r="E121" t="s">
        <v>24</v>
      </c>
      <c r="F121" s="112" t="s">
        <v>759</v>
      </c>
      <c r="H121">
        <f>Vo2_ripple</f>
        <v>0.02</v>
      </c>
      <c r="I121" s="56">
        <v>1</v>
      </c>
      <c r="K121" s="1"/>
    </row>
    <row r="122" spans="1:12" x14ac:dyDescent="0.25">
      <c r="A122" s="208" t="s">
        <v>546</v>
      </c>
      <c r="B122" s="461">
        <f>IF(Cout_min*1000000&lt;2, 2.2,Cout_min*1000000)</f>
        <v>29.223737845034169</v>
      </c>
      <c r="C122" s="42" t="s">
        <v>23</v>
      </c>
      <c r="D122" s="461">
        <f>IF(Cout2_min*1000000&lt;2, 2.2,Cout2_min*1000000)</f>
        <v>28.025670309975137</v>
      </c>
      <c r="E122" s="42" t="s">
        <v>23</v>
      </c>
      <c r="I122" s="56"/>
      <c r="K122" s="1"/>
    </row>
    <row r="123" spans="1:12" x14ac:dyDescent="0.25">
      <c r="A123" s="208" t="s">
        <v>25</v>
      </c>
      <c r="B123" s="413">
        <f>'Design Regulator'!E36/1000000</f>
        <v>6.6000000000000005E-5</v>
      </c>
      <c r="C123" t="s">
        <v>24</v>
      </c>
      <c r="D123" s="413">
        <f>'Design Regulator'!J36/1000000</f>
        <v>6.6000000000000005E-5</v>
      </c>
      <c r="E123" t="s">
        <v>24</v>
      </c>
      <c r="F123" s="112" t="s">
        <v>758</v>
      </c>
      <c r="I123" s="56">
        <v>1</v>
      </c>
    </row>
    <row r="124" spans="1:12" x14ac:dyDescent="0.25">
      <c r="A124" s="65" t="s">
        <v>48</v>
      </c>
      <c r="B124" s="462">
        <f>SQRT((Vo1_ripple/Iripple_Vinnom)^2-(1/(Fsw*Cout*8))^2)</f>
        <v>8.7163376095791573E-3</v>
      </c>
      <c r="C124" s="209" t="s">
        <v>116</v>
      </c>
      <c r="D124" s="462">
        <f>SQRT((Vo2_ripple/Iripple2_Vinnom)^2-(1/(Fsw*Cout2*8))^2)</f>
        <v>9.1775269743911599E-3</v>
      </c>
      <c r="E124" s="209" t="s">
        <v>116</v>
      </c>
      <c r="F124" s="112" t="s">
        <v>234</v>
      </c>
      <c r="I124" s="56">
        <v>1</v>
      </c>
    </row>
    <row r="125" spans="1:12" x14ac:dyDescent="0.25">
      <c r="A125" s="2"/>
      <c r="B125" s="503"/>
      <c r="C125" s="209"/>
      <c r="D125" s="503"/>
      <c r="E125" s="209"/>
      <c r="F125" s="112"/>
      <c r="I125" s="56"/>
    </row>
    <row r="126" spans="1:12" ht="13.8" x14ac:dyDescent="0.3">
      <c r="A126" s="459" t="s">
        <v>501</v>
      </c>
      <c r="B126" s="460">
        <f>IF(OR(CoutEsrMax&gt;0.3, CoutEsrMax&lt;0, (ISERROR(CoutEsrMax))), "N/A", CoutEsrMax*1000)</f>
        <v>8.716337609579158</v>
      </c>
      <c r="C126" s="45" t="s">
        <v>310</v>
      </c>
      <c r="D126" s="460">
        <f>IF(OR(Cout2EsrMax&gt;0.3, Cout2EsrMax&lt;0, (ISERROR(Cout2EsrMax))), "N/A", Cout2EsrMax*1000)</f>
        <v>9.1775269743911601</v>
      </c>
      <c r="E126" s="45" t="s">
        <v>310</v>
      </c>
      <c r="F126" s="112"/>
      <c r="I126" s="56"/>
    </row>
    <row r="127" spans="1:12" x14ac:dyDescent="0.25">
      <c r="A127" s="208" t="s">
        <v>137</v>
      </c>
      <c r="B127" s="403">
        <f>'Design Regulator'!E38/1000</f>
        <v>1E-3</v>
      </c>
      <c r="C127" s="209" t="s">
        <v>116</v>
      </c>
      <c r="D127" s="403">
        <f>'Design Regulator'!J38/1000</f>
        <v>1E-3</v>
      </c>
      <c r="E127" s="209" t="s">
        <v>116</v>
      </c>
      <c r="F127" s="112" t="s">
        <v>235</v>
      </c>
      <c r="I127" s="56">
        <v>1</v>
      </c>
      <c r="K127" t="b">
        <f>ISERROR(CoutEsrMax)</f>
        <v>0</v>
      </c>
      <c r="L127" t="b">
        <f>ISERROR(B126)</f>
        <v>0</v>
      </c>
    </row>
    <row r="128" spans="1:12" ht="13.8" thickBot="1" x14ac:dyDescent="0.3">
      <c r="A128" s="372" t="s">
        <v>191</v>
      </c>
      <c r="B128" s="404">
        <f>Iripple_Vinnom*SQRT(Cout_ESR^2+(1/(8*Fsw*Cout))^2)</f>
        <v>9.0915196177058285E-3</v>
      </c>
      <c r="C128" s="103" t="s">
        <v>39</v>
      </c>
      <c r="D128" s="404">
        <f>Iripple2_Vinnom*SQRT(Cout2_ESR^2+(1/(8*Fsw*Cout2))^2)</f>
        <v>8.7188002018636652E-3</v>
      </c>
      <c r="E128" s="103" t="s">
        <v>39</v>
      </c>
      <c r="F128" s="60"/>
      <c r="G128" s="60"/>
      <c r="H128" s="60"/>
      <c r="I128" s="61"/>
      <c r="L128" t="b">
        <f>OR(CoutEsrMax&gt;0.3,CoutEsrMax&lt;0)</f>
        <v>0</v>
      </c>
    </row>
    <row r="129" spans="1:16" x14ac:dyDescent="0.25">
      <c r="K129" t="b">
        <f>OR(TRUE, FALSE, TRUE)</f>
        <v>1</v>
      </c>
    </row>
    <row r="130" spans="1:16" ht="16.2" thickBot="1" x14ac:dyDescent="0.35">
      <c r="A130" s="513" t="s">
        <v>140</v>
      </c>
    </row>
    <row r="131" spans="1:16" ht="15.6" x14ac:dyDescent="0.3">
      <c r="A131" s="93"/>
      <c r="B131" s="94"/>
      <c r="C131" s="307"/>
      <c r="D131" s="94"/>
      <c r="E131" s="94"/>
      <c r="F131" s="94"/>
      <c r="G131" s="94"/>
      <c r="H131" s="94"/>
      <c r="I131" s="95"/>
      <c r="K131" s="2" t="s">
        <v>781</v>
      </c>
    </row>
    <row r="132" spans="1:16" x14ac:dyDescent="0.25">
      <c r="A132" s="208" t="s">
        <v>538</v>
      </c>
      <c r="B132" s="110">
        <f>SQRT(D1_Vinmin_2*(Iout^2*(1-D1_Vinmin_2)+Iripple_Vinmin^2/12))</f>
        <v>1.8027542288691678</v>
      </c>
      <c r="C132" s="91" t="s">
        <v>1</v>
      </c>
      <c r="D132" s="110">
        <f>SQRT(D2_Vinmin_2*(Iout2^2*(1-D2_Vinmin_2)+Iripple2_Vinmin^2/12))</f>
        <v>2.1017955904288135</v>
      </c>
      <c r="E132" s="91" t="s">
        <v>1</v>
      </c>
      <c r="F132" s="2" t="s">
        <v>782</v>
      </c>
      <c r="G132" s="351"/>
      <c r="H132" s="114"/>
      <c r="I132" s="97"/>
      <c r="K132" s="623">
        <f>SQRT(Iout^2*D1_Vinmin*(1-D1_Vinmin)+Iout2^2*D2_Vinmin*(1-D2_Vinmin)-2*Iout*Iout2*D1_Vinmin*D2_Vinmin)</f>
        <v>2.4012638449220978</v>
      </c>
      <c r="L132" s="91" t="s">
        <v>1</v>
      </c>
      <c r="M132" s="296" t="e">
        <f>SQRT(Iout^2*D1_Vinmin*(1-D1_Vinmin)+Iout2^2*D2_Vinmin*(1-D2_Vinmin)-2*Iout*Iout2*(0.5-D2_Vinmin*(1-D1_Vinmin)))</f>
        <v>#NUM!</v>
      </c>
      <c r="N132" t="s">
        <v>1</v>
      </c>
    </row>
    <row r="133" spans="1:16" x14ac:dyDescent="0.25">
      <c r="A133" s="208" t="s">
        <v>539</v>
      </c>
      <c r="B133" s="110">
        <f>SQRT(D1_Vinnom_2*(Iout^2*(1-D1_Vinnom_2)+Iripple_Vinnom^2/12))</f>
        <v>1.7714590281482108</v>
      </c>
      <c r="C133" s="91" t="s">
        <v>1</v>
      </c>
      <c r="D133" s="110">
        <f>SQRT(D2_Vinnom_2*(Iout2^2*(1-D2_Vinnom_2)+Iripple2_Vinnom^2/12))</f>
        <v>2.0701257122272727</v>
      </c>
      <c r="E133" s="91" t="s">
        <v>1</v>
      </c>
      <c r="G133" s="351"/>
      <c r="I133" s="97"/>
      <c r="K133" s="296">
        <f>SQRT(Iout^2*D1_Vinnom*(1-D1_Vinnom)+Iout2^2*D2_Vinnom*(1-D2_Vinnom)-2*Iout*Iout2*D1_Vinnom*D2_Vinnom)</f>
        <v>2.3781959490803577</v>
      </c>
      <c r="L133" s="91" t="s">
        <v>1</v>
      </c>
    </row>
    <row r="134" spans="1:16" x14ac:dyDescent="0.25">
      <c r="A134" s="208" t="s">
        <v>780</v>
      </c>
      <c r="B134" s="110">
        <f>SQRT(D1_Vinmax_2*(Iout^2*(1-D1_Vinmax_2)+Iripple_Vinmax^2/12))</f>
        <v>1.7416547601501138</v>
      </c>
      <c r="C134" s="91" t="s">
        <v>1</v>
      </c>
      <c r="D134" s="110">
        <f>SQRT(D2_Vinmax_2*(Iout2^2*(1-D2_Vinmax_2)+Iripple2_Vinmax^2/12))</f>
        <v>2.0395846470925814</v>
      </c>
      <c r="E134" s="91" t="s">
        <v>1</v>
      </c>
      <c r="G134" s="351"/>
      <c r="I134" s="97"/>
      <c r="K134" s="296">
        <f>SQRT(Iout^2*D1_Vinmax*(1-D1_Vinmax)+Iout2^2*D2_Vinmax*(1-D2_Vinmax)-2*Iout*Iout2*D1_Vinmax*D2_Vinmax)</f>
        <v>2.3546549641083296</v>
      </c>
      <c r="L134" s="91" t="s">
        <v>1</v>
      </c>
    </row>
    <row r="135" spans="1:16" x14ac:dyDescent="0.25">
      <c r="A135" s="208" t="s">
        <v>544</v>
      </c>
      <c r="B135" s="110">
        <f>MAX(B132:B134, D132:D134)</f>
        <v>2.1017955904288135</v>
      </c>
      <c r="C135" s="42" t="s">
        <v>1</v>
      </c>
      <c r="I135" s="97"/>
      <c r="K135" s="624">
        <f>MAX(K132:K134)</f>
        <v>2.4012638449220978</v>
      </c>
      <c r="L135" s="42" t="s">
        <v>1</v>
      </c>
    </row>
    <row r="136" spans="1:16" x14ac:dyDescent="0.25">
      <c r="A136" s="112"/>
      <c r="B136" s="625"/>
      <c r="C136" s="42"/>
      <c r="D136" s="2"/>
      <c r="F136">
        <f>Number_of_Phases*D1_Vinnom</f>
        <v>0.13749999999999998</v>
      </c>
      <c r="G136" t="s">
        <v>783</v>
      </c>
      <c r="I136" s="97"/>
      <c r="K136" s="624"/>
      <c r="L136" s="42"/>
      <c r="P136" s="4"/>
    </row>
    <row r="137" spans="1:16" x14ac:dyDescent="0.25">
      <c r="A137" s="112" t="s">
        <v>785</v>
      </c>
      <c r="B137" s="296">
        <f>Iout*SQRT((D1_Vinnom-F137/Number_of_Phases)*((F137+1)/Number_of_Phases-D1_Vinnom))</f>
        <v>1.721872164244489</v>
      </c>
      <c r="C137" t="s">
        <v>1</v>
      </c>
      <c r="D137" s="2"/>
      <c r="F137">
        <f>FLOOR(Number_of_Phases*D1_Vinnom,1)</f>
        <v>0</v>
      </c>
      <c r="G137" t="s">
        <v>784</v>
      </c>
      <c r="I137" s="97"/>
      <c r="K137" s="624"/>
      <c r="L137" s="42"/>
      <c r="P137" s="4"/>
    </row>
    <row r="138" spans="1:16" x14ac:dyDescent="0.25">
      <c r="A138" s="112" t="s">
        <v>787</v>
      </c>
      <c r="B138">
        <f>Iout/2/Number_of_Phases</f>
        <v>2.5</v>
      </c>
      <c r="C138" s="112" t="s">
        <v>1</v>
      </c>
      <c r="I138" s="97"/>
      <c r="K138" s="624"/>
      <c r="L138" s="42"/>
      <c r="P138" s="4"/>
    </row>
    <row r="139" spans="1:16" x14ac:dyDescent="0.25">
      <c r="A139" s="112" t="s">
        <v>786</v>
      </c>
      <c r="B139" s="626">
        <f>CHOOSE(MODE, B135, B138)</f>
        <v>2.1017955904288135</v>
      </c>
      <c r="C139" s="42" t="s">
        <v>1</v>
      </c>
      <c r="D139" s="2" t="s">
        <v>567</v>
      </c>
      <c r="I139" s="97"/>
      <c r="K139" s="624"/>
      <c r="L139" s="42"/>
      <c r="P139" s="4"/>
    </row>
    <row r="140" spans="1:16" x14ac:dyDescent="0.25">
      <c r="A140" s="112"/>
      <c r="B140" s="625"/>
      <c r="C140" s="42"/>
      <c r="D140" s="2"/>
      <c r="I140" s="97"/>
      <c r="K140" s="624"/>
      <c r="L140" s="42"/>
      <c r="P140" s="4"/>
    </row>
    <row r="141" spans="1:16" x14ac:dyDescent="0.25">
      <c r="A141" s="96" t="s">
        <v>216</v>
      </c>
      <c r="B141" s="308">
        <f>'Design Regulator'!E43/1000</f>
        <v>1</v>
      </c>
      <c r="C141" t="s">
        <v>39</v>
      </c>
      <c r="F141" s="112" t="s">
        <v>545</v>
      </c>
      <c r="I141" s="97"/>
    </row>
    <row r="142" spans="1:16" x14ac:dyDescent="0.25">
      <c r="B142" s="96"/>
      <c r="C142"/>
      <c r="F142" s="112"/>
      <c r="I142" s="97"/>
    </row>
    <row r="143" spans="1:16" x14ac:dyDescent="0.25">
      <c r="A143" s="459" t="s">
        <v>864</v>
      </c>
      <c r="B143" s="648">
        <f>Iout/Number_of_Phases*D1_Vinmin*(1-D1_Vinmin)/(Vinripple1*Fsw)</f>
        <v>1.3965028355387522E-6</v>
      </c>
      <c r="C143" s="42" t="s">
        <v>24</v>
      </c>
      <c r="G143" s="351"/>
      <c r="I143" s="97"/>
    </row>
    <row r="144" spans="1:16" x14ac:dyDescent="0.25">
      <c r="A144" s="459" t="s">
        <v>554</v>
      </c>
      <c r="B144" s="510">
        <f>Iout/Number_of_Phases*D1_Vinmax*(1-D1_Vinmax)/(Vinripple1*Fsw)</f>
        <v>1.3020000000000002E-6</v>
      </c>
      <c r="C144" s="91" t="s">
        <v>24</v>
      </c>
      <c r="F144" s="112" t="s">
        <v>562</v>
      </c>
      <c r="I144" s="97"/>
      <c r="K144" s="8"/>
    </row>
    <row r="145" spans="1:11" x14ac:dyDescent="0.25">
      <c r="A145" s="459" t="s">
        <v>558</v>
      </c>
      <c r="B145" s="511">
        <f>IF(Number_of_Phases=1,MAX(Iout*0.5*(1-0.5)/(Vinripple1*Fsw),Iout2*0.5*(1-0.5)/(Vinripple1*Fsw)),MAX(Iout/Number_of_Phases*0.5*(1-0.5)/(Vinripple1*Fsw)))</f>
        <v>2.8409090909090907E-6</v>
      </c>
      <c r="C145" s="42" t="s">
        <v>24</v>
      </c>
      <c r="F145" s="112" t="s">
        <v>555</v>
      </c>
      <c r="G145" s="30"/>
      <c r="I145" s="97"/>
      <c r="K145" s="8"/>
    </row>
    <row r="146" spans="1:11" x14ac:dyDescent="0.25">
      <c r="A146" s="459" t="s">
        <v>215</v>
      </c>
      <c r="B146" s="30">
        <f>IF(VIN_min&gt;2*Vout, B143,B145)</f>
        <v>1.3965028355387522E-6</v>
      </c>
      <c r="C146" s="42" t="s">
        <v>24</v>
      </c>
      <c r="D146">
        <f>Number_of_Phases</f>
        <v>1</v>
      </c>
      <c r="G146" s="30"/>
      <c r="I146" s="97"/>
      <c r="K146" s="8"/>
    </row>
    <row r="147" spans="1:11" x14ac:dyDescent="0.25">
      <c r="A147" s="459" t="s">
        <v>500</v>
      </c>
      <c r="B147" s="622">
        <f>IF(Cinmin*1000000&lt;10, 10,Cinmin*1000000)</f>
        <v>10</v>
      </c>
      <c r="C147" s="42" t="s">
        <v>23</v>
      </c>
      <c r="F147" s="112" t="s">
        <v>567</v>
      </c>
      <c r="I147" s="97"/>
    </row>
    <row r="148" spans="1:11" x14ac:dyDescent="0.25">
      <c r="A148" s="98" t="s">
        <v>57</v>
      </c>
      <c r="B148" s="414">
        <f>'Design Regulator'!E45/1000000</f>
        <v>4.0000000000000003E-5</v>
      </c>
      <c r="C148" s="91" t="s">
        <v>24</v>
      </c>
      <c r="F148" t="s">
        <v>146</v>
      </c>
      <c r="I148" s="97"/>
    </row>
    <row r="149" spans="1:11" x14ac:dyDescent="0.25">
      <c r="A149" s="459" t="s">
        <v>866</v>
      </c>
      <c r="B149" s="298">
        <f>-(Iout/Number_of_Phases*D1_Vinmin*(1-D1_Vinmin)/(Cin*Fsw)-Vinripple1)/(Iout/Number_of_Phases+Iripple_Vinmin/2)</f>
        <v>0.16027459247941966</v>
      </c>
      <c r="C149" s="209" t="s">
        <v>116</v>
      </c>
      <c r="I149" s="97"/>
    </row>
    <row r="150" spans="1:11" x14ac:dyDescent="0.25">
      <c r="A150" s="459" t="s">
        <v>556</v>
      </c>
      <c r="B150" s="298">
        <f>-(Iout/Number_of_Phases*D1_Vinmax*(1-D1_Vinmax)/(Cin*Fsw)-Vinripple1)/(Iout/Number_of_Phases+Iripple_Vinmax/2)</f>
        <v>0.16029823818254554</v>
      </c>
      <c r="C150" s="209" t="s">
        <v>116</v>
      </c>
      <c r="I150" s="97"/>
    </row>
    <row r="151" spans="1:11" x14ac:dyDescent="0.25">
      <c r="A151" s="459" t="s">
        <v>557</v>
      </c>
      <c r="B151" s="298">
        <f>-(Iout/Number_of_Phases*0.5*(1-0.5)/(Cin*Fsw)-Vinripple1)/(Iout/Number_of_Phases+Iripple_Vinmax/2)</f>
        <v>0.15392363443052137</v>
      </c>
      <c r="C151" s="209" t="s">
        <v>116</v>
      </c>
      <c r="F151" s="112" t="s">
        <v>563</v>
      </c>
      <c r="I151" s="97"/>
    </row>
    <row r="152" spans="1:11" x14ac:dyDescent="0.25">
      <c r="A152" s="459" t="s">
        <v>217</v>
      </c>
      <c r="B152" s="298">
        <f>IF(VIN_min&gt;2*Vout, B149,B151)</f>
        <v>0.16027459247941966</v>
      </c>
      <c r="C152" s="209" t="s">
        <v>116</v>
      </c>
      <c r="I152" s="97"/>
    </row>
    <row r="153" spans="1:11" ht="13.8" x14ac:dyDescent="0.3">
      <c r="A153" s="459" t="s">
        <v>502</v>
      </c>
      <c r="B153" s="502">
        <f>IF(OR(CinEsrMax&gt;0.3, CinEsrMax&lt;0), "N/A",CinEsrMax*1000)</f>
        <v>160.27459247941965</v>
      </c>
      <c r="C153" s="45" t="s">
        <v>310</v>
      </c>
      <c r="F153" t="s">
        <v>567</v>
      </c>
      <c r="I153" s="97"/>
    </row>
    <row r="154" spans="1:11" x14ac:dyDescent="0.25">
      <c r="A154" s="98" t="s">
        <v>86</v>
      </c>
      <c r="B154" s="92">
        <f>'Design Regulator'!E47/1000</f>
        <v>1E-3</v>
      </c>
      <c r="C154" s="209" t="s">
        <v>116</v>
      </c>
      <c r="F154" s="112" t="s">
        <v>236</v>
      </c>
      <c r="I154" s="97"/>
    </row>
    <row r="155" spans="1:11" x14ac:dyDescent="0.25">
      <c r="B155" s="98"/>
      <c r="C155" s="209"/>
      <c r="F155" s="112"/>
      <c r="I155" s="97"/>
    </row>
    <row r="156" spans="1:11" x14ac:dyDescent="0.25">
      <c r="A156" s="459" t="s">
        <v>865</v>
      </c>
      <c r="B156" s="383">
        <f>Iout/Number_of_Phases*D1_Vinmin_2*(1-D1_Vinmin_2)/(Cin*Fsw)+(Iout/Number_of_Phases +Iripple_Vinmin/2)*RCinEsr</f>
        <v>4.2357298414323813E-2</v>
      </c>
      <c r="C156" s="91" t="s">
        <v>39</v>
      </c>
      <c r="F156" s="112"/>
      <c r="I156" s="97"/>
      <c r="K156" s="302"/>
    </row>
    <row r="157" spans="1:11" x14ac:dyDescent="0.25">
      <c r="A157" s="459" t="s">
        <v>559</v>
      </c>
      <c r="B157" s="383">
        <f>Iout/Number_of_Phases*D1_Vinmax_2*(1-D1_Vinmax_2)/(Cin*Fsw)+(Iout/Number_of_Phases +Iripple_Vinmax/2)*RCinEsr</f>
        <v>3.9942795040004461E-2</v>
      </c>
      <c r="C157" s="91" t="s">
        <v>39</v>
      </c>
      <c r="I157" s="97"/>
    </row>
    <row r="158" spans="1:11" x14ac:dyDescent="0.25">
      <c r="A158" s="459" t="s">
        <v>560</v>
      </c>
      <c r="B158" s="383">
        <f>Iout/Number_of_Phases*0.5*(1-0.5)/(Cin*Fsw)+(Iout/Number_of_Phases +Iripple_Vinmax/2)*RCinEsr</f>
        <v>7.7058040018325141E-2</v>
      </c>
      <c r="C158" s="91" t="s">
        <v>39</v>
      </c>
      <c r="F158" s="112" t="s">
        <v>561</v>
      </c>
      <c r="I158" s="97"/>
    </row>
    <row r="159" spans="1:11" x14ac:dyDescent="0.25">
      <c r="A159" s="459" t="s">
        <v>218</v>
      </c>
      <c r="B159" s="383">
        <f>IF(VIN_min&gt;2*Vout, B156,B158)</f>
        <v>4.2357298414323813E-2</v>
      </c>
      <c r="C159" s="91" t="s">
        <v>39</v>
      </c>
      <c r="F159" s="112" t="s">
        <v>566</v>
      </c>
      <c r="I159" s="97"/>
    </row>
    <row r="160" spans="1:11" x14ac:dyDescent="0.25">
      <c r="A160" s="98"/>
      <c r="B160" s="512"/>
      <c r="C160" s="91"/>
      <c r="I160" s="97"/>
    </row>
    <row r="161" spans="1:9" ht="13.8" thickBot="1" x14ac:dyDescent="0.3">
      <c r="A161" s="99"/>
      <c r="B161" s="384">
        <f>Iout*D1_Vinmax_2*(1-D1_Vinmax_2)/(Cin*Fsw)</f>
        <v>3.3907482294406592E-2</v>
      </c>
      <c r="C161" s="309" t="s">
        <v>39</v>
      </c>
      <c r="D161" s="100"/>
      <c r="E161" s="101"/>
      <c r="F161" s="101"/>
      <c r="G161" s="101"/>
      <c r="H161" s="101"/>
      <c r="I161" s="102"/>
    </row>
    <row r="163" spans="1:9" ht="16.2" thickBot="1" x14ac:dyDescent="0.35">
      <c r="A163" s="504" t="s">
        <v>565</v>
      </c>
    </row>
    <row r="164" spans="1:9" x14ac:dyDescent="0.25">
      <c r="A164" s="88" t="s">
        <v>149</v>
      </c>
      <c r="B164" s="12">
        <f>'Design Regulator'!E52/1000</f>
        <v>4.5999999999999999E-3</v>
      </c>
      <c r="C164" s="62" t="s">
        <v>133</v>
      </c>
      <c r="D164" s="115" t="s">
        <v>425</v>
      </c>
      <c r="E164" s="62"/>
      <c r="F164" s="62"/>
      <c r="G164" s="62"/>
      <c r="H164" s="62"/>
      <c r="I164" s="63"/>
    </row>
    <row r="165" spans="1:9" x14ac:dyDescent="0.25">
      <c r="A165" s="208" t="s">
        <v>831</v>
      </c>
      <c r="B165" s="67">
        <f>Cout*Vout/Tss</f>
        <v>4.7347826086956521E-2</v>
      </c>
      <c r="C165" t="s">
        <v>1</v>
      </c>
      <c r="D165" s="112" t="s">
        <v>424</v>
      </c>
      <c r="I165" s="56"/>
    </row>
    <row r="166" spans="1:9" x14ac:dyDescent="0.25">
      <c r="A166" s="208" t="s">
        <v>809</v>
      </c>
      <c r="B166" s="297">
        <f>IF(Tss&gt;1.25/1000,4.38*Tss*1000000,0)</f>
        <v>20148</v>
      </c>
      <c r="C166" s="209" t="s">
        <v>116</v>
      </c>
      <c r="I166" s="56"/>
    </row>
    <row r="167" spans="1:9" ht="13.8" thickBot="1" x14ac:dyDescent="0.3">
      <c r="A167" s="305" t="s">
        <v>810</v>
      </c>
      <c r="B167" s="634">
        <f>IF(Rss=0, 0, 'Standard Value Calculator'!O16)</f>
        <v>20000</v>
      </c>
      <c r="C167" s="116" t="s">
        <v>138</v>
      </c>
      <c r="D167" s="60"/>
      <c r="E167" s="60"/>
      <c r="F167" s="60"/>
      <c r="G167" s="60"/>
      <c r="H167" s="60"/>
      <c r="I167" s="61"/>
    </row>
    <row r="169" spans="1:9" ht="16.2" thickBot="1" x14ac:dyDescent="0.35">
      <c r="A169" s="504" t="s">
        <v>837</v>
      </c>
    </row>
    <row r="170" spans="1:9" ht="12.75" customHeight="1" x14ac:dyDescent="0.25">
      <c r="A170" s="207" t="s">
        <v>654</v>
      </c>
      <c r="B170" s="567">
        <f>'Design Regulator'!E52/1000</f>
        <v>4.5999999999999999E-3</v>
      </c>
      <c r="C170" s="62" t="s">
        <v>133</v>
      </c>
      <c r="D170" s="115"/>
      <c r="E170" s="62"/>
      <c r="F170" s="62"/>
      <c r="G170" s="62"/>
      <c r="H170" s="62"/>
      <c r="I170" s="63"/>
    </row>
    <row r="171" spans="1:9" ht="12.75" customHeight="1" x14ac:dyDescent="0.25">
      <c r="A171" s="208" t="s">
        <v>655</v>
      </c>
      <c r="B171" s="415">
        <f>0.00002*Tres/1.2</f>
        <v>7.6666666666666678E-8</v>
      </c>
      <c r="C171" t="s">
        <v>24</v>
      </c>
      <c r="I171" s="56"/>
    </row>
    <row r="172" spans="1:9" ht="12.75" customHeight="1" x14ac:dyDescent="0.3">
      <c r="A172" s="208" t="s">
        <v>832</v>
      </c>
      <c r="B172" s="568">
        <f>'Standard Value Calculator'!G4</f>
        <v>8.2000000000000006E-8</v>
      </c>
      <c r="C172" t="s">
        <v>24</v>
      </c>
      <c r="F172" s="45"/>
      <c r="G172" s="44"/>
      <c r="H172" s="44"/>
      <c r="I172" s="56"/>
    </row>
    <row r="173" spans="1:9" ht="12.75" customHeight="1" x14ac:dyDescent="0.25">
      <c r="B173" s="44"/>
      <c r="C173"/>
      <c r="I173" s="56"/>
    </row>
    <row r="174" spans="1:9" ht="12.75" customHeight="1" x14ac:dyDescent="0.35">
      <c r="A174" s="208" t="s">
        <v>656</v>
      </c>
      <c r="B174" s="44">
        <v>100</v>
      </c>
      <c r="C174" s="45" t="s">
        <v>237</v>
      </c>
      <c r="I174" s="56"/>
    </row>
    <row r="175" spans="1:9" ht="12.75" customHeight="1" x14ac:dyDescent="0.35">
      <c r="A175" s="208" t="s">
        <v>660</v>
      </c>
      <c r="B175" s="44"/>
      <c r="C175" s="209" t="s">
        <v>116</v>
      </c>
      <c r="E175" s="112" t="s">
        <v>661</v>
      </c>
      <c r="I175" s="56"/>
    </row>
    <row r="176" spans="1:9" ht="12.75" customHeight="1" x14ac:dyDescent="0.25">
      <c r="A176" s="535" t="s">
        <v>658</v>
      </c>
      <c r="B176" s="44"/>
      <c r="C176" s="209" t="s">
        <v>116</v>
      </c>
      <c r="D176" s="370"/>
      <c r="E176" s="112" t="s">
        <v>659</v>
      </c>
      <c r="I176" s="56"/>
    </row>
    <row r="177" spans="1:14" ht="12.75" customHeight="1" x14ac:dyDescent="0.25">
      <c r="A177" s="535" t="s">
        <v>657</v>
      </c>
      <c r="B177" s="44"/>
      <c r="C177" s="209" t="s">
        <v>116</v>
      </c>
      <c r="D177" s="370"/>
      <c r="E177" s="112" t="s">
        <v>601</v>
      </c>
      <c r="I177" s="56"/>
    </row>
    <row r="178" spans="1:14" ht="12.75" customHeight="1" x14ac:dyDescent="0.25">
      <c r="A178" s="632"/>
      <c r="B178" s="44"/>
      <c r="C178" s="209"/>
      <c r="D178" s="370"/>
      <c r="E178" s="112"/>
      <c r="I178" s="56"/>
    </row>
    <row r="179" spans="1:14" ht="12.75" customHeight="1" x14ac:dyDescent="0.25">
      <c r="A179" s="632"/>
      <c r="B179" s="44"/>
      <c r="C179" s="209"/>
      <c r="D179" s="370"/>
      <c r="E179" s="112"/>
      <c r="I179" s="56"/>
    </row>
    <row r="180" spans="1:14" ht="12.75" customHeight="1" x14ac:dyDescent="0.25">
      <c r="A180" s="632" t="s">
        <v>811</v>
      </c>
      <c r="B180" s="655">
        <f>'Design Regulator'!E54</f>
        <v>20</v>
      </c>
      <c r="C180" s="112" t="s">
        <v>0</v>
      </c>
      <c r="D180" s="370"/>
      <c r="E180" s="112"/>
      <c r="I180" s="56"/>
    </row>
    <row r="181" spans="1:14" ht="12.75" customHeight="1" x14ac:dyDescent="0.25">
      <c r="A181" s="632" t="s">
        <v>812</v>
      </c>
      <c r="B181" s="655">
        <f>'Design Regulator'!E55</f>
        <v>14</v>
      </c>
      <c r="C181" s="112" t="s">
        <v>0</v>
      </c>
      <c r="D181" s="370"/>
      <c r="E181" s="112"/>
      <c r="I181" s="56"/>
    </row>
    <row r="182" spans="1:14" ht="12.75" customHeight="1" x14ac:dyDescent="0.25">
      <c r="A182" s="632" t="s">
        <v>869</v>
      </c>
      <c r="B182" s="657">
        <f>'Design Regulator'!E56</f>
        <v>2.5</v>
      </c>
      <c r="C182" s="112" t="s">
        <v>50</v>
      </c>
      <c r="D182" s="370"/>
      <c r="E182" s="112"/>
      <c r="I182" s="56"/>
    </row>
    <row r="183" spans="1:14" ht="12.75" customHeight="1" x14ac:dyDescent="0.25">
      <c r="A183" s="632" t="s">
        <v>870</v>
      </c>
      <c r="B183" s="656">
        <f>'Design Regulator'!E57</f>
        <v>20</v>
      </c>
      <c r="C183" s="112" t="s">
        <v>871</v>
      </c>
      <c r="D183" s="370"/>
      <c r="E183" s="112"/>
      <c r="I183" s="56"/>
    </row>
    <row r="184" spans="1:14" ht="12.75" customHeight="1" x14ac:dyDescent="0.25">
      <c r="A184" s="632"/>
      <c r="B184" s="656"/>
      <c r="C184" s="112"/>
      <c r="D184" s="370"/>
      <c r="E184" s="112"/>
      <c r="F184" s="658" t="s">
        <v>872</v>
      </c>
      <c r="I184" s="56"/>
    </row>
    <row r="185" spans="1:14" ht="12.75" customHeight="1" x14ac:dyDescent="0.25">
      <c r="A185" s="632" t="s">
        <v>813</v>
      </c>
      <c r="B185" s="4">
        <f>((0.95-(B181/B180))/Ien_hys/0.000001-B182*1000)*B180/(B180-1)/1000</f>
        <v>10.526315789473685</v>
      </c>
      <c r="C185" s="112" t="s">
        <v>50</v>
      </c>
      <c r="D185" s="378">
        <f>'Standard Value Calculator'!O15</f>
        <v>10.5</v>
      </c>
      <c r="E185" s="2" t="s">
        <v>50</v>
      </c>
      <c r="F185" s="624">
        <f>((0.95-(B181/B180))/Ien_hys/0.000001)*B180/(B180-1)/1000</f>
        <v>13.157894736842106</v>
      </c>
      <c r="G185" s="112" t="s">
        <v>50</v>
      </c>
      <c r="H185" s="378">
        <f>'Standard Value Calculator'!S15</f>
        <v>0</v>
      </c>
      <c r="I185" s="653"/>
      <c r="M185" s="378"/>
      <c r="N185" s="2"/>
    </row>
    <row r="186" spans="1:14" ht="12.75" customHeight="1" x14ac:dyDescent="0.25">
      <c r="A186" s="632" t="s">
        <v>801</v>
      </c>
      <c r="B186" s="652">
        <f>D185*(B180-1)</f>
        <v>199.5</v>
      </c>
      <c r="C186" s="112" t="s">
        <v>50</v>
      </c>
      <c r="D186" s="378">
        <f>'Standard Value Calculator'!O14</f>
        <v>200</v>
      </c>
      <c r="E186" s="2" t="s">
        <v>50</v>
      </c>
      <c r="F186" s="44">
        <f>F185*(B180-1)</f>
        <v>250.00000000000003</v>
      </c>
      <c r="G186" s="112" t="s">
        <v>50</v>
      </c>
      <c r="I186" s="56"/>
      <c r="M186" s="378"/>
      <c r="N186" s="2"/>
    </row>
    <row r="187" spans="1:14" ht="12.75" customHeight="1" x14ac:dyDescent="0.25">
      <c r="C187"/>
      <c r="G187" s="2"/>
      <c r="I187" s="56"/>
    </row>
    <row r="188" spans="1:14" ht="12.75" customHeight="1" x14ac:dyDescent="0.25">
      <c r="A188" s="632" t="s">
        <v>816</v>
      </c>
      <c r="B188" s="4">
        <f>1/D185*(D185+D186)</f>
        <v>20.047619047619047</v>
      </c>
      <c r="C188" t="s">
        <v>0</v>
      </c>
      <c r="D188" s="633"/>
      <c r="E188" s="112"/>
      <c r="F188" s="654">
        <f>1/F185*(F185+F186)</f>
        <v>20.000000000000004</v>
      </c>
      <c r="G188" s="112" t="s">
        <v>0</v>
      </c>
      <c r="I188" s="56"/>
    </row>
    <row r="189" spans="1:14" ht="12.75" customHeight="1" x14ac:dyDescent="0.25">
      <c r="A189" s="632" t="s">
        <v>817</v>
      </c>
      <c r="B189" s="4">
        <f>B188*(0.95-(Ien_hys*0.001*(B182+D185*((B188-1)/B188))))</f>
        <v>14.042857142857141</v>
      </c>
      <c r="C189" t="s">
        <v>0</v>
      </c>
      <c r="D189" s="633"/>
      <c r="E189" s="112"/>
      <c r="F189" s="654">
        <f>F188*(0.95-(0.01*(F185*((F188-1)/F188))))</f>
        <v>16.500000000000004</v>
      </c>
      <c r="G189" s="112" t="s">
        <v>0</v>
      </c>
      <c r="I189" s="56"/>
    </row>
    <row r="190" spans="1:14" ht="12.75" customHeight="1" x14ac:dyDescent="0.25">
      <c r="A190" s="208"/>
      <c r="B190" s="44"/>
      <c r="C190" s="209"/>
      <c r="I190" s="56"/>
    </row>
    <row r="191" spans="1:14" ht="12.75" customHeight="1" x14ac:dyDescent="0.25">
      <c r="A191" s="208" t="s">
        <v>838</v>
      </c>
      <c r="B191" s="382" t="str">
        <f>CHOOSE(CNFG, "N/A", "5%", "10%")</f>
        <v>N/A</v>
      </c>
      <c r="C191" s="112"/>
      <c r="I191" s="56"/>
    </row>
    <row r="192" spans="1:14" ht="12.75" customHeight="1" x14ac:dyDescent="0.35">
      <c r="A192" s="208" t="s">
        <v>822</v>
      </c>
      <c r="B192" s="635">
        <f>CHOOSE(MODE, CHOOSE(CNFG, 10, 19.1, 29.4), CHOOSE(CNFG, 41.2, 54.9, 71.5))</f>
        <v>10</v>
      </c>
      <c r="C192" s="112" t="s">
        <v>50</v>
      </c>
      <c r="I192" s="56"/>
    </row>
    <row r="193" spans="1:14" ht="12.75" customHeight="1" x14ac:dyDescent="0.25">
      <c r="A193" s="208"/>
      <c r="C193"/>
      <c r="I193" s="56"/>
    </row>
    <row r="194" spans="1:14" ht="12.75" customHeight="1" thickBot="1" x14ac:dyDescent="0.3">
      <c r="A194" s="59"/>
      <c r="B194" s="69"/>
      <c r="C194" s="286"/>
      <c r="D194" s="60"/>
      <c r="E194" s="60"/>
      <c r="F194" s="60"/>
      <c r="G194" s="60"/>
      <c r="H194" s="60"/>
      <c r="I194" s="61"/>
    </row>
    <row r="195" spans="1:14" x14ac:dyDescent="0.25">
      <c r="B195" s="44"/>
      <c r="C195" s="287"/>
    </row>
    <row r="196" spans="1:14" ht="16.2" thickBot="1" x14ac:dyDescent="0.35">
      <c r="A196" s="504" t="s">
        <v>564</v>
      </c>
    </row>
    <row r="197" spans="1:14" x14ac:dyDescent="0.25">
      <c r="A197" s="365" t="s">
        <v>38</v>
      </c>
      <c r="B197" s="366">
        <v>3.1415926500000002</v>
      </c>
      <c r="C197" s="367"/>
      <c r="D197" s="368" t="s">
        <v>367</v>
      </c>
      <c r="E197" s="62"/>
      <c r="F197" s="62"/>
      <c r="G197" s="62"/>
      <c r="H197" s="62"/>
      <c r="I197" s="63"/>
    </row>
    <row r="198" spans="1:14" x14ac:dyDescent="0.25">
      <c r="A198" s="112" t="s">
        <v>377</v>
      </c>
      <c r="B198" s="112">
        <v>10</v>
      </c>
      <c r="C198" s="46"/>
      <c r="D198" s="209"/>
      <c r="I198" s="56"/>
    </row>
    <row r="199" spans="1:14" x14ac:dyDescent="0.25">
      <c r="A199" s="112" t="s">
        <v>356</v>
      </c>
      <c r="B199">
        <f>Rs*CSAmp_gain</f>
        <v>0.09</v>
      </c>
      <c r="C199" s="209" t="s">
        <v>116</v>
      </c>
      <c r="D199">
        <f>Rs_Ch2*CSAmp_gain</f>
        <v>0.08</v>
      </c>
      <c r="E199" s="209" t="s">
        <v>116</v>
      </c>
      <c r="F199" s="112" t="s">
        <v>372</v>
      </c>
      <c r="I199" s="56"/>
    </row>
    <row r="200" spans="1:14" x14ac:dyDescent="0.25">
      <c r="A200" s="112" t="s">
        <v>337</v>
      </c>
      <c r="B200" s="364">
        <v>5.9999999999999995E-4</v>
      </c>
      <c r="C200" s="112" t="s">
        <v>66</v>
      </c>
      <c r="F200" s="112" t="s">
        <v>357</v>
      </c>
      <c r="I200" s="56"/>
    </row>
    <row r="201" spans="1:14" x14ac:dyDescent="0.25">
      <c r="A201" s="112"/>
      <c r="B201" s="112"/>
      <c r="C201" s="112"/>
      <c r="F201" s="112"/>
      <c r="I201" s="56"/>
    </row>
    <row r="202" spans="1:14" x14ac:dyDescent="0.25">
      <c r="A202" s="112" t="s">
        <v>441</v>
      </c>
      <c r="B202" s="536">
        <f>B206/Ri*1000</f>
        <v>933333.33333333337</v>
      </c>
      <c r="C202" s="473" t="s">
        <v>358</v>
      </c>
      <c r="D202" s="536">
        <f>B206/Ri_Ch2*1000</f>
        <v>1050000</v>
      </c>
      <c r="E202" s="473" t="s">
        <v>358</v>
      </c>
      <c r="F202" s="473" t="s">
        <v>378</v>
      </c>
      <c r="H202" s="4"/>
      <c r="I202" s="56"/>
    </row>
    <row r="203" spans="1:14" x14ac:dyDescent="0.25">
      <c r="A203" s="112" t="s">
        <v>359</v>
      </c>
      <c r="B203" s="536">
        <f>(Vin-Vout)/Lf</f>
        <v>6272727.2727272734</v>
      </c>
      <c r="C203" s="473" t="s">
        <v>358</v>
      </c>
      <c r="D203" s="536">
        <f>(Vin-Vout2)/Lo_2</f>
        <v>4042553.1914893617</v>
      </c>
      <c r="E203" s="473" t="s">
        <v>358</v>
      </c>
      <c r="F203" s="473" t="s">
        <v>360</v>
      </c>
      <c r="H203" s="4"/>
      <c r="I203" s="56"/>
    </row>
    <row r="204" spans="1:14" x14ac:dyDescent="0.25">
      <c r="A204" s="112" t="s">
        <v>376</v>
      </c>
      <c r="B204" s="536">
        <f>Vout/Lf</f>
        <v>1000000</v>
      </c>
      <c r="C204" s="473" t="s">
        <v>358</v>
      </c>
      <c r="D204" s="536">
        <f>Vout2/Lo_2</f>
        <v>1063829.7872340425</v>
      </c>
      <c r="E204" s="473" t="s">
        <v>358</v>
      </c>
      <c r="F204" s="473" t="s">
        <v>375</v>
      </c>
      <c r="H204" s="4"/>
      <c r="I204" s="56"/>
    </row>
    <row r="205" spans="1:14" x14ac:dyDescent="0.25">
      <c r="A205" s="112"/>
      <c r="B205" s="369"/>
      <c r="C205" s="353"/>
      <c r="F205" s="353"/>
      <c r="I205" s="56"/>
      <c r="K205" s="112" t="s">
        <v>772</v>
      </c>
      <c r="L205" s="112" t="s">
        <v>790</v>
      </c>
      <c r="M205" s="112" t="s">
        <v>791</v>
      </c>
    </row>
    <row r="206" spans="1:14" x14ac:dyDescent="0.25">
      <c r="A206" s="112" t="s">
        <v>379</v>
      </c>
      <c r="B206" s="377">
        <f>(Fsw/1000)/220*42</f>
        <v>84</v>
      </c>
      <c r="C206" s="378" t="s">
        <v>415</v>
      </c>
      <c r="D206" s="377"/>
      <c r="E206" s="378"/>
      <c r="F206" s="378" t="s">
        <v>387</v>
      </c>
      <c r="I206" s="56"/>
      <c r="K206" s="112">
        <f>Ts</f>
        <v>2.2727272727272728E-6</v>
      </c>
      <c r="L206" s="351">
        <f>Ts*1000000</f>
        <v>2.2727272727272729</v>
      </c>
      <c r="M206">
        <f>B206*L206</f>
        <v>190.90909090909093</v>
      </c>
      <c r="N206" s="112" t="s">
        <v>285</v>
      </c>
    </row>
    <row r="207" spans="1:14" x14ac:dyDescent="0.25">
      <c r="A207" s="112" t="s">
        <v>385</v>
      </c>
      <c r="B207" s="377">
        <f>Sn*Ri/1000</f>
        <v>564.54545454545462</v>
      </c>
      <c r="C207" s="378" t="s">
        <v>415</v>
      </c>
      <c r="D207" s="377">
        <f>Sn_Ch2*Ri_Ch2/1000</f>
        <v>323.40425531914894</v>
      </c>
      <c r="E207" s="378" t="s">
        <v>415</v>
      </c>
      <c r="F207" s="378" t="s">
        <v>388</v>
      </c>
      <c r="I207" s="56"/>
    </row>
    <row r="208" spans="1:14" x14ac:dyDescent="0.25">
      <c r="A208" s="112" t="s">
        <v>386</v>
      </c>
      <c r="B208" s="377">
        <f>Sf*Ri/1000</f>
        <v>90</v>
      </c>
      <c r="C208" s="378" t="s">
        <v>415</v>
      </c>
      <c r="D208" s="377">
        <f>Sf_Ch2*Ri_Ch2/1000</f>
        <v>85.106382978723403</v>
      </c>
      <c r="E208" s="378" t="s">
        <v>415</v>
      </c>
      <c r="F208" s="378" t="s">
        <v>388</v>
      </c>
      <c r="I208" s="56"/>
    </row>
    <row r="209" spans="1:9" x14ac:dyDescent="0.25">
      <c r="A209" s="112"/>
      <c r="B209" s="377"/>
      <c r="C209" s="378"/>
      <c r="D209" s="378"/>
      <c r="I209" s="56"/>
    </row>
    <row r="210" spans="1:9" x14ac:dyDescent="0.25">
      <c r="A210" s="112" t="s">
        <v>413</v>
      </c>
      <c r="B210" s="351">
        <f>1+Se_ext/Sn</f>
        <v>1.1487922705314009</v>
      </c>
      <c r="C210"/>
      <c r="D210" s="351">
        <f>1+Se_ext_Ch2/Sn_Ch2</f>
        <v>1.259736842105263</v>
      </c>
      <c r="F210" s="112" t="s">
        <v>668</v>
      </c>
      <c r="I210" s="56"/>
    </row>
    <row r="211" spans="1:9" x14ac:dyDescent="0.25">
      <c r="A211" s="112" t="s">
        <v>414</v>
      </c>
      <c r="B211" s="371">
        <f>mc_buck*(1-D1_Vinnom_2)</f>
        <v>0.98300690231580679</v>
      </c>
      <c r="C211" s="353"/>
      <c r="D211" s="371">
        <f>mc_buck_Ch2*(1-D2_Vinnom_2)</f>
        <v>0.98921307141606085</v>
      </c>
      <c r="F211" s="353" t="s">
        <v>669</v>
      </c>
      <c r="I211" s="56"/>
    </row>
    <row r="212" spans="1:9" x14ac:dyDescent="0.25">
      <c r="A212" s="2"/>
      <c r="B212" s="385"/>
      <c r="C212" s="353"/>
      <c r="D212" s="353"/>
      <c r="I212" s="56"/>
    </row>
    <row r="213" spans="1:9" x14ac:dyDescent="0.25">
      <c r="A213" s="2" t="s">
        <v>361</v>
      </c>
      <c r="B213" s="371">
        <f>1+Se_ext/Sn</f>
        <v>1.1487922705314009</v>
      </c>
      <c r="C213" s="353"/>
      <c r="D213" s="371">
        <f>1+Se_ext_Ch2/Sn_Ch2</f>
        <v>1.259736842105263</v>
      </c>
      <c r="I213" s="56"/>
    </row>
    <row r="214" spans="1:9" x14ac:dyDescent="0.25">
      <c r="A214" s="2" t="s">
        <v>336</v>
      </c>
      <c r="B214" s="411">
        <f>mc_buck*(1-D1_Vinnom_2)</f>
        <v>0.98300690231580679</v>
      </c>
      <c r="C214" s="353"/>
      <c r="D214" s="411">
        <f>mc_buck_Ch2*(1-D2_Vinnom_2)</f>
        <v>0.98921307141606085</v>
      </c>
      <c r="I214" s="56"/>
    </row>
    <row r="215" spans="1:9" x14ac:dyDescent="0.25">
      <c r="A215" s="112" t="s">
        <v>27</v>
      </c>
      <c r="B215" s="351">
        <f>1/Pi/(k-0.5)</f>
        <v>0.65901726253052717</v>
      </c>
      <c r="C215"/>
      <c r="D215" s="351">
        <f>1/Pi/(k_Ch2-0.5)</f>
        <v>0.65065695327016282</v>
      </c>
      <c r="F215" s="112" t="s">
        <v>370</v>
      </c>
      <c r="H215" s="112" t="s">
        <v>381</v>
      </c>
      <c r="I215" s="56"/>
    </row>
    <row r="216" spans="1:9" x14ac:dyDescent="0.25">
      <c r="A216" s="112"/>
      <c r="B216" s="351"/>
      <c r="C216"/>
      <c r="D216" s="112"/>
      <c r="F216" s="112"/>
      <c r="I216" s="56"/>
    </row>
    <row r="217" spans="1:9" x14ac:dyDescent="0.25">
      <c r="A217" s="353" t="s">
        <v>416</v>
      </c>
      <c r="B217" s="351"/>
      <c r="C217"/>
      <c r="D217" s="112"/>
      <c r="I217" s="56"/>
    </row>
    <row r="218" spans="1:9" x14ac:dyDescent="0.25">
      <c r="A218" s="112" t="s">
        <v>362</v>
      </c>
      <c r="B218" s="364">
        <v>13</v>
      </c>
      <c r="C218" s="112" t="s">
        <v>178</v>
      </c>
      <c r="F218" s="112" t="s">
        <v>446</v>
      </c>
      <c r="I218" s="56"/>
    </row>
    <row r="219" spans="1:9" x14ac:dyDescent="0.25">
      <c r="A219" s="112" t="s">
        <v>363</v>
      </c>
      <c r="B219" s="629">
        <f>gm/(2*Pi*GBW*1000000)</f>
        <v>7.345612766481063E-12</v>
      </c>
      <c r="C219" s="112" t="s">
        <v>24</v>
      </c>
      <c r="F219" s="112" t="s">
        <v>445</v>
      </c>
      <c r="I219" s="56"/>
    </row>
    <row r="220" spans="1:9" x14ac:dyDescent="0.25">
      <c r="A220" s="112" t="s">
        <v>364</v>
      </c>
      <c r="B220" s="571">
        <v>74000000</v>
      </c>
      <c r="C220" s="209" t="s">
        <v>116</v>
      </c>
      <c r="F220" s="112" t="s">
        <v>444</v>
      </c>
      <c r="I220" s="56"/>
    </row>
    <row r="221" spans="1:9" x14ac:dyDescent="0.25">
      <c r="A221" s="2" t="s">
        <v>365</v>
      </c>
      <c r="B221" s="300">
        <f>gm*RoEA</f>
        <v>44399.999999999993</v>
      </c>
      <c r="C221" s="112" t="s">
        <v>28</v>
      </c>
      <c r="F221" s="112" t="s">
        <v>443</v>
      </c>
      <c r="H221">
        <f>20*LOG(AEA)</f>
        <v>92.947659402292402</v>
      </c>
      <c r="I221" s="56"/>
    </row>
    <row r="222" spans="1:9" x14ac:dyDescent="0.25">
      <c r="A222" s="2" t="s">
        <v>366</v>
      </c>
      <c r="B222" s="4">
        <f>Vref/Vout</f>
        <v>0.24242424242424246</v>
      </c>
      <c r="C222" s="112" t="s">
        <v>28</v>
      </c>
      <c r="D222" s="4">
        <f>Vref/Vout2</f>
        <v>0.16</v>
      </c>
      <c r="E222" s="112" t="s">
        <v>28</v>
      </c>
      <c r="F222" s="112" t="s">
        <v>442</v>
      </c>
      <c r="I222" s="56"/>
    </row>
    <row r="223" spans="1:9" x14ac:dyDescent="0.25">
      <c r="A223" s="2" t="s">
        <v>321</v>
      </c>
      <c r="B223" s="385">
        <f>1/Ri</f>
        <v>11.111111111111111</v>
      </c>
      <c r="C223" s="112"/>
      <c r="D223" s="385">
        <f>1/Ri_Ch2</f>
        <v>12.5</v>
      </c>
      <c r="E223" s="112"/>
      <c r="F223" s="112" t="s">
        <v>371</v>
      </c>
      <c r="I223" s="56"/>
    </row>
    <row r="224" spans="1:9" x14ac:dyDescent="0.25">
      <c r="A224" s="112" t="s">
        <v>868</v>
      </c>
      <c r="B224" s="385">
        <f>1+Ro*Number_of_Phases*(k-0.5)/(Fsw*Lf)</f>
        <v>1.2195485919617304</v>
      </c>
      <c r="C224" s="112"/>
      <c r="D224" s="385"/>
      <c r="E224" s="112"/>
      <c r="F224" s="112"/>
      <c r="I224" s="56"/>
    </row>
    <row r="225" spans="1:9" x14ac:dyDescent="0.25">
      <c r="A225" s="2"/>
      <c r="B225" s="385">
        <f>Ro*Number_of_Phases/kd/Ri</f>
        <v>6.0131538682990451</v>
      </c>
      <c r="C225" s="112"/>
      <c r="D225" s="385"/>
      <c r="E225" s="112"/>
      <c r="F225" s="112"/>
      <c r="I225" s="56"/>
    </row>
    <row r="226" spans="1:9" x14ac:dyDescent="0.25">
      <c r="A226" s="2" t="s">
        <v>407</v>
      </c>
      <c r="B226" s="4"/>
      <c r="C226" s="4"/>
      <c r="D226" s="4">
        <f>Ro_Ch2/Ri_Ch2/((1+Ro_Ch2*(k_Ch2-0.5)/(Fsw*Lo_2)))</f>
        <v>10.108660982905707</v>
      </c>
      <c r="I226" s="56"/>
    </row>
    <row r="227" spans="1:9" x14ac:dyDescent="0.25">
      <c r="A227" s="2" t="s">
        <v>326</v>
      </c>
      <c r="B227" s="4">
        <f>(Ro*Number_of_Phases)/Ri/((1+Ro*Number_of_Phases*(k-0.5)/(Fsw*Lf)))</f>
        <v>6.0131538682990451</v>
      </c>
      <c r="C227" s="4"/>
      <c r="D227" s="4">
        <f>Ro_Ch2/Ri_Ch2/((1+Ro_Ch2*(k_Ch2-0.5)/(Fsw*Lo_2)))</f>
        <v>10.108660982905707</v>
      </c>
      <c r="F227" s="353" t="s">
        <v>750</v>
      </c>
      <c r="I227" s="56"/>
    </row>
    <row r="228" spans="1:9" x14ac:dyDescent="0.25">
      <c r="A228" s="2"/>
      <c r="B228" s="4"/>
      <c r="C228"/>
      <c r="D228" s="353"/>
      <c r="I228" s="56"/>
    </row>
    <row r="229" spans="1:9" x14ac:dyDescent="0.25">
      <c r="A229" s="112" t="s">
        <v>751</v>
      </c>
      <c r="B229" s="4">
        <f>2*Pi*Ri/gm</f>
        <v>942.47779500000001</v>
      </c>
      <c r="C229"/>
      <c r="F229" s="112" t="s">
        <v>447</v>
      </c>
      <c r="I229" s="56"/>
    </row>
    <row r="230" spans="1:9" x14ac:dyDescent="0.25">
      <c r="A230" s="353" t="s">
        <v>408</v>
      </c>
      <c r="B230" s="4"/>
      <c r="C230"/>
      <c r="F230" s="112"/>
      <c r="I230" s="56"/>
    </row>
    <row r="231" spans="1:9" x14ac:dyDescent="0.25">
      <c r="A231" s="353"/>
      <c r="B231" s="4"/>
      <c r="C231"/>
      <c r="F231" s="112"/>
      <c r="I231" s="56"/>
    </row>
    <row r="232" spans="1:9" x14ac:dyDescent="0.25">
      <c r="A232" s="208" t="s">
        <v>42</v>
      </c>
      <c r="B232" s="385">
        <f>Rout</f>
        <v>0.65999999999999992</v>
      </c>
      <c r="C232" s="209" t="s">
        <v>116</v>
      </c>
      <c r="D232" s="351">
        <f>Rout2</f>
        <v>1</v>
      </c>
      <c r="E232" s="209" t="s">
        <v>116</v>
      </c>
      <c r="F232" s="112" t="s">
        <v>266</v>
      </c>
      <c r="I232" s="56"/>
    </row>
    <row r="233" spans="1:9" x14ac:dyDescent="0.25">
      <c r="A233" s="112"/>
      <c r="B233" s="112"/>
      <c r="C233" s="209"/>
      <c r="D233" s="112"/>
      <c r="I233" s="56"/>
    </row>
    <row r="234" spans="1:9" x14ac:dyDescent="0.25">
      <c r="A234" s="112" t="s">
        <v>402</v>
      </c>
      <c r="B234" s="376">
        <f>1/(2*Pi*Ro*Cout)+(k-0.5)/(2*Pi*Fsw*Lf*Cout/Number_of_Phases)</f>
        <v>4455.8582868057547</v>
      </c>
      <c r="C234" t="s">
        <v>9</v>
      </c>
      <c r="D234" s="376">
        <f>1/(2*Pi*Ro_Ch2*Cout2)+(k_Ch2-0.5)/(2*Pi*Fsw*Lo_2*Cout2)</f>
        <v>2981.8965866605963</v>
      </c>
      <c r="E234" t="s">
        <v>9</v>
      </c>
      <c r="F234" s="112" t="s">
        <v>401</v>
      </c>
      <c r="I234" s="56"/>
    </row>
    <row r="235" spans="1:9" x14ac:dyDescent="0.25">
      <c r="A235" s="112" t="s">
        <v>434</v>
      </c>
      <c r="B235" s="362">
        <f>Fload_u</f>
        <v>4455.8582868057547</v>
      </c>
      <c r="C235" s="112" t="s">
        <v>9</v>
      </c>
      <c r="D235" s="362">
        <f>Fload_u_Ch2</f>
        <v>2981.8965866605963</v>
      </c>
      <c r="E235" s="112" t="s">
        <v>9</v>
      </c>
      <c r="F235" s="369"/>
      <c r="I235" s="56"/>
    </row>
    <row r="236" spans="1:9" x14ac:dyDescent="0.25">
      <c r="A236" s="112"/>
      <c r="B236" s="361">
        <f>Cbw</f>
        <v>7.345612766481063E-12</v>
      </c>
      <c r="C236"/>
      <c r="D236" s="112"/>
      <c r="E236" s="46"/>
      <c r="I236" s="56"/>
    </row>
    <row r="237" spans="1:9" x14ac:dyDescent="0.25">
      <c r="A237" s="112" t="s">
        <v>373</v>
      </c>
      <c r="B237" s="558">
        <f>1/(2*Pi*(RoEA+Rcea1_u)*Cc1ea_u)</f>
        <v>0.45754585778389983</v>
      </c>
      <c r="C237" t="s">
        <v>9</v>
      </c>
      <c r="D237" s="424">
        <f>1/(2*Pi*(RoEA+Rcea2_u)*Cc3ea_u)</f>
        <v>0.5513822714634995</v>
      </c>
      <c r="E237" t="s">
        <v>9</v>
      </c>
      <c r="F237" s="112" t="s">
        <v>400</v>
      </c>
      <c r="I237" s="56"/>
    </row>
    <row r="238" spans="1:9" x14ac:dyDescent="0.25">
      <c r="A238" s="112" t="s">
        <v>374</v>
      </c>
      <c r="B238" s="376">
        <f>1/(2*Pi*Rcea1_u*(Cc2ea_u+Cbw))</f>
        <v>221650.7791442411</v>
      </c>
      <c r="C238" t="s">
        <v>9</v>
      </c>
      <c r="D238" s="376">
        <f>1/(2*Pi*Rcea2_u*(Cc4ea_u+Cbw))</f>
        <v>207643.44241949852</v>
      </c>
      <c r="E238" t="s">
        <v>9</v>
      </c>
      <c r="F238" s="112" t="s">
        <v>382</v>
      </c>
      <c r="I238" s="56"/>
    </row>
    <row r="239" spans="1:9" x14ac:dyDescent="0.25">
      <c r="A239" s="208" t="s">
        <v>26</v>
      </c>
      <c r="B239" s="376">
        <f>1/(2*Pi*Cout*Cout_ESR)</f>
        <v>2411438.5344508542</v>
      </c>
      <c r="C239" t="s">
        <v>9</v>
      </c>
      <c r="D239" s="376">
        <f>1/(2*Pi*Cout2*Cout2_ESR)</f>
        <v>2411438.5344508542</v>
      </c>
      <c r="E239" t="s">
        <v>9</v>
      </c>
      <c r="F239" s="112" t="s">
        <v>399</v>
      </c>
      <c r="I239" s="56"/>
    </row>
    <row r="240" spans="1:9" x14ac:dyDescent="0.25">
      <c r="A240" s="112" t="s">
        <v>406</v>
      </c>
      <c r="B240" s="376">
        <f>Fsw/2</f>
        <v>220000</v>
      </c>
      <c r="C240" t="s">
        <v>9</v>
      </c>
      <c r="D240" s="362"/>
      <c r="F240" s="112" t="s">
        <v>734</v>
      </c>
      <c r="I240" s="56"/>
    </row>
    <row r="241" spans="1:12" x14ac:dyDescent="0.25">
      <c r="A241" s="112"/>
      <c r="B241" s="362"/>
      <c r="C241"/>
      <c r="D241" s="112"/>
      <c r="E241" s="46"/>
      <c r="I241" s="56"/>
    </row>
    <row r="242" spans="1:12" x14ac:dyDescent="0.25">
      <c r="A242" s="208" t="s">
        <v>398</v>
      </c>
      <c r="B242" s="308">
        <f>'Design Regulator'!E66*1000</f>
        <v>37000</v>
      </c>
      <c r="C242" s="361" t="s">
        <v>9</v>
      </c>
      <c r="D242" s="308">
        <f>'Design Regulator'!J66*1000</f>
        <v>35000</v>
      </c>
      <c r="E242" s="361" t="s">
        <v>9</v>
      </c>
      <c r="I242" s="56"/>
    </row>
    <row r="243" spans="1:12" x14ac:dyDescent="0.25">
      <c r="A243" s="65" t="s">
        <v>33</v>
      </c>
      <c r="B243" s="362">
        <f>Fcross*Cout/Number_of_Phases*2*Pi*Ri/(gm*Afb)</f>
        <v>9493.8144484837503</v>
      </c>
      <c r="C243" s="209" t="s">
        <v>116</v>
      </c>
      <c r="D243" s="362">
        <f>Fcross_Ch2*Cout2*2*Pi*Ri_Ch2/(gm*Afb_Ch2)</f>
        <v>12095.131702500004</v>
      </c>
      <c r="E243" s="209" t="s">
        <v>116</v>
      </c>
      <c r="F243" s="112" t="s">
        <v>368</v>
      </c>
      <c r="I243" s="56"/>
      <c r="K243" s="300"/>
      <c r="L243" s="209"/>
    </row>
    <row r="244" spans="1:12" x14ac:dyDescent="0.25">
      <c r="A244" s="65" t="s">
        <v>697</v>
      </c>
      <c r="B244" s="361">
        <f>10/(Rcea1*Fcross*2*Pi)</f>
        <v>4.5308289694157159E-9</v>
      </c>
      <c r="C244" t="s">
        <v>24</v>
      </c>
      <c r="D244" s="361">
        <f>10/(Rcea2*Fcross_Ch2*2*Pi)</f>
        <v>3.7595986595135586E-9</v>
      </c>
      <c r="E244" t="s">
        <v>24</v>
      </c>
      <c r="F244" s="112" t="s">
        <v>671</v>
      </c>
      <c r="I244" s="56"/>
    </row>
    <row r="245" spans="1:12" x14ac:dyDescent="0.25">
      <c r="A245" s="65" t="s">
        <v>698</v>
      </c>
      <c r="B245" s="361">
        <f>MAX(1/(Rcea1*2*Pi*Fesr)-Cbw, 1/(Rcea1*2*Pi*(Fsw/2))-Cbw)</f>
        <v>6.8854692628237815E-11</v>
      </c>
      <c r="C245" t="s">
        <v>24</v>
      </c>
      <c r="D245" s="361">
        <f>MAX(1/(Rcea2*2*Pi*Fesr_Ch2)-Cbw, 1/(Rcea2*2*Pi*(Fsw/2))-Cbw)</f>
        <v>5.2466184089416468E-11</v>
      </c>
      <c r="E245" t="s">
        <v>24</v>
      </c>
      <c r="F245" s="112" t="s">
        <v>369</v>
      </c>
      <c r="I245" s="56"/>
    </row>
    <row r="246" spans="1:12" x14ac:dyDescent="0.25">
      <c r="A246" s="64"/>
      <c r="B246" s="1"/>
      <c r="C246" s="209"/>
      <c r="I246" s="56"/>
    </row>
    <row r="247" spans="1:12" x14ac:dyDescent="0.25">
      <c r="A247" s="65" t="s">
        <v>317</v>
      </c>
      <c r="I247" s="56"/>
    </row>
    <row r="248" spans="1:12" x14ac:dyDescent="0.25">
      <c r="A248" s="55" t="s">
        <v>34</v>
      </c>
      <c r="B248" s="68">
        <f>'Design Regulator'!D74*1000</f>
        <v>9530</v>
      </c>
      <c r="C248" s="209" t="s">
        <v>116</v>
      </c>
      <c r="D248" s="68">
        <f>'Design Regulator'!D77*1000</f>
        <v>12100</v>
      </c>
      <c r="E248" s="209" t="s">
        <v>116</v>
      </c>
      <c r="F248">
        <f>1/(Rcea1*2*Pi*(Fsw/2))-Cbw</f>
        <v>6.8854692628237815E-11</v>
      </c>
      <c r="I248" s="56"/>
    </row>
    <row r="249" spans="1:12" x14ac:dyDescent="0.25">
      <c r="A249" s="55" t="s">
        <v>35</v>
      </c>
      <c r="B249" s="68">
        <f>'Design Regulator'!D75*0.000000001</f>
        <v>4.7000000000000007E-9</v>
      </c>
      <c r="C249" t="s">
        <v>24</v>
      </c>
      <c r="D249" s="68">
        <f>'Design Regulator'!D78*0.000000001</f>
        <v>3.900000000000001E-9</v>
      </c>
      <c r="E249" t="s">
        <v>24</v>
      </c>
      <c r="I249" s="56"/>
    </row>
    <row r="250" spans="1:12" x14ac:dyDescent="0.25">
      <c r="A250" s="55" t="s">
        <v>36</v>
      </c>
      <c r="B250" s="68">
        <f>'Design Regulator'!D76*0.000000000001</f>
        <v>6.7999999999999998E-11</v>
      </c>
      <c r="C250" t="s">
        <v>24</v>
      </c>
      <c r="D250" s="68">
        <f>'Design Regulator'!D79*0.000000000001</f>
        <v>5.6E-11</v>
      </c>
      <c r="E250" t="s">
        <v>24</v>
      </c>
      <c r="I250" s="56"/>
    </row>
    <row r="251" spans="1:12" x14ac:dyDescent="0.25">
      <c r="A251" s="55"/>
      <c r="B251" s="48"/>
      <c r="C251"/>
      <c r="I251" s="56"/>
    </row>
    <row r="252" spans="1:12" x14ac:dyDescent="0.25">
      <c r="A252" s="65" t="s">
        <v>384</v>
      </c>
      <c r="C252"/>
      <c r="F252">
        <f>Cout</f>
        <v>6.6000000000000005E-5</v>
      </c>
      <c r="G252">
        <f>Cout_ESR</f>
        <v>1E-3</v>
      </c>
      <c r="I252" s="56"/>
    </row>
    <row r="253" spans="1:12" x14ac:dyDescent="0.25">
      <c r="A253" s="65" t="s">
        <v>37</v>
      </c>
      <c r="B253" s="363">
        <f>1/(2*Pi*Rcea1_u*Cc1ea_u)</f>
        <v>3553.2795265512345</v>
      </c>
      <c r="C253" t="s">
        <v>9</v>
      </c>
      <c r="D253" s="363">
        <f>1/(2*Pi*Rcea2_u*Cc3ea_u)</f>
        <v>3372.6413069242708</v>
      </c>
      <c r="E253" t="s">
        <v>9</v>
      </c>
      <c r="F253" s="112" t="s">
        <v>439</v>
      </c>
      <c r="I253" s="56"/>
    </row>
    <row r="254" spans="1:12" x14ac:dyDescent="0.25">
      <c r="A254" s="65" t="s">
        <v>757</v>
      </c>
      <c r="B254" s="363">
        <f>1/(2*Pi*Rcea1_u*(Cc1ea_u*(Cc2ea_u+Cbw)/(Cc1ea_u+Cc2ea_u+Cbw)))</f>
        <v>225204.05867079235</v>
      </c>
      <c r="C254" t="s">
        <v>9</v>
      </c>
      <c r="D254" s="363">
        <f>1/(2*Pi*Rcea2_u*(Cc3ea_u*(Cc4ea_u+Cbw)/(Cc3ea_u+Cc4ea_u+Cbw)))</f>
        <v>211016.0837264228</v>
      </c>
      <c r="E254" t="s">
        <v>9</v>
      </c>
      <c r="F254" t="s">
        <v>132</v>
      </c>
      <c r="I254" s="56"/>
    </row>
    <row r="255" spans="1:12" x14ac:dyDescent="0.25">
      <c r="C255"/>
      <c r="I255" s="56"/>
    </row>
    <row r="256" spans="1:12" x14ac:dyDescent="0.25">
      <c r="A256" s="55" t="s">
        <v>29</v>
      </c>
      <c r="B256" s="308">
        <f>'Design Regulator'!E68*1000</f>
        <v>78700</v>
      </c>
      <c r="C256" s="209" t="s">
        <v>116</v>
      </c>
      <c r="D256" s="308">
        <f>'Design Regulator'!J68*1000</f>
        <v>78700</v>
      </c>
      <c r="E256" s="209" t="s">
        <v>116</v>
      </c>
      <c r="F256" s="112" t="s">
        <v>392</v>
      </c>
      <c r="I256" s="56"/>
    </row>
    <row r="257" spans="1:9" x14ac:dyDescent="0.25">
      <c r="A257" s="65" t="s">
        <v>40</v>
      </c>
      <c r="B257" s="352">
        <f>IF(Vout=Vref,100000000,Vref*B256/((Vout-Vref)))</f>
        <v>25184</v>
      </c>
      <c r="C257" s="209" t="s">
        <v>116</v>
      </c>
      <c r="D257" s="352">
        <f>IF(Vout2=Vref,100000000,Vref*D256/((Vout2-Vref)))</f>
        <v>14990.476190476189</v>
      </c>
      <c r="E257" s="209" t="s">
        <v>116</v>
      </c>
      <c r="F257" s="112" t="s">
        <v>391</v>
      </c>
      <c r="I257" s="56"/>
    </row>
    <row r="258" spans="1:9" x14ac:dyDescent="0.25">
      <c r="A258" s="55" t="s">
        <v>136</v>
      </c>
      <c r="B258" s="67">
        <f>IF(Vout=Vref,"N/A",'Standard Value Calculator'!O10)</f>
        <v>24900</v>
      </c>
      <c r="C258" s="209" t="s">
        <v>116</v>
      </c>
      <c r="D258" s="67">
        <f>IF(Vout2=Vref,"N/A",'Standard Value Calculator'!O12)</f>
        <v>15000</v>
      </c>
      <c r="E258" s="209" t="s">
        <v>116</v>
      </c>
      <c r="F258" s="112" t="s">
        <v>390</v>
      </c>
      <c r="I258" s="56"/>
    </row>
    <row r="259" spans="1:9" x14ac:dyDescent="0.25">
      <c r="B259" s="4">
        <f>Rfb2_u*Rfb1_/(Rfb1_+Rfb2_u)/1000</f>
        <v>18.915347490347489</v>
      </c>
      <c r="C259" s="400" t="s">
        <v>50</v>
      </c>
      <c r="D259" s="4">
        <f>Rfb4_u*Rfb3_/(Rfb3_+Rfb4_u)/1000</f>
        <v>12.598719316969051</v>
      </c>
      <c r="E259" s="400" t="s">
        <v>50</v>
      </c>
      <c r="F259" s="112" t="s">
        <v>883</v>
      </c>
      <c r="I259" s="56"/>
    </row>
    <row r="260" spans="1:9" x14ac:dyDescent="0.25">
      <c r="B260" s="674" t="b">
        <f>AND((Ch1_VOUT = 4), B259&lt;5)</f>
        <v>0</v>
      </c>
      <c r="C260" s="675"/>
      <c r="D260" s="674" t="b">
        <f>AND((Ch2_VOUT = 4), D259&lt;5)</f>
        <v>0</v>
      </c>
      <c r="E260" s="400"/>
      <c r="F260" s="112" t="s">
        <v>882</v>
      </c>
      <c r="I260" s="56"/>
    </row>
    <row r="261" spans="1:9" ht="13.8" thickBot="1" x14ac:dyDescent="0.3">
      <c r="A261" s="673" t="s">
        <v>884</v>
      </c>
      <c r="B261" s="670">
        <f>Vref/Rfb2_u*(Rfb1_+Rfb2_u)</f>
        <v>3.3285140562249</v>
      </c>
      <c r="C261" s="671" t="s">
        <v>0</v>
      </c>
      <c r="D261" s="672">
        <f>0.8/Rfb4_u*(Rfb3_+Rfb4_u)</f>
        <v>4.9973333333333336</v>
      </c>
      <c r="E261" s="671" t="s">
        <v>0</v>
      </c>
      <c r="F261" s="60"/>
      <c r="G261" s="60"/>
      <c r="H261" s="60"/>
      <c r="I261" s="61"/>
    </row>
    <row r="262" spans="1:9" x14ac:dyDescent="0.25">
      <c r="A262" s="1"/>
      <c r="B262" s="46"/>
      <c r="C262" s="46"/>
      <c r="E262" s="46"/>
    </row>
    <row r="263" spans="1:9" x14ac:dyDescent="0.25">
      <c r="A263" s="65" t="s">
        <v>169</v>
      </c>
      <c r="B263" s="1"/>
      <c r="C263"/>
    </row>
    <row r="264" spans="1:9" x14ac:dyDescent="0.25">
      <c r="A264" s="65" t="s">
        <v>170</v>
      </c>
      <c r="B264" s="2">
        <v>0</v>
      </c>
      <c r="C264" s="209" t="s">
        <v>116</v>
      </c>
      <c r="D264" s="112" t="s">
        <v>265</v>
      </c>
    </row>
    <row r="265" spans="1:9" x14ac:dyDescent="0.25">
      <c r="A265" s="65" t="s">
        <v>173</v>
      </c>
      <c r="B265" s="373" t="e">
        <f>0.00000002*Fsw*0.6*4/Iripple1</f>
        <v>#NAME?</v>
      </c>
      <c r="C265" s="46"/>
      <c r="E265" s="46"/>
    </row>
    <row r="266" spans="1:9" x14ac:dyDescent="0.25">
      <c r="A266" s="65" t="s">
        <v>172</v>
      </c>
      <c r="B266" s="373" t="e">
        <f>_Don2*RdsonTop+Doff2*RdsonBot</f>
        <v>#NAME?</v>
      </c>
      <c r="C266" s="46"/>
      <c r="E266" s="46"/>
    </row>
    <row r="267" spans="1:9" x14ac:dyDescent="0.25">
      <c r="A267" s="65" t="s">
        <v>171</v>
      </c>
      <c r="B267" s="373" t="e">
        <f>B268*Vin^2*Fsw/2/(((Iripple1/SQRT(3))^2))</f>
        <v>#NAME?</v>
      </c>
      <c r="C267" s="46"/>
      <c r="E267" s="46"/>
    </row>
    <row r="268" spans="1:9" x14ac:dyDescent="0.25">
      <c r="A268" s="65" t="s">
        <v>174</v>
      </c>
      <c r="B268" s="374">
        <v>5.0000000000000001E-9</v>
      </c>
      <c r="C268" s="46"/>
      <c r="E268" s="46"/>
    </row>
    <row r="269" spans="1:9" x14ac:dyDescent="0.25">
      <c r="A269" s="1"/>
      <c r="B269" s="46"/>
      <c r="C269" s="46"/>
      <c r="E269" s="46"/>
    </row>
    <row r="270" spans="1:9" ht="16.2" thickBot="1" x14ac:dyDescent="0.35">
      <c r="A270" s="90" t="s">
        <v>190</v>
      </c>
    </row>
    <row r="271" spans="1:9" x14ac:dyDescent="0.25">
      <c r="A271" s="207" t="s">
        <v>593</v>
      </c>
      <c r="B271" s="62">
        <v>0</v>
      </c>
      <c r="C271" s="288"/>
      <c r="D271" s="62"/>
      <c r="E271" s="62"/>
      <c r="F271" s="62"/>
      <c r="G271" s="62"/>
      <c r="H271" s="62"/>
      <c r="I271" s="63"/>
    </row>
    <row r="272" spans="1:9" x14ac:dyDescent="0.25">
      <c r="A272" s="65" t="s">
        <v>55</v>
      </c>
      <c r="I272" s="56"/>
    </row>
    <row r="273" spans="1:9" x14ac:dyDescent="0.25">
      <c r="A273" s="55" t="s">
        <v>83</v>
      </c>
      <c r="B273" s="29">
        <f>'Design Regulator'!E14</f>
        <v>25</v>
      </c>
      <c r="C273" s="112" t="s">
        <v>222</v>
      </c>
      <c r="D273" t="s">
        <v>96</v>
      </c>
      <c r="I273" s="56"/>
    </row>
    <row r="274" spans="1:9" x14ac:dyDescent="0.25">
      <c r="A274" s="65" t="s">
        <v>58</v>
      </c>
      <c r="C274"/>
      <c r="I274" s="56"/>
    </row>
    <row r="275" spans="1:9" x14ac:dyDescent="0.25">
      <c r="A275" s="55" t="s">
        <v>82</v>
      </c>
      <c r="B275" s="58">
        <f>4000/1000000</f>
        <v>4.0000000000000001E-3</v>
      </c>
      <c r="C275" s="112" t="s">
        <v>274</v>
      </c>
      <c r="D275" s="112" t="s">
        <v>469</v>
      </c>
      <c r="I275" s="56"/>
    </row>
    <row r="276" spans="1:9" ht="15.6" x14ac:dyDescent="0.35">
      <c r="A276" s="208" t="s">
        <v>466</v>
      </c>
      <c r="B276" s="58">
        <v>20</v>
      </c>
      <c r="C276" s="112" t="s">
        <v>202</v>
      </c>
      <c r="D276" s="112" t="s">
        <v>467</v>
      </c>
      <c r="I276" s="56"/>
    </row>
    <row r="277" spans="1:9" x14ac:dyDescent="0.25">
      <c r="A277" s="55" t="s">
        <v>86</v>
      </c>
      <c r="B277" s="29">
        <f>RCinEsr</f>
        <v>1E-3</v>
      </c>
      <c r="C277" s="209" t="s">
        <v>116</v>
      </c>
      <c r="D277" s="112" t="s">
        <v>468</v>
      </c>
      <c r="I277" s="56"/>
    </row>
    <row r="278" spans="1:9" x14ac:dyDescent="0.25">
      <c r="A278" s="55"/>
      <c r="B278" s="29"/>
      <c r="C278" s="209"/>
      <c r="D278" s="112"/>
      <c r="I278" s="56"/>
    </row>
    <row r="279" spans="1:9" x14ac:dyDescent="0.25">
      <c r="A279" s="64" t="s">
        <v>709</v>
      </c>
      <c r="C279"/>
      <c r="I279" s="56"/>
    </row>
    <row r="280" spans="1:9" x14ac:dyDescent="0.25">
      <c r="A280" s="208" t="s">
        <v>667</v>
      </c>
      <c r="B280" s="58">
        <v>5</v>
      </c>
      <c r="C280" t="s">
        <v>0</v>
      </c>
      <c r="D280" s="353" t="s">
        <v>708</v>
      </c>
      <c r="I280" s="56"/>
    </row>
    <row r="281" spans="1:9" x14ac:dyDescent="0.25">
      <c r="A281" s="65" t="s">
        <v>112</v>
      </c>
      <c r="C281"/>
      <c r="I281" s="56"/>
    </row>
    <row r="282" spans="1:9" x14ac:dyDescent="0.25">
      <c r="A282" s="55" t="s">
        <v>61</v>
      </c>
      <c r="B282" s="58">
        <v>1</v>
      </c>
      <c r="C282" s="209" t="s">
        <v>116</v>
      </c>
      <c r="D282" s="112" t="s">
        <v>393</v>
      </c>
      <c r="I282" s="56"/>
    </row>
    <row r="283" spans="1:9" x14ac:dyDescent="0.25">
      <c r="A283" s="55" t="s">
        <v>126</v>
      </c>
      <c r="B283" s="58">
        <v>0.5</v>
      </c>
      <c r="C283" s="209" t="s">
        <v>116</v>
      </c>
      <c r="D283" s="112" t="s">
        <v>394</v>
      </c>
      <c r="I283" s="56"/>
    </row>
    <row r="284" spans="1:9" x14ac:dyDescent="0.25">
      <c r="A284" s="65" t="s">
        <v>113</v>
      </c>
      <c r="C284"/>
      <c r="I284" s="56"/>
    </row>
    <row r="285" spans="1:9" x14ac:dyDescent="0.25">
      <c r="A285" s="55" t="s">
        <v>60</v>
      </c>
      <c r="B285" s="104">
        <v>1</v>
      </c>
      <c r="C285" s="209" t="s">
        <v>116</v>
      </c>
      <c r="D285" s="112" t="s">
        <v>395</v>
      </c>
      <c r="I285" s="56"/>
    </row>
    <row r="286" spans="1:9" x14ac:dyDescent="0.25">
      <c r="A286" s="55" t="s">
        <v>125</v>
      </c>
      <c r="B286" s="58">
        <v>0.7</v>
      </c>
      <c r="C286" s="209" t="s">
        <v>116</v>
      </c>
      <c r="D286" s="112" t="s">
        <v>396</v>
      </c>
      <c r="I286" s="56"/>
    </row>
    <row r="287" spans="1:9" x14ac:dyDescent="0.25">
      <c r="A287" s="65" t="s">
        <v>62</v>
      </c>
      <c r="C287"/>
      <c r="I287" s="56"/>
    </row>
    <row r="288" spans="1:9" x14ac:dyDescent="0.25">
      <c r="A288" s="208" t="s">
        <v>826</v>
      </c>
      <c r="B288" s="66">
        <v>2E-8</v>
      </c>
      <c r="C288" t="s">
        <v>133</v>
      </c>
      <c r="D288" s="112" t="s">
        <v>830</v>
      </c>
      <c r="G288" s="353" t="s">
        <v>824</v>
      </c>
      <c r="I288" s="56"/>
    </row>
    <row r="289" spans="1:9" x14ac:dyDescent="0.25">
      <c r="A289" s="208" t="s">
        <v>828</v>
      </c>
      <c r="B289" s="66">
        <v>2E-8</v>
      </c>
      <c r="C289" t="s">
        <v>133</v>
      </c>
      <c r="D289" s="112" t="s">
        <v>827</v>
      </c>
      <c r="G289" s="353"/>
      <c r="I289" s="56"/>
    </row>
    <row r="290" spans="1:9" x14ac:dyDescent="0.25">
      <c r="A290" s="65" t="s">
        <v>52</v>
      </c>
      <c r="C290"/>
      <c r="I290" s="56"/>
    </row>
    <row r="291" spans="1:9" x14ac:dyDescent="0.25">
      <c r="A291" s="55" t="s">
        <v>128</v>
      </c>
      <c r="B291" s="58">
        <v>3.4999999999999997E-5</v>
      </c>
      <c r="C291" t="s">
        <v>1</v>
      </c>
      <c r="D291" s="112" t="s">
        <v>829</v>
      </c>
      <c r="I291" s="56"/>
    </row>
    <row r="292" spans="1:9" x14ac:dyDescent="0.25">
      <c r="A292" s="55"/>
      <c r="C292"/>
      <c r="I292" s="56"/>
    </row>
    <row r="293" spans="1:9" x14ac:dyDescent="0.25">
      <c r="A293" s="65" t="s">
        <v>706</v>
      </c>
      <c r="B293" s="2" t="s">
        <v>518</v>
      </c>
      <c r="C293"/>
      <c r="D293" s="2" t="s">
        <v>519</v>
      </c>
      <c r="I293" s="56"/>
    </row>
    <row r="294" spans="1:9" x14ac:dyDescent="0.25">
      <c r="A294" s="208" t="s">
        <v>520</v>
      </c>
      <c r="B294" s="29">
        <f>'Design Regulator'!E87/1000</f>
        <v>1.15E-2</v>
      </c>
      <c r="C294" s="209" t="s">
        <v>116</v>
      </c>
      <c r="D294" s="29">
        <f>'Design Regulator'!F87/1000</f>
        <v>3.3E-3</v>
      </c>
      <c r="E294" s="209" t="s">
        <v>116</v>
      </c>
      <c r="F294" s="112" t="s">
        <v>711</v>
      </c>
      <c r="I294" s="56"/>
    </row>
    <row r="295" spans="1:9" x14ac:dyDescent="0.25">
      <c r="A295" s="55" t="s">
        <v>79</v>
      </c>
      <c r="B295" s="58">
        <f>4000/1000000</f>
        <v>4.0000000000000001E-3</v>
      </c>
      <c r="C295" s="112" t="s">
        <v>274</v>
      </c>
      <c r="E295" s="112"/>
      <c r="F295" s="112" t="s">
        <v>397</v>
      </c>
      <c r="I295" s="56"/>
    </row>
    <row r="296" spans="1:9" x14ac:dyDescent="0.25">
      <c r="A296" s="208" t="s">
        <v>122</v>
      </c>
      <c r="B296" s="70">
        <f>'Design Regulator'!E88/1000000000</f>
        <v>8.0000000000000005E-9</v>
      </c>
      <c r="C296" t="s">
        <v>134</v>
      </c>
      <c r="D296" s="70">
        <f>'Design Regulator'!F88/1000000000</f>
        <v>3.1E-8</v>
      </c>
      <c r="E296" t="s">
        <v>134</v>
      </c>
      <c r="F296" s="112" t="s">
        <v>710</v>
      </c>
      <c r="I296" s="56"/>
    </row>
    <row r="297" spans="1:9" x14ac:dyDescent="0.25">
      <c r="A297" s="208" t="s">
        <v>521</v>
      </c>
      <c r="B297" s="70">
        <f>'Design Regulator'!E89/1000000000</f>
        <v>2.7999999999999998E-9</v>
      </c>
      <c r="C297" t="s">
        <v>134</v>
      </c>
      <c r="D297" s="70">
        <f>'Design Regulator'!F89/1000000000</f>
        <v>1.1199999999999999E-8</v>
      </c>
      <c r="E297" t="s">
        <v>134</v>
      </c>
      <c r="F297" t="s">
        <v>121</v>
      </c>
      <c r="I297" s="56"/>
    </row>
    <row r="298" spans="1:9" x14ac:dyDescent="0.25">
      <c r="A298" s="208" t="s">
        <v>522</v>
      </c>
      <c r="B298" s="70">
        <f>'Design Regulator'!E90/1000000000</f>
        <v>3.1E-9</v>
      </c>
      <c r="C298" t="s">
        <v>134</v>
      </c>
      <c r="D298" s="70">
        <f>'Design Regulator'!F90/1000000000</f>
        <v>1.0999999999999999E-8</v>
      </c>
      <c r="E298" t="s">
        <v>134</v>
      </c>
      <c r="F298" t="s">
        <v>771</v>
      </c>
      <c r="I298" s="56"/>
    </row>
    <row r="299" spans="1:9" x14ac:dyDescent="0.25">
      <c r="A299" s="612" t="s">
        <v>767</v>
      </c>
      <c r="B299" s="70">
        <f>'Design Regulator'!E91/1000000000</f>
        <v>0</v>
      </c>
      <c r="C299" t="s">
        <v>134</v>
      </c>
      <c r="D299" s="70">
        <f>'Design Regulator'!F91/1000000000</f>
        <v>5.5000000000000003E-8</v>
      </c>
      <c r="E299" t="s">
        <v>134</v>
      </c>
      <c r="F299" s="112" t="s">
        <v>769</v>
      </c>
      <c r="I299" s="56"/>
    </row>
    <row r="300" spans="1:9" x14ac:dyDescent="0.25">
      <c r="A300" s="612" t="s">
        <v>768</v>
      </c>
      <c r="B300" s="70">
        <f>'Design Regulator'!E92/1000000000000</f>
        <v>1.16E-10</v>
      </c>
      <c r="C300" t="s">
        <v>24</v>
      </c>
      <c r="D300" s="70">
        <f>'Design Regulator'!F92/1000000000000</f>
        <v>4.8399999999999998E-10</v>
      </c>
      <c r="E300" t="s">
        <v>24</v>
      </c>
      <c r="F300" s="112" t="s">
        <v>770</v>
      </c>
      <c r="I300" s="56"/>
    </row>
    <row r="301" spans="1:9" x14ac:dyDescent="0.25">
      <c r="A301" s="208" t="s">
        <v>523</v>
      </c>
      <c r="B301" s="29">
        <f>'Design Regulator'!E93</f>
        <v>1.2</v>
      </c>
      <c r="C301" s="209" t="s">
        <v>116</v>
      </c>
      <c r="D301" s="29">
        <f>'Design Regulator'!F93</f>
        <v>1.2</v>
      </c>
      <c r="E301" s="209" t="s">
        <v>116</v>
      </c>
      <c r="F301" t="s">
        <v>100</v>
      </c>
      <c r="I301" s="56"/>
    </row>
    <row r="302" spans="1:9" x14ac:dyDescent="0.25">
      <c r="A302" s="208" t="s">
        <v>524</v>
      </c>
      <c r="B302" s="29">
        <f>'Design Regulator'!E94</f>
        <v>55</v>
      </c>
      <c r="C302" t="s">
        <v>66</v>
      </c>
      <c r="D302" s="29">
        <f>'Design Regulator'!F94</f>
        <v>200</v>
      </c>
      <c r="E302" t="s">
        <v>66</v>
      </c>
      <c r="F302" s="112" t="s">
        <v>714</v>
      </c>
      <c r="I302" s="56"/>
    </row>
    <row r="303" spans="1:9" x14ac:dyDescent="0.25">
      <c r="A303" s="208" t="s">
        <v>525</v>
      </c>
      <c r="B303" s="29">
        <f>'Design Regulator'!E95</f>
        <v>3</v>
      </c>
      <c r="C303" t="s">
        <v>0</v>
      </c>
      <c r="D303" s="29">
        <f>'Design Regulator'!F95</f>
        <v>3</v>
      </c>
      <c r="E303" t="s">
        <v>0</v>
      </c>
      <c r="F303" s="112" t="s">
        <v>715</v>
      </c>
      <c r="I303" s="56"/>
    </row>
    <row r="304" spans="1:9" x14ac:dyDescent="0.25">
      <c r="A304" s="208" t="s">
        <v>526</v>
      </c>
      <c r="B304" s="380">
        <f>Vth_Q1+(Iout/Number_of_Phases)/Gfs_Q1</f>
        <v>3.0909090909090908</v>
      </c>
      <c r="C304" t="s">
        <v>0</v>
      </c>
      <c r="D304" s="380">
        <f>Vth_Q2+(Iout/Number_of_Phases)/Gfs_Q2</f>
        <v>3.0249999999999999</v>
      </c>
      <c r="E304" t="s">
        <v>0</v>
      </c>
      <c r="F304" s="112" t="s">
        <v>716</v>
      </c>
      <c r="I304" s="56"/>
    </row>
    <row r="305" spans="1:9" x14ac:dyDescent="0.25">
      <c r="A305" s="55"/>
      <c r="C305"/>
      <c r="F305" s="112"/>
      <c r="I305" s="56"/>
    </row>
    <row r="306" spans="1:9" x14ac:dyDescent="0.25">
      <c r="A306" s="208" t="s">
        <v>528</v>
      </c>
      <c r="B306" s="29">
        <f>'Design Regulator'!E96</f>
        <v>0.7</v>
      </c>
      <c r="C306" t="s">
        <v>0</v>
      </c>
      <c r="D306" s="29">
        <f>'Design Regulator'!F96</f>
        <v>0.7</v>
      </c>
      <c r="E306" t="s">
        <v>0</v>
      </c>
      <c r="F306" s="112" t="s">
        <v>527</v>
      </c>
      <c r="I306" s="56"/>
    </row>
    <row r="307" spans="1:9" x14ac:dyDescent="0.25">
      <c r="A307" s="208" t="s">
        <v>486</v>
      </c>
      <c r="B307" s="70"/>
      <c r="C307" t="s">
        <v>134</v>
      </c>
      <c r="D307" s="70">
        <f>'Design Regulator'!F97/1000000000</f>
        <v>7.3000000000000005E-8</v>
      </c>
      <c r="E307" t="s">
        <v>134</v>
      </c>
      <c r="F307" t="s">
        <v>110</v>
      </c>
      <c r="I307" s="56"/>
    </row>
    <row r="308" spans="1:9" x14ac:dyDescent="0.25">
      <c r="A308" s="208" t="s">
        <v>487</v>
      </c>
      <c r="B308" s="70">
        <v>4.0000000000000001E-8</v>
      </c>
      <c r="C308" t="s">
        <v>133</v>
      </c>
      <c r="D308" s="70">
        <v>4.0000000000000001E-8</v>
      </c>
      <c r="E308" t="s">
        <v>133</v>
      </c>
      <c r="F308" t="s">
        <v>106</v>
      </c>
      <c r="I308" s="56"/>
    </row>
    <row r="309" spans="1:9" x14ac:dyDescent="0.25">
      <c r="A309" s="208" t="s">
        <v>582</v>
      </c>
      <c r="B309" s="29">
        <f>'Design Regulator'!E98</f>
        <v>42</v>
      </c>
      <c r="C309" s="112" t="s">
        <v>202</v>
      </c>
      <c r="D309" s="29">
        <f>'Design Regulator'!F98</f>
        <v>40</v>
      </c>
      <c r="E309" s="112" t="s">
        <v>202</v>
      </c>
      <c r="F309" s="112" t="s">
        <v>713</v>
      </c>
      <c r="I309" s="56"/>
    </row>
    <row r="310" spans="1:9" x14ac:dyDescent="0.25">
      <c r="A310" s="208"/>
      <c r="B310" s="29"/>
      <c r="C310" s="112"/>
      <c r="D310" s="29"/>
      <c r="E310" s="112"/>
      <c r="I310" s="56"/>
    </row>
    <row r="311" spans="1:9" x14ac:dyDescent="0.25">
      <c r="A311" s="208"/>
      <c r="B311" s="112"/>
      <c r="C311" s="112"/>
      <c r="D311" s="112"/>
      <c r="E311" s="112"/>
      <c r="I311" s="56"/>
    </row>
    <row r="312" spans="1:9" x14ac:dyDescent="0.25">
      <c r="A312" s="65" t="s">
        <v>707</v>
      </c>
      <c r="B312" s="2" t="s">
        <v>516</v>
      </c>
      <c r="C312"/>
      <c r="D312" s="2" t="s">
        <v>517</v>
      </c>
      <c r="I312" s="56"/>
    </row>
    <row r="313" spans="1:9" x14ac:dyDescent="0.25">
      <c r="A313" s="208" t="s">
        <v>520</v>
      </c>
      <c r="B313" s="29">
        <f>'Design Regulator'!H87/1000</f>
        <v>1.15E-2</v>
      </c>
      <c r="C313" s="209" t="s">
        <v>116</v>
      </c>
      <c r="D313" s="29">
        <f>'Design Regulator'!I87/1000</f>
        <v>3.3E-3</v>
      </c>
      <c r="E313" s="209" t="s">
        <v>116</v>
      </c>
      <c r="F313" s="112" t="s">
        <v>712</v>
      </c>
      <c r="I313" s="56"/>
    </row>
    <row r="314" spans="1:9" x14ac:dyDescent="0.25">
      <c r="A314" s="55" t="s">
        <v>80</v>
      </c>
      <c r="B314" s="398">
        <f>4000/1000000</f>
        <v>4.0000000000000001E-3</v>
      </c>
      <c r="C314" s="112" t="s">
        <v>274</v>
      </c>
      <c r="E314" s="112"/>
      <c r="F314" s="112" t="s">
        <v>397</v>
      </c>
      <c r="I314" s="56"/>
    </row>
    <row r="315" spans="1:9" x14ac:dyDescent="0.25">
      <c r="A315" s="208" t="s">
        <v>122</v>
      </c>
      <c r="B315" s="70">
        <f>'Design Regulator'!H88/1000000000</f>
        <v>8.0000000000000005E-9</v>
      </c>
      <c r="C315" t="s">
        <v>134</v>
      </c>
      <c r="D315" s="70">
        <f>'Design Regulator'!I88/1000000000</f>
        <v>3.1E-8</v>
      </c>
      <c r="E315" t="s">
        <v>134</v>
      </c>
      <c r="F315" s="112" t="s">
        <v>710</v>
      </c>
      <c r="I315" s="56"/>
    </row>
    <row r="316" spans="1:9" x14ac:dyDescent="0.25">
      <c r="A316" s="208" t="s">
        <v>521</v>
      </c>
      <c r="B316" s="70">
        <f>'Design Regulator'!H89/1000000000</f>
        <v>2.7999999999999998E-9</v>
      </c>
      <c r="C316" t="s">
        <v>134</v>
      </c>
      <c r="D316" s="70">
        <f>'Design Regulator'!I89/1000000000</f>
        <v>1.1199999999999999E-8</v>
      </c>
      <c r="E316" t="s">
        <v>134</v>
      </c>
      <c r="F316" t="s">
        <v>121</v>
      </c>
      <c r="I316" s="56"/>
    </row>
    <row r="317" spans="1:9" x14ac:dyDescent="0.25">
      <c r="A317" s="208" t="s">
        <v>522</v>
      </c>
      <c r="B317" s="70">
        <f>'Design Regulator'!H90/1000000000</f>
        <v>3.1E-9</v>
      </c>
      <c r="C317" t="s">
        <v>134</v>
      </c>
      <c r="D317" s="70">
        <f>'Design Regulator'!I90/1000000000</f>
        <v>1.0999999999999999E-8</v>
      </c>
      <c r="E317" t="s">
        <v>134</v>
      </c>
      <c r="F317" t="s">
        <v>771</v>
      </c>
      <c r="I317" s="56"/>
    </row>
    <row r="318" spans="1:9" x14ac:dyDescent="0.25">
      <c r="A318" s="612" t="s">
        <v>767</v>
      </c>
      <c r="B318" s="70">
        <f>'Design Regulator'!H91/1000000000</f>
        <v>0</v>
      </c>
      <c r="C318" t="s">
        <v>134</v>
      </c>
      <c r="D318" s="70">
        <f>'Design Regulator'!I91/1000000000</f>
        <v>5.5000000000000003E-8</v>
      </c>
      <c r="E318" t="s">
        <v>134</v>
      </c>
      <c r="F318" s="112" t="s">
        <v>769</v>
      </c>
      <c r="I318" s="56"/>
    </row>
    <row r="319" spans="1:9" x14ac:dyDescent="0.25">
      <c r="A319" s="612" t="s">
        <v>768</v>
      </c>
      <c r="B319" s="70">
        <f>'Design Regulator'!H92/1000000000000</f>
        <v>1.16E-10</v>
      </c>
      <c r="C319" t="s">
        <v>24</v>
      </c>
      <c r="D319" s="70">
        <f>'Design Regulator'!I92/1000000000000</f>
        <v>4.8399999999999998E-10</v>
      </c>
      <c r="E319" t="s">
        <v>24</v>
      </c>
      <c r="F319" s="112" t="s">
        <v>770</v>
      </c>
      <c r="I319" s="56"/>
    </row>
    <row r="320" spans="1:9" x14ac:dyDescent="0.25">
      <c r="A320" s="208" t="s">
        <v>523</v>
      </c>
      <c r="B320" s="29">
        <f>'Design Regulator'!H93</f>
        <v>1.2</v>
      </c>
      <c r="C320" s="209" t="s">
        <v>116</v>
      </c>
      <c r="D320" s="29">
        <f>'Design Regulator'!I93</f>
        <v>1.2</v>
      </c>
      <c r="E320" s="209" t="s">
        <v>116</v>
      </c>
      <c r="F320" t="s">
        <v>100</v>
      </c>
      <c r="I320" s="56"/>
    </row>
    <row r="321" spans="1:9" x14ac:dyDescent="0.25">
      <c r="A321" s="208" t="s">
        <v>524</v>
      </c>
      <c r="B321" s="29">
        <f>'Design Regulator'!H94</f>
        <v>55</v>
      </c>
      <c r="C321" t="s">
        <v>66</v>
      </c>
      <c r="D321" s="29">
        <f>'Design Regulator'!I94</f>
        <v>200</v>
      </c>
      <c r="E321" t="s">
        <v>66</v>
      </c>
      <c r="F321" s="112" t="s">
        <v>714</v>
      </c>
      <c r="I321" s="56"/>
    </row>
    <row r="322" spans="1:9" x14ac:dyDescent="0.25">
      <c r="A322" s="208" t="s">
        <v>525</v>
      </c>
      <c r="B322" s="29">
        <f>'Design Regulator'!H95</f>
        <v>3</v>
      </c>
      <c r="C322" t="s">
        <v>0</v>
      </c>
      <c r="D322" s="29">
        <f>'Design Regulator'!I95</f>
        <v>3</v>
      </c>
      <c r="E322" t="s">
        <v>0</v>
      </c>
      <c r="F322" s="112" t="s">
        <v>715</v>
      </c>
      <c r="I322" s="56"/>
    </row>
    <row r="323" spans="1:9" x14ac:dyDescent="0.25">
      <c r="A323" s="208" t="s">
        <v>526</v>
      </c>
      <c r="B323" s="380">
        <f>Vth_Q3+Iout2/Gfs_Q3</f>
        <v>3.0909090909090908</v>
      </c>
      <c r="C323" t="s">
        <v>0</v>
      </c>
      <c r="D323" s="380">
        <f>Vth_Q4+Iout2/Gfs_Q4</f>
        <v>3.0249999999999999</v>
      </c>
      <c r="E323" t="s">
        <v>0</v>
      </c>
      <c r="F323" s="112" t="s">
        <v>716</v>
      </c>
      <c r="I323" s="56"/>
    </row>
    <row r="324" spans="1:9" x14ac:dyDescent="0.25">
      <c r="E324" s="2"/>
      <c r="I324" s="56"/>
    </row>
    <row r="325" spans="1:9" x14ac:dyDescent="0.25">
      <c r="A325" s="208" t="s">
        <v>72</v>
      </c>
      <c r="B325" s="29">
        <f>'Design Regulator'!H96</f>
        <v>0.7</v>
      </c>
      <c r="C325" t="s">
        <v>0</v>
      </c>
      <c r="D325" s="29">
        <f>'Design Regulator'!I96</f>
        <v>0.7</v>
      </c>
      <c r="E325" t="s">
        <v>0</v>
      </c>
      <c r="F325" s="112" t="s">
        <v>527</v>
      </c>
      <c r="I325" s="56"/>
    </row>
    <row r="326" spans="1:9" x14ac:dyDescent="0.25">
      <c r="A326" s="55" t="s">
        <v>73</v>
      </c>
      <c r="B326" s="70"/>
      <c r="C326" t="s">
        <v>134</v>
      </c>
      <c r="D326" s="70">
        <f>'Design Regulator'!I97/1000000000</f>
        <v>7.3000000000000005E-8</v>
      </c>
      <c r="E326" t="s">
        <v>134</v>
      </c>
      <c r="F326" t="s">
        <v>110</v>
      </c>
      <c r="I326" s="56"/>
    </row>
    <row r="327" spans="1:9" x14ac:dyDescent="0.25">
      <c r="A327" s="55" t="s">
        <v>74</v>
      </c>
      <c r="B327" s="70">
        <v>4.0000000000000001E-8</v>
      </c>
      <c r="C327" t="s">
        <v>133</v>
      </c>
      <c r="D327" s="70">
        <v>4.0000000000000001E-8</v>
      </c>
      <c r="E327" t="s">
        <v>133</v>
      </c>
      <c r="F327" t="s">
        <v>106</v>
      </c>
      <c r="I327" s="56"/>
    </row>
    <row r="328" spans="1:9" x14ac:dyDescent="0.25">
      <c r="A328" s="208" t="s">
        <v>583</v>
      </c>
      <c r="B328" s="29">
        <f>'Design Regulator'!H98</f>
        <v>42</v>
      </c>
      <c r="C328" s="112" t="s">
        <v>202</v>
      </c>
      <c r="D328" s="29">
        <f>'Design Regulator'!I98</f>
        <v>40</v>
      </c>
      <c r="E328" s="112" t="s">
        <v>202</v>
      </c>
      <c r="F328" s="112" t="s">
        <v>713</v>
      </c>
      <c r="I328" s="56"/>
    </row>
    <row r="329" spans="1:9" x14ac:dyDescent="0.25">
      <c r="A329" s="208"/>
      <c r="B329" s="29"/>
      <c r="C329" s="112"/>
      <c r="D329" s="29"/>
      <c r="E329" s="112"/>
      <c r="I329" s="56"/>
    </row>
    <row r="330" spans="1:9" x14ac:dyDescent="0.25">
      <c r="A330" s="65" t="s">
        <v>509</v>
      </c>
      <c r="B330" s="468"/>
      <c r="D330" s="468"/>
      <c r="I330" s="56"/>
    </row>
    <row r="331" spans="1:9" x14ac:dyDescent="0.25">
      <c r="A331" s="55" t="s">
        <v>192</v>
      </c>
      <c r="B331" s="29">
        <f>'Design Regulator'!E101</f>
        <v>0</v>
      </c>
      <c r="C331" t="s">
        <v>0</v>
      </c>
      <c r="D331" s="29">
        <f>'Design Regulator'!F101</f>
        <v>0</v>
      </c>
      <c r="E331" t="s">
        <v>0</v>
      </c>
      <c r="F331" t="s">
        <v>195</v>
      </c>
      <c r="I331" s="56"/>
    </row>
    <row r="332" spans="1:9" x14ac:dyDescent="0.25">
      <c r="A332" s="55" t="s">
        <v>193</v>
      </c>
      <c r="B332" s="70">
        <f>'Design Regulator'!E102/1000000000</f>
        <v>0</v>
      </c>
      <c r="C332" t="s">
        <v>134</v>
      </c>
      <c r="D332" s="70">
        <f>'Design Regulator'!F102/1000000000</f>
        <v>0</v>
      </c>
      <c r="E332" t="s">
        <v>134</v>
      </c>
      <c r="F332" t="s">
        <v>196</v>
      </c>
      <c r="I332" s="56"/>
    </row>
    <row r="333" spans="1:9" x14ac:dyDescent="0.25">
      <c r="A333" s="55" t="s">
        <v>194</v>
      </c>
      <c r="B333" s="29">
        <v>0</v>
      </c>
      <c r="C333" t="s">
        <v>1</v>
      </c>
      <c r="D333" s="29">
        <v>0</v>
      </c>
      <c r="E333" t="s">
        <v>1</v>
      </c>
      <c r="F333" t="s">
        <v>197</v>
      </c>
      <c r="I333" s="56"/>
    </row>
    <row r="334" spans="1:9" x14ac:dyDescent="0.25">
      <c r="A334" s="55"/>
      <c r="C334"/>
      <c r="I334" s="56"/>
    </row>
    <row r="335" spans="1:9" x14ac:dyDescent="0.25">
      <c r="A335" s="65" t="s">
        <v>117</v>
      </c>
      <c r="C335"/>
      <c r="I335" s="56"/>
    </row>
    <row r="336" spans="1:9" x14ac:dyDescent="0.25">
      <c r="A336" s="208" t="s">
        <v>461</v>
      </c>
      <c r="B336" s="398">
        <v>34.799999999999997</v>
      </c>
      <c r="C336" s="112" t="s">
        <v>202</v>
      </c>
      <c r="D336" s="112"/>
      <c r="E336" s="112"/>
      <c r="F336" t="s">
        <v>465</v>
      </c>
      <c r="I336" s="56"/>
    </row>
    <row r="337" spans="1:9" x14ac:dyDescent="0.25">
      <c r="A337" s="65" t="s">
        <v>77</v>
      </c>
      <c r="C337"/>
      <c r="I337" s="56"/>
    </row>
    <row r="338" spans="1:9" x14ac:dyDescent="0.25">
      <c r="A338" s="208" t="s">
        <v>59</v>
      </c>
      <c r="C338"/>
      <c r="I338" s="56"/>
    </row>
    <row r="339" spans="1:9" x14ac:dyDescent="0.25">
      <c r="A339" s="55" t="s">
        <v>88</v>
      </c>
      <c r="B339" s="68">
        <f>(Qgd_Q1+Qgs_Q1/2)*(RdsonDRT+Rgate1)/(VCC-Vsp_Q1)</f>
        <v>5.0128571428571431E-9</v>
      </c>
      <c r="C339" t="s">
        <v>133</v>
      </c>
      <c r="D339" s="68">
        <f>(Qgd_Q3+Qgs_Q3/2)*(RdsonDRT+Rgate3)/(VCC-Vsp_Q3)</f>
        <v>5.0128571428571431E-9</v>
      </c>
      <c r="E339" t="s">
        <v>133</v>
      </c>
      <c r="I339" s="56"/>
    </row>
    <row r="340" spans="1:9" x14ac:dyDescent="0.25">
      <c r="A340" s="55" t="s">
        <v>89</v>
      </c>
      <c r="B340" s="68">
        <f>(Qgd_Q1+Qgs_Q1/2)*(RdsonDRT2+Rgate1)/(Vsp_Q1)</f>
        <v>2.3925000000000002E-9</v>
      </c>
      <c r="C340" t="s">
        <v>133</v>
      </c>
      <c r="D340" s="68">
        <f>(Qgd_Q3+Qgs_Q3/2)*(RdsonDRT2+Rgate3)/(Vsp_Q3)</f>
        <v>2.3925000000000002E-9</v>
      </c>
      <c r="E340" t="s">
        <v>133</v>
      </c>
      <c r="I340" s="56"/>
    </row>
    <row r="341" spans="1:9" x14ac:dyDescent="0.25">
      <c r="A341" s="55"/>
      <c r="C341"/>
      <c r="I341" s="56"/>
    </row>
    <row r="342" spans="1:9" x14ac:dyDescent="0.25">
      <c r="A342" s="65" t="s">
        <v>403</v>
      </c>
      <c r="B342" s="2" t="s">
        <v>7</v>
      </c>
      <c r="C342" s="2" t="s">
        <v>76</v>
      </c>
      <c r="I342" s="56"/>
    </row>
    <row r="343" spans="1:9" x14ac:dyDescent="0.25">
      <c r="A343" s="612" t="s">
        <v>846</v>
      </c>
      <c r="B343" s="112">
        <f>IF(Vout&lt;4.3, 5, Vout)</f>
        <v>5</v>
      </c>
      <c r="C343" t="s">
        <v>0</v>
      </c>
      <c r="I343" s="56"/>
    </row>
    <row r="344" spans="1:9" x14ac:dyDescent="0.25">
      <c r="A344" s="612" t="s">
        <v>847</v>
      </c>
      <c r="B344" s="285" t="b">
        <f>IF(Vout&gt;=4.3, TRUE, FALSE)</f>
        <v>0</v>
      </c>
      <c r="C344"/>
      <c r="I344" s="56"/>
    </row>
    <row r="345" spans="1:9" x14ac:dyDescent="0.25">
      <c r="A345" s="208" t="s">
        <v>845</v>
      </c>
      <c r="B345" s="463">
        <f>IF(EXT_BIAS=TRUE, IF(MODE=1, (Qg_Q1+Qg_Q2+Qg_Q3+Qg_Q4)*Fsw*Vout, (Qg_Q1+Qg_Q2)*2*Fsw*Vout), IF(MODE=1, (Qg_Q1+Qg_Q2+Qg_Q3+Qg_Q4)*Fsw*Vin, (Qg_Q1+Qg_Q2)*2*Fsw*Vin))</f>
        <v>0.82367999999999997</v>
      </c>
      <c r="C345" s="3" t="s">
        <v>116</v>
      </c>
      <c r="I345" s="56"/>
    </row>
    <row r="346" spans="1:9" x14ac:dyDescent="0.25">
      <c r="A346" s="208" t="s">
        <v>854</v>
      </c>
      <c r="B346" s="463">
        <f>IF(EXT_BIAS=TRUE, IF(MODE=1, (Qg_Q1+Qg_Q2)*Fsw*Vout, (Qg_Q1+Qg_Q2)*Fsw*Vout), IF(MODE=1, (Qg_Q1+Qg_Q2)*Fsw*Vin, (Qg_Q1+Qg_Q2)*Fsw*Vin))</f>
        <v>0.41183999999999998</v>
      </c>
      <c r="C346" s="112" t="s">
        <v>116</v>
      </c>
      <c r="I346" s="56"/>
    </row>
    <row r="347" spans="1:9" x14ac:dyDescent="0.25">
      <c r="A347" s="208" t="s">
        <v>853</v>
      </c>
      <c r="B347" s="463">
        <f>IF(EXT_BIAS=TRUE, IF(MODE=1, (Qg_Q3+Qg_Q4)*Fsw*Vout, (Qg_Q1+Qg_Q2)*Fsw*Vout), IF(MODE=1, (Qg_Q3+Qg_Q4)*Fsw*Vin, (Qg_Q1+Qg_Q2)*Fsw*Vin))</f>
        <v>0.41183999999999998</v>
      </c>
      <c r="C347" s="112" t="s">
        <v>116</v>
      </c>
      <c r="I347" s="56"/>
    </row>
    <row r="348" spans="1:9" x14ac:dyDescent="0.25">
      <c r="A348" s="57" t="s">
        <v>119</v>
      </c>
      <c r="B348" s="639">
        <f>B345*ThetaJaCtrl</f>
        <v>28.664063999999996</v>
      </c>
      <c r="C348" s="112" t="s">
        <v>222</v>
      </c>
      <c r="I348" s="56"/>
    </row>
    <row r="349" spans="1:9" x14ac:dyDescent="0.25">
      <c r="A349" s="208" t="s">
        <v>756</v>
      </c>
      <c r="B349" s="369">
        <f>B348 + Ta</f>
        <v>53.664063999999996</v>
      </c>
      <c r="C349" s="112" t="s">
        <v>222</v>
      </c>
      <c r="I349" s="56"/>
    </row>
    <row r="350" spans="1:9" x14ac:dyDescent="0.25">
      <c r="A350" s="612"/>
      <c r="B350" s="611"/>
      <c r="C350" s="112"/>
      <c r="I350" s="56"/>
    </row>
    <row r="351" spans="1:9" x14ac:dyDescent="0.25">
      <c r="A351" s="57" t="s">
        <v>207</v>
      </c>
      <c r="B351" s="642">
        <f>(Qg_Q1+Qg_Q2)*Fsw+Iq</f>
        <v>1.7194999999999998E-2</v>
      </c>
      <c r="C351" t="s">
        <v>1</v>
      </c>
      <c r="I351" s="56"/>
    </row>
    <row r="352" spans="1:9" x14ac:dyDescent="0.25">
      <c r="A352" s="57" t="s">
        <v>208</v>
      </c>
      <c r="B352" s="302">
        <f>Qrr_Q2*Fsw</f>
        <v>3.2120000000000003E-2</v>
      </c>
      <c r="C352" t="s">
        <v>1</v>
      </c>
      <c r="I352" s="56"/>
    </row>
    <row r="353" spans="1:9" x14ac:dyDescent="0.25">
      <c r="A353" s="55"/>
      <c r="I353" s="56"/>
    </row>
    <row r="354" spans="1:9" x14ac:dyDescent="0.25">
      <c r="A354" s="65" t="s">
        <v>430</v>
      </c>
      <c r="I354" s="56"/>
    </row>
    <row r="355" spans="1:9" x14ac:dyDescent="0.25">
      <c r="A355" s="55" t="s">
        <v>114</v>
      </c>
      <c r="I355" s="56"/>
    </row>
    <row r="356" spans="1:9" ht="13.8" thickBot="1" x14ac:dyDescent="0.3">
      <c r="A356" s="59" t="s">
        <v>115</v>
      </c>
      <c r="B356" s="60"/>
      <c r="C356" s="289"/>
      <c r="D356" s="60"/>
      <c r="E356" s="60"/>
      <c r="F356" s="60"/>
      <c r="G356" s="60"/>
      <c r="H356" s="60"/>
      <c r="I356" s="61"/>
    </row>
    <row r="357" spans="1:9" x14ac:dyDescent="0.25">
      <c r="A357" s="1"/>
      <c r="B357" s="1"/>
      <c r="C357" s="1"/>
    </row>
    <row r="358" spans="1:9" ht="21.75" customHeight="1" thickBot="1" x14ac:dyDescent="0.35">
      <c r="A358" s="87" t="s">
        <v>203</v>
      </c>
      <c r="D358" s="2"/>
    </row>
    <row r="359" spans="1:9" x14ac:dyDescent="0.25">
      <c r="A359" s="88" t="str">
        <f>"RC1 = "&amp;'Design Regulator'!D74&amp;"kΩ"</f>
        <v>RC1 = 9.53kΩ</v>
      </c>
      <c r="B359" s="62" t="str">
        <f>'Design Regulator'!D74&amp;"kΩ"</f>
        <v>9.53kΩ</v>
      </c>
      <c r="C359" s="288"/>
      <c r="D359" s="283" t="str">
        <f>'Design Regulator'!D77&amp;"kΩ"</f>
        <v>12.1kΩ</v>
      </c>
      <c r="E359" s="62"/>
      <c r="F359" s="62"/>
      <c r="G359" s="62"/>
      <c r="H359" s="62"/>
      <c r="I359" s="63"/>
    </row>
    <row r="360" spans="1:9" x14ac:dyDescent="0.25">
      <c r="A360" s="55" t="str">
        <f>"RC2 = "&amp;'Design Regulator'!D77&amp;"kΩ"</f>
        <v>RC2 = 12.1kΩ</v>
      </c>
      <c r="B360" t="str">
        <f>'Design Regulator'!D77&amp;"kΩ"</f>
        <v>12.1kΩ</v>
      </c>
      <c r="I360" s="56"/>
    </row>
    <row r="361" spans="1:9" x14ac:dyDescent="0.25">
      <c r="A361" s="55"/>
      <c r="I361" s="56"/>
    </row>
    <row r="362" spans="1:9" x14ac:dyDescent="0.25">
      <c r="A362" s="55" t="str">
        <f>"LF = "&amp;'Design Regulator'!E28&amp;"µH"</f>
        <v>LF = 3.3µH</v>
      </c>
      <c r="B362" t="str">
        <f>'Design Regulator'!E28&amp;"µH"</f>
        <v>3.3µH</v>
      </c>
      <c r="D362" t="str">
        <f>IF(MODE = 1, 'Design Regulator'!J28&amp;"µH", 'Design Regulator'!E28&amp;"µH")</f>
        <v>4.7µH</v>
      </c>
      <c r="I362" s="56"/>
    </row>
    <row r="363" spans="1:9" x14ac:dyDescent="0.25">
      <c r="A363" s="55" t="str">
        <f>"Rdcr = "&amp;Rdcr*1000&amp;"mΩ"</f>
        <v>Rdcr = 25mΩ</v>
      </c>
      <c r="B363" t="str">
        <f>Rdcr*1000&amp;"mΩ"</f>
        <v>25mΩ</v>
      </c>
      <c r="D363" t="str">
        <f>IF(MODE=1, Rdcr2*1000&amp;"mΩ", Rdcr*1000&amp;"mΩ")</f>
        <v>24.5mΩ</v>
      </c>
      <c r="I363" s="56"/>
    </row>
    <row r="364" spans="1:9" x14ac:dyDescent="0.25">
      <c r="A364" s="55" t="str">
        <f>"Rs = "&amp;'Design Regulator'!E19&amp;"mΩ"</f>
        <v>Rs = 9mΩ</v>
      </c>
      <c r="B364" t="str">
        <f>CHOOSE(SENSING_TYPE, 'Design Regulator'!E19&amp;"mΩ", Rdcr*1000&amp;"mΩ")</f>
        <v>9mΩ</v>
      </c>
      <c r="D364" t="str">
        <f>IF(MODE = 1, 'Design Regulator'!J19&amp;"mΩ", CHOOSE(SENSING_TYPE, 'Design Regulator'!E19&amp;"mΩ", Rdcr*1000&amp;"mΩ"))</f>
        <v>8mΩ</v>
      </c>
      <c r="I364" s="56"/>
    </row>
    <row r="365" spans="1:9" x14ac:dyDescent="0.25">
      <c r="A365" s="55"/>
      <c r="I365" s="56"/>
    </row>
    <row r="366" spans="1:9" x14ac:dyDescent="0.25">
      <c r="A366" s="55" t="str">
        <f>"VOUT = "&amp;'Design Regulator'!E10&amp;"V"</f>
        <v>VOUT = 3.3V</v>
      </c>
      <c r="B366" t="str">
        <f>'Design Regulator'!E10&amp;"V"</f>
        <v>3.3V</v>
      </c>
      <c r="D366" t="str">
        <f>IF(MODE=1, 'Design Regulator'!J10&amp;"V", "")</f>
        <v>5V</v>
      </c>
      <c r="I366" s="56"/>
    </row>
    <row r="367" spans="1:9" x14ac:dyDescent="0.25">
      <c r="A367" s="55"/>
      <c r="I367" s="56"/>
    </row>
    <row r="368" spans="1:9" x14ac:dyDescent="0.25">
      <c r="A368" s="55" t="str">
        <f>"COUT = "&amp;'Design Regulator'!$E$36&amp;"µF"</f>
        <v>COUT = 66µF</v>
      </c>
      <c r="B368" t="str">
        <f>ROUND('Design Regulator'!$E$36/Number_of_Phases, 0)&amp;"µF"</f>
        <v>66µF</v>
      </c>
      <c r="D368" t="str">
        <f>IF(MODE=1, 'Design Regulator'!$J$36&amp;"µF", ROUND('Design Regulator'!$E$36/Number_of_Phases, 0)&amp;"µF")</f>
        <v>66µF</v>
      </c>
      <c r="I368" s="56"/>
    </row>
    <row r="369" spans="1:9" x14ac:dyDescent="0.25">
      <c r="A369" s="208" t="s">
        <v>261</v>
      </c>
      <c r="B369" t="str">
        <f>"22µF"</f>
        <v>22µF</v>
      </c>
      <c r="I369" s="56"/>
    </row>
    <row r="370" spans="1:9" x14ac:dyDescent="0.25">
      <c r="A370" s="208" t="s">
        <v>262</v>
      </c>
      <c r="B370" s="114" t="str">
        <f>ROUNDUP(Cout*1000000/22,0)&amp;" x"</f>
        <v>3 x</v>
      </c>
      <c r="C370" s="290"/>
      <c r="I370" s="56"/>
    </row>
    <row r="371" spans="1:9" x14ac:dyDescent="0.25">
      <c r="A371" s="55"/>
      <c r="I371" s="56"/>
    </row>
    <row r="372" spans="1:9" x14ac:dyDescent="0.25">
      <c r="A372" s="55" t="s">
        <v>211</v>
      </c>
      <c r="B372" t="str">
        <f>Cin*1000000&amp;"µF"</f>
        <v>40µF</v>
      </c>
      <c r="I372" s="56"/>
    </row>
    <row r="373" spans="1:9" x14ac:dyDescent="0.25">
      <c r="A373" s="208" t="s">
        <v>260</v>
      </c>
      <c r="B373" t="str">
        <f>"10µF"</f>
        <v>10µF</v>
      </c>
      <c r="I373" s="56"/>
    </row>
    <row r="374" spans="1:9" x14ac:dyDescent="0.25">
      <c r="A374" s="208" t="s">
        <v>259</v>
      </c>
      <c r="B374" s="114" t="str">
        <f>ROUNDUP(Cin*1000000/10,0)&amp;" x"</f>
        <v>4 x</v>
      </c>
      <c r="C374" s="290"/>
      <c r="I374" s="56"/>
    </row>
    <row r="375" spans="1:9" x14ac:dyDescent="0.25">
      <c r="A375" s="208"/>
      <c r="B375" s="114"/>
      <c r="C375" s="290"/>
      <c r="I375" s="56"/>
    </row>
    <row r="376" spans="1:9" x14ac:dyDescent="0.25">
      <c r="A376" s="55" t="str">
        <f>"RC1 = "&amp;Rcea1_u/1000&amp;"kΩ"</f>
        <v>RC1 = 9.53kΩ</v>
      </c>
      <c r="B376" t="str">
        <f>ROUND(Rcea1_u/1000,2)&amp;"kΩ"</f>
        <v>9.53kΩ</v>
      </c>
      <c r="C376" s="112" t="str">
        <f>IF(MODE=1, "Rc2", "")</f>
        <v>Rc2</v>
      </c>
      <c r="D376" t="str">
        <f>IF(MODE=1, ROUND(Rcea2_u/1000,2)&amp;"kΩ", "")</f>
        <v>12.1kΩ</v>
      </c>
      <c r="E376">
        <f>IF(MODE=1, ROUND(Rcea2_u/1000,2), "")</f>
        <v>12.1</v>
      </c>
      <c r="I376" s="56"/>
    </row>
    <row r="377" spans="1:9" x14ac:dyDescent="0.25">
      <c r="A377" s="55" t="str">
        <f>"CC1 = "&amp;Cc1ea_u*10^9&amp;"nF"</f>
        <v>CC1 = 4.7nF</v>
      </c>
      <c r="B377" t="str">
        <f>Cc1ea_u*10^9&amp;"nF"</f>
        <v>4.7nF</v>
      </c>
      <c r="C377" s="112" t="str">
        <f>IF(MODE=1, "Cc3", "")</f>
        <v>Cc3</v>
      </c>
      <c r="D377" t="str">
        <f>IF(MODE=1, Cc3ea_u*10^9&amp;"nF", "")</f>
        <v>3.9nF</v>
      </c>
      <c r="E377">
        <f>IF(MODE=1, Cc3ea_u*10^9, "")</f>
        <v>3.9000000000000008</v>
      </c>
      <c r="I377" s="56"/>
    </row>
    <row r="378" spans="1:9" x14ac:dyDescent="0.25">
      <c r="A378" s="55" t="str">
        <f>"CC2 = "&amp;IF(Cc2ea_u&gt;0, Cc2ea_u*10^12&amp;"pF", "OPEN")</f>
        <v>CC2 = 68pF</v>
      </c>
      <c r="B378" t="str">
        <f>IF(Cc2ea_u&gt;0, ROUND(Cc2ea_u*10^12,1)&amp;"pF", "N/A")</f>
        <v>68pF</v>
      </c>
      <c r="C378" s="112" t="str">
        <f>IF(MODE=1, "Cc4", "")</f>
        <v>Cc4</v>
      </c>
      <c r="D378" t="str">
        <f>IF(MODE=1, IF(Cc4ea_u&gt;0, ROUND(Cc4ea_u*10^12,1)&amp;"pF", "N/A"), "")</f>
        <v>56pF</v>
      </c>
      <c r="E378">
        <f>IF(MODE=1, IF(Cc4ea_u&gt;0, ROUND(Cc4ea_u*10^12,1), "N/A"), "")</f>
        <v>56</v>
      </c>
      <c r="I378" s="56"/>
    </row>
    <row r="379" spans="1:9" x14ac:dyDescent="0.25">
      <c r="A379" s="55"/>
      <c r="I379" s="56"/>
    </row>
    <row r="380" spans="1:9" x14ac:dyDescent="0.25">
      <c r="A380" s="55" t="str">
        <f>"gm = "&amp;$B$200*1000&amp;"mS"</f>
        <v>gm = 0.6mS</v>
      </c>
      <c r="B380" t="str">
        <f>$B$200*1000&amp;"mS"</f>
        <v>0.6mS</v>
      </c>
      <c r="I380" s="56"/>
    </row>
    <row r="381" spans="1:9" x14ac:dyDescent="0.25">
      <c r="A381" s="55" t="str">
        <f>"RoEA = "&amp;RoEA/1000000&amp;"MΩ"</f>
        <v>RoEA = 74MΩ</v>
      </c>
      <c r="B381" t="str">
        <f>RoEA/1000000&amp;"MΩ"</f>
        <v>74MΩ</v>
      </c>
      <c r="I381" s="56"/>
    </row>
    <row r="382" spans="1:9" x14ac:dyDescent="0.25">
      <c r="A382" s="55" t="str">
        <f>"GBW = "&amp;GBW&amp;"MHz"</f>
        <v>GBW = 13MHz</v>
      </c>
      <c r="B382" t="str">
        <f>GBW&amp;"MHz"</f>
        <v>13MHz</v>
      </c>
      <c r="I382" s="56"/>
    </row>
    <row r="383" spans="1:9" x14ac:dyDescent="0.25">
      <c r="A383" s="55"/>
      <c r="I383" s="56"/>
    </row>
    <row r="384" spans="1:9" x14ac:dyDescent="0.25">
      <c r="A384" s="55"/>
      <c r="I384" s="56"/>
    </row>
    <row r="385" spans="1:9" x14ac:dyDescent="0.25">
      <c r="A385" s="55" t="str">
        <f>IF(INPUT_UVLO=1, "RCNFG = "&amp;Rcnfg&amp;"kΩ", "")</f>
        <v>RCNFG = 10kΩ</v>
      </c>
      <c r="B385" s="114" t="str">
        <f>Rcnfg&amp;"kΩ"</f>
        <v>10kΩ</v>
      </c>
      <c r="I385" s="56"/>
    </row>
    <row r="386" spans="1:9" x14ac:dyDescent="0.25">
      <c r="A386" s="55" t="str">
        <f>"RFB1 = "&amp;'Design Regulator'!E68&amp;"kΩ"</f>
        <v>RFB1 = 78.7kΩ</v>
      </c>
      <c r="B386" t="str">
        <f>'Design Regulator'!E68&amp;"kΩ"</f>
        <v>78.7kΩ</v>
      </c>
      <c r="D386" t="str">
        <f>'Design Regulator'!J68&amp;"kΩ"</f>
        <v>78.7kΩ</v>
      </c>
      <c r="I386" s="56"/>
    </row>
    <row r="387" spans="1:9" x14ac:dyDescent="0.25">
      <c r="A387" s="55" t="str">
        <f>"RFB2 = "&amp;IF(Vout=Vref,"OPEN",'Design Regulator'!E69&amp;"kΩ")</f>
        <v>RFB2 = 24.9kΩ</v>
      </c>
      <c r="B387" t="str">
        <f>IF(Vout=Vref,"OPEN",Rfb2_u/1000&amp;"kΩ")</f>
        <v>24.9kΩ</v>
      </c>
      <c r="D387" t="str">
        <f>IF(Vout2=Vref,"OPEN",Rfb4_u/1000&amp;"kΩ")</f>
        <v>15kΩ</v>
      </c>
      <c r="I387" s="56"/>
    </row>
    <row r="388" spans="1:9" x14ac:dyDescent="0.25">
      <c r="A388" s="55" t="str">
        <f>CHOOSE(BODE_PLOT_TYPE, "Crossover Frequency = "&amp;ROUND('Stability Calculations'!Q4,1)&amp;" kHz",  "Crossover Frequency = "&amp;ROUND('Ch2 Stability Calculations'!Q4,1)&amp;" kHz")</f>
        <v>Crossover Frequency = 34.3 kHz</v>
      </c>
      <c r="B388" t="str">
        <f>CHOOSE(BODE_PLOT_TYPE, ROUND('Stability Calculations'!Q4,1)&amp;" kHz", ROUND('Ch2 Stability Calculations'!Q4,1)&amp;" kHz")</f>
        <v>34.3 kHz</v>
      </c>
      <c r="D388" s="113">
        <f>'Stability Calculations'!Q4</f>
        <v>36.308</v>
      </c>
      <c r="I388" s="56"/>
    </row>
    <row r="389" spans="1:9" x14ac:dyDescent="0.25">
      <c r="A389" s="55" t="str">
        <f>CHOOSE(BODE_PLOT_TYPE, "Phase Margin = "&amp;ROUND('Stability Calculations'!Q5,0)&amp;"°", "Phase Margin = "&amp;ROUND('Ch2 Stability Calculations'!Q5,0)&amp;"°")</f>
        <v>Phase Margin = 67°</v>
      </c>
      <c r="B389" s="114" t="str">
        <f>CHOOSE(BODE_PLOT_TYPE, ROUND('Stability Calculations'!Q5,0)&amp;"°", ROUND('Ch2 Stability Calculations'!Q5,0)&amp;"°")</f>
        <v>67°</v>
      </c>
      <c r="C389" s="290"/>
      <c r="E389" s="209"/>
      <c r="I389" s="56"/>
    </row>
    <row r="390" spans="1:9" x14ac:dyDescent="0.25">
      <c r="A390" s="55"/>
      <c r="B390" s="114"/>
      <c r="C390" s="290"/>
      <c r="E390" s="209"/>
      <c r="I390" s="56"/>
    </row>
    <row r="391" spans="1:9" x14ac:dyDescent="0.25">
      <c r="A391" s="65" t="s">
        <v>580</v>
      </c>
      <c r="B391" s="472" t="str">
        <f>IF(PLOT_TYPE=1, ROUND('Efficiency Calculations'!AZ109,1)&amp;"%", ROUND('Ch2 Efficiency Calculations'!AZ109,1)&amp;"%")</f>
        <v>81.5%</v>
      </c>
      <c r="C391" s="290"/>
      <c r="D391" s="472"/>
      <c r="E391" s="209"/>
      <c r="I391" s="56"/>
    </row>
    <row r="392" spans="1:9" x14ac:dyDescent="0.25">
      <c r="A392" s="65" t="s">
        <v>581</v>
      </c>
      <c r="B392" s="472" t="str">
        <f>IF(PLOT_TYPE=1, ROUND('Efficiency Calculations'!AZ59,1)&amp;"%", ROUND('Ch2 Efficiency Calculations'!AZ59,1)&amp;"%")</f>
        <v>77.4%</v>
      </c>
      <c r="C392" s="290"/>
      <c r="D392" s="472"/>
      <c r="E392" s="209"/>
      <c r="I392" s="56"/>
    </row>
    <row r="393" spans="1:9" x14ac:dyDescent="0.25">
      <c r="A393" s="55"/>
      <c r="B393" s="114"/>
      <c r="C393" s="290"/>
      <c r="E393" s="209"/>
      <c r="I393" s="56"/>
    </row>
    <row r="394" spans="1:9" x14ac:dyDescent="0.25">
      <c r="A394" s="55" t="e">
        <f>"CDITH = "&amp;Cdither*1000000000&amp;"nF"</f>
        <v>#NAME?</v>
      </c>
      <c r="B394" t="e">
        <f>Cdither*1000000000&amp;"nF"</f>
        <v>#NAME?</v>
      </c>
      <c r="I394" s="56"/>
    </row>
    <row r="395" spans="1:9" x14ac:dyDescent="0.25">
      <c r="A395" s="55" t="str">
        <f>"Rs = "&amp;Rs&amp;"Ω"</f>
        <v>Rs = 0.009Ω</v>
      </c>
      <c r="B395" t="e">
        <f>'Standard Value Calculator'!#REF!&amp;"Ω"</f>
        <v>#REF!</v>
      </c>
      <c r="I395" s="56"/>
    </row>
    <row r="396" spans="1:9" x14ac:dyDescent="0.25">
      <c r="A396" s="55" t="s">
        <v>186</v>
      </c>
      <c r="B396" t="str">
        <f>'Standard Value Calculator'!O18&amp;"mΩ"</f>
        <v>8.45mΩ</v>
      </c>
      <c r="I396" s="56"/>
    </row>
    <row r="397" spans="1:9" x14ac:dyDescent="0.25">
      <c r="A397" s="55" t="s">
        <v>164</v>
      </c>
      <c r="B397" t="e">
        <f>'Standard Value Calculator'!#REF!&amp;"mΩ"</f>
        <v>#REF!</v>
      </c>
      <c r="I397" s="56"/>
    </row>
    <row r="398" spans="1:9" x14ac:dyDescent="0.25">
      <c r="A398" s="55" t="e">
        <f>"Rshunt = "&amp;ROUND(Rshunt,1)&amp;"mΩ"</f>
        <v>#NAME?</v>
      </c>
      <c r="B398" t="e">
        <f>IF(Rshunt="0", "N/A",ROUND(Rshunt,1)&amp;"mΩ")</f>
        <v>#NAME?</v>
      </c>
      <c r="I398" s="56"/>
    </row>
    <row r="399" spans="1:9" x14ac:dyDescent="0.25">
      <c r="A399" s="55"/>
      <c r="I399" s="56"/>
    </row>
    <row r="400" spans="1:9" x14ac:dyDescent="0.25">
      <c r="A400" s="208" t="s">
        <v>257</v>
      </c>
      <c r="B400" s="112" t="s">
        <v>258</v>
      </c>
      <c r="I400" s="56"/>
    </row>
    <row r="401" spans="1:9" x14ac:dyDescent="0.25">
      <c r="A401" s="208"/>
      <c r="B401" s="112"/>
      <c r="I401" s="56"/>
    </row>
    <row r="402" spans="1:9" x14ac:dyDescent="0.25">
      <c r="A402" s="208"/>
      <c r="B402" s="112"/>
      <c r="I402" s="56"/>
    </row>
    <row r="403" spans="1:9" x14ac:dyDescent="0.25">
      <c r="A403" s="208" t="s">
        <v>275</v>
      </c>
      <c r="B403" t="str">
        <f>'Standard Value Calculator'!O4/1000&amp;"kΩ"</f>
        <v>52.3kΩ</v>
      </c>
      <c r="I403" s="56"/>
    </row>
    <row r="404" spans="1:9" x14ac:dyDescent="0.25">
      <c r="A404" s="208" t="s">
        <v>809</v>
      </c>
      <c r="B404" t="str">
        <f>IF(Rss_u = 0, Rss_u&amp;"Ω", Rss_u/1000&amp;"kΩ")</f>
        <v>20kΩ</v>
      </c>
      <c r="C404" s="112"/>
      <c r="I404" s="56"/>
    </row>
    <row r="405" spans="1:9" x14ac:dyDescent="0.25">
      <c r="A405" s="612"/>
      <c r="C405" s="112"/>
      <c r="I405" s="56"/>
    </row>
    <row r="406" spans="1:9" x14ac:dyDescent="0.25">
      <c r="A406" s="208" t="s">
        <v>655</v>
      </c>
      <c r="B406" t="str">
        <f>IF(Cres_u = 0, "N/A", Cres_u*1000000000 &amp;"nF")</f>
        <v>82nF</v>
      </c>
      <c r="D406">
        <f>Cres_u</f>
        <v>8.2000000000000006E-8</v>
      </c>
      <c r="I406" s="56"/>
    </row>
    <row r="407" spans="1:9" x14ac:dyDescent="0.25">
      <c r="A407" s="612"/>
      <c r="I407" s="56"/>
    </row>
    <row r="408" spans="1:9" x14ac:dyDescent="0.25">
      <c r="A408" s="612"/>
      <c r="I408" s="56"/>
    </row>
    <row r="409" spans="1:9" x14ac:dyDescent="0.25">
      <c r="A409" s="55" t="s">
        <v>187</v>
      </c>
      <c r="B409" t="str">
        <f>IF(B77="y","","|")</f>
        <v>|</v>
      </c>
      <c r="I409" s="56"/>
    </row>
    <row r="410" spans="1:9" x14ac:dyDescent="0.25">
      <c r="A410" s="55" t="s">
        <v>204</v>
      </c>
      <c r="B410" t="str">
        <f>'Design Regulator'!$E$11&amp;"A"</f>
        <v>5A</v>
      </c>
      <c r="D410" t="str">
        <f>IF(MODE=1,'Design Regulator'!$J$11&amp;"A","")</f>
        <v>5A</v>
      </c>
      <c r="I410" s="56"/>
    </row>
    <row r="411" spans="1:9" x14ac:dyDescent="0.25">
      <c r="A411" s="55" t="s">
        <v>144</v>
      </c>
      <c r="B411" t="str">
        <f>VIN_nom&amp;"V"</f>
        <v>24V</v>
      </c>
      <c r="I411" s="56"/>
    </row>
    <row r="412" spans="1:9" x14ac:dyDescent="0.25">
      <c r="A412" s="208" t="s">
        <v>590</v>
      </c>
      <c r="B412" t="str">
        <f>VIN_min&amp;"V"&amp;"..."&amp;VIN_max&amp;"V"</f>
        <v>23V...25V</v>
      </c>
      <c r="I412" s="56"/>
    </row>
    <row r="413" spans="1:9" x14ac:dyDescent="0.25">
      <c r="A413" s="55"/>
      <c r="I413" s="56"/>
    </row>
    <row r="414" spans="1:9" ht="13.8" thickBot="1" x14ac:dyDescent="0.3">
      <c r="A414" s="59"/>
      <c r="B414" s="60"/>
      <c r="C414" s="289"/>
      <c r="D414" s="60"/>
      <c r="E414" s="60"/>
      <c r="F414" s="60"/>
      <c r="G414" s="60"/>
      <c r="H414" s="60"/>
      <c r="I414" s="61"/>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3"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Q3" sqref="Q3"/>
    </sheetView>
  </sheetViews>
  <sheetFormatPr defaultColWidth="9.109375" defaultRowHeight="13.2" x14ac:dyDescent="0.25"/>
  <cols>
    <col min="1" max="1" width="16.109375" style="310" customWidth="1"/>
    <col min="2" max="2" width="15.6640625" style="310" customWidth="1"/>
    <col min="3" max="3" width="10" style="310" customWidth="1"/>
    <col min="4" max="4" width="10.88671875" style="310" customWidth="1"/>
    <col min="5" max="5" width="10.109375" style="310" customWidth="1"/>
    <col min="6" max="8" width="11.88671875" style="310" customWidth="1"/>
    <col min="9" max="9" width="14.33203125" style="310" customWidth="1"/>
    <col min="10" max="10" width="11" style="310" customWidth="1"/>
    <col min="11" max="11" width="12" style="310" customWidth="1"/>
    <col min="12" max="12" width="11.44140625" style="310" customWidth="1"/>
    <col min="13" max="13" width="10.88671875" style="310" customWidth="1"/>
    <col min="14" max="14" width="11.44140625" style="310" customWidth="1"/>
    <col min="15" max="15" width="12.33203125" style="310" customWidth="1"/>
    <col min="16" max="16" width="12.109375" style="310" customWidth="1"/>
    <col min="17" max="17" width="9.44140625" style="310" customWidth="1"/>
    <col min="18" max="18" width="16.109375" style="310" bestFit="1" customWidth="1"/>
    <col min="19" max="19" width="16.109375" style="350" customWidth="1"/>
    <col min="20" max="20" width="9.109375" style="310"/>
    <col min="21" max="21" width="13.44140625" style="310" bestFit="1" customWidth="1"/>
    <col min="22" max="22" width="9.33203125" style="310" bestFit="1" customWidth="1"/>
    <col min="23" max="23" width="9.109375" style="310"/>
    <col min="24" max="24" width="13.5546875" style="310" customWidth="1"/>
    <col min="25" max="25" width="11.33203125" style="310" customWidth="1"/>
    <col min="26" max="26" width="9.109375" style="310"/>
    <col min="27" max="27" width="9.33203125" style="310" bestFit="1" customWidth="1"/>
    <col min="28" max="28" width="11.33203125" style="310" bestFit="1" customWidth="1"/>
    <col min="29" max="29" width="9.109375" style="310"/>
    <col min="30" max="30" width="12.33203125" customWidth="1"/>
    <col min="31" max="31" width="8.88671875" customWidth="1"/>
    <col min="32" max="16384" width="9.109375" style="310"/>
  </cols>
  <sheetData>
    <row r="1" spans="1:31" ht="13.8" thickBot="1" x14ac:dyDescent="0.3"/>
    <row r="2" spans="1:31" x14ac:dyDescent="0.25">
      <c r="A2" s="744" t="s">
        <v>412</v>
      </c>
      <c r="B2" s="745"/>
      <c r="C2" s="746"/>
      <c r="D2" s="747"/>
      <c r="E2" s="744" t="s">
        <v>318</v>
      </c>
      <c r="F2" s="745"/>
      <c r="G2" s="745"/>
      <c r="H2" s="391"/>
      <c r="I2" s="407"/>
      <c r="J2" s="744" t="s">
        <v>410</v>
      </c>
      <c r="K2" s="746"/>
      <c r="L2" s="747"/>
      <c r="M2" s="744" t="s">
        <v>411</v>
      </c>
      <c r="N2" s="746"/>
      <c r="O2" s="747"/>
      <c r="P2" s="744" t="s">
        <v>319</v>
      </c>
      <c r="Q2" s="745"/>
      <c r="R2" s="753"/>
      <c r="AD2" s="112"/>
      <c r="AE2" s="112"/>
    </row>
    <row r="3" spans="1:31" x14ac:dyDescent="0.25">
      <c r="B3" s="311" t="s">
        <v>320</v>
      </c>
      <c r="C3" s="394">
        <f>Afb</f>
        <v>0.24242424242424246</v>
      </c>
      <c r="D3" s="313" t="s">
        <v>28</v>
      </c>
      <c r="E3" s="314" t="s">
        <v>321</v>
      </c>
      <c r="F3" s="394">
        <f>Acs</f>
        <v>11.111111111111111</v>
      </c>
      <c r="G3" s="313" t="s">
        <v>409</v>
      </c>
      <c r="H3" s="405" t="s">
        <v>337</v>
      </c>
      <c r="I3" s="416">
        <f>gm</f>
        <v>5.9999999999999995E-4</v>
      </c>
      <c r="J3" s="314" t="s">
        <v>428</v>
      </c>
      <c r="K3" s="315">
        <f>Fesr</f>
        <v>2411438.5344508542</v>
      </c>
      <c r="L3" s="313" t="s">
        <v>9</v>
      </c>
      <c r="M3" s="314" t="s">
        <v>323</v>
      </c>
      <c r="N3" s="315">
        <f>Fsw/2</f>
        <v>220000</v>
      </c>
      <c r="O3" s="313" t="s">
        <v>9</v>
      </c>
      <c r="P3" s="316" t="s">
        <v>324</v>
      </c>
      <c r="Q3" s="315">
        <f>Am*Afb*AEA</f>
        <v>64723.401636964263</v>
      </c>
      <c r="R3" s="313" t="s">
        <v>28</v>
      </c>
    </row>
    <row r="4" spans="1:31" x14ac:dyDescent="0.25">
      <c r="B4" s="311" t="s">
        <v>433</v>
      </c>
      <c r="C4" s="315">
        <f>Fz1_u</f>
        <v>3553.2795265512345</v>
      </c>
      <c r="D4" s="313" t="s">
        <v>9</v>
      </c>
      <c r="E4" s="314" t="s">
        <v>326</v>
      </c>
      <c r="F4" s="320">
        <f>Am</f>
        <v>6.0131538682990451</v>
      </c>
      <c r="G4" s="313" t="s">
        <v>28</v>
      </c>
      <c r="H4" s="406"/>
      <c r="I4" s="406"/>
      <c r="J4" s="314" t="s">
        <v>427</v>
      </c>
      <c r="K4" s="315">
        <f>Fp_dominant</f>
        <v>4455.8582868057547</v>
      </c>
      <c r="L4" s="313" t="s">
        <v>9</v>
      </c>
      <c r="M4" s="314" t="s">
        <v>328</v>
      </c>
      <c r="N4" s="392">
        <f>Q*pole3</f>
        <v>144983.79775671597</v>
      </c>
      <c r="O4" s="313"/>
      <c r="P4" s="316" t="s">
        <v>329</v>
      </c>
      <c r="Q4" s="320">
        <f>AE7</f>
        <v>36.308</v>
      </c>
      <c r="R4" s="313" t="s">
        <v>2</v>
      </c>
    </row>
    <row r="5" spans="1:31" x14ac:dyDescent="0.25">
      <c r="B5" s="311" t="s">
        <v>432</v>
      </c>
      <c r="C5" s="394">
        <f>Fp1_u</f>
        <v>0.45754585778389983</v>
      </c>
      <c r="D5" s="313" t="s">
        <v>9</v>
      </c>
      <c r="E5" s="314" t="s">
        <v>27</v>
      </c>
      <c r="F5" s="394">
        <f>Q</f>
        <v>0.65901726253052717</v>
      </c>
      <c r="G5" s="313"/>
      <c r="H5" s="406"/>
      <c r="I5" s="406"/>
      <c r="J5" s="314"/>
      <c r="K5" s="315"/>
      <c r="L5" s="313"/>
      <c r="M5" s="314" t="s">
        <v>331</v>
      </c>
      <c r="N5" s="312">
        <f>pole3^2</f>
        <v>48400000000</v>
      </c>
      <c r="O5" s="313"/>
      <c r="P5" s="316" t="s">
        <v>332</v>
      </c>
      <c r="Q5" s="320">
        <f>AE9</f>
        <v>68.530884078530065</v>
      </c>
      <c r="R5" s="379" t="s">
        <v>389</v>
      </c>
    </row>
    <row r="6" spans="1:31" x14ac:dyDescent="0.25">
      <c r="B6" s="311" t="s">
        <v>333</v>
      </c>
      <c r="C6" s="312">
        <f>AEA</f>
        <v>44399.999999999993</v>
      </c>
      <c r="D6" s="313" t="s">
        <v>28</v>
      </c>
      <c r="E6" s="314" t="s">
        <v>361</v>
      </c>
      <c r="F6" s="394">
        <f>mc</f>
        <v>1.1487922705314009</v>
      </c>
      <c r="G6" s="405"/>
      <c r="H6" s="408"/>
      <c r="I6" s="319"/>
      <c r="J6" s="317"/>
      <c r="K6" s="318"/>
      <c r="L6" s="319"/>
      <c r="M6" s="317"/>
      <c r="N6" s="419"/>
      <c r="O6" s="319"/>
      <c r="P6" s="390" t="s">
        <v>334</v>
      </c>
      <c r="Q6" s="318">
        <f>180/Pi</f>
        <v>57.295779578552292</v>
      </c>
      <c r="R6" s="319"/>
      <c r="AD6" s="5" t="s">
        <v>46</v>
      </c>
      <c r="AE6" s="5"/>
    </row>
    <row r="7" spans="1:31" ht="13.8" thickBot="1" x14ac:dyDescent="0.3">
      <c r="B7" s="386" t="s">
        <v>431</v>
      </c>
      <c r="C7" s="393">
        <f>Fp2_u</f>
        <v>221650.7791442411</v>
      </c>
      <c r="D7" s="388" t="s">
        <v>9</v>
      </c>
      <c r="E7" s="387" t="s">
        <v>336</v>
      </c>
      <c r="F7" s="389">
        <f>k</f>
        <v>0.98300690231580679</v>
      </c>
      <c r="G7" s="389"/>
      <c r="H7" s="409"/>
      <c r="I7" s="388"/>
      <c r="J7" s="387"/>
      <c r="K7" s="387"/>
      <c r="L7" s="388"/>
      <c r="M7" s="387"/>
      <c r="N7" s="387"/>
      <c r="O7" s="388"/>
      <c r="P7" s="387"/>
      <c r="Q7" s="387"/>
      <c r="R7" s="388"/>
      <c r="AD7" t="s">
        <v>43</v>
      </c>
      <c r="AE7">
        <f>SUM(AD12:AD613)/1000</f>
        <v>36.308</v>
      </c>
    </row>
    <row r="8" spans="1:31" x14ac:dyDescent="0.25">
      <c r="B8" s="395"/>
      <c r="C8" s="396"/>
      <c r="F8" s="397"/>
      <c r="G8" s="397"/>
      <c r="H8" s="397"/>
    </row>
    <row r="9" spans="1:31" ht="13.8" thickBot="1" x14ac:dyDescent="0.3">
      <c r="AD9" t="s">
        <v>44</v>
      </c>
      <c r="AE9" s="4">
        <f>SUM(AE13:AE613)</f>
        <v>68.530884078530065</v>
      </c>
    </row>
    <row r="10" spans="1:31" ht="13.8" x14ac:dyDescent="0.25">
      <c r="A10" s="748" t="s">
        <v>440</v>
      </c>
      <c r="B10" s="742"/>
      <c r="C10" s="756" t="s">
        <v>338</v>
      </c>
      <c r="D10" s="757"/>
      <c r="E10" s="757"/>
      <c r="F10" s="757"/>
      <c r="G10" s="757"/>
      <c r="H10" s="758"/>
      <c r="I10" s="756" t="s">
        <v>339</v>
      </c>
      <c r="J10" s="757"/>
      <c r="K10" s="757"/>
      <c r="L10" s="757"/>
      <c r="M10" s="757"/>
      <c r="N10" s="758"/>
      <c r="O10" s="751" t="s">
        <v>340</v>
      </c>
      <c r="P10" s="752"/>
      <c r="Q10" s="751" t="s">
        <v>341</v>
      </c>
      <c r="R10" s="759"/>
      <c r="S10" s="760"/>
      <c r="X10" s="761" t="s">
        <v>342</v>
      </c>
      <c r="Y10" s="762"/>
      <c r="AA10" s="761" t="s">
        <v>343</v>
      </c>
      <c r="AB10" s="762"/>
    </row>
    <row r="11" spans="1:31" x14ac:dyDescent="0.25">
      <c r="A11" s="749"/>
      <c r="B11" s="743"/>
      <c r="C11" s="763" t="s">
        <v>427</v>
      </c>
      <c r="D11" s="764"/>
      <c r="E11" s="764" t="s">
        <v>428</v>
      </c>
      <c r="F11" s="765"/>
      <c r="G11" s="754" t="s">
        <v>429</v>
      </c>
      <c r="H11" s="755"/>
      <c r="I11" s="763" t="s">
        <v>327</v>
      </c>
      <c r="J11" s="764"/>
      <c r="K11" s="764" t="s">
        <v>322</v>
      </c>
      <c r="L11" s="765"/>
      <c r="M11" s="754" t="s">
        <v>330</v>
      </c>
      <c r="N11" s="755"/>
      <c r="O11" s="763" t="s">
        <v>323</v>
      </c>
      <c r="P11" s="765"/>
      <c r="Q11" s="314"/>
      <c r="R11" s="312"/>
      <c r="S11" s="357"/>
      <c r="X11" s="314"/>
      <c r="Y11" s="313"/>
      <c r="AA11" s="314"/>
      <c r="AB11" s="313"/>
    </row>
    <row r="12" spans="1:31" ht="13.8" thickBot="1" x14ac:dyDescent="0.3">
      <c r="A12" s="750"/>
      <c r="B12" s="354"/>
      <c r="C12" s="321" t="s">
        <v>344</v>
      </c>
      <c r="D12" s="322" t="s">
        <v>345</v>
      </c>
      <c r="E12" s="322" t="s">
        <v>344</v>
      </c>
      <c r="F12" s="323" t="s">
        <v>345</v>
      </c>
      <c r="G12" s="322" t="s">
        <v>344</v>
      </c>
      <c r="H12" s="323" t="s">
        <v>345</v>
      </c>
      <c r="I12" s="321" t="s">
        <v>344</v>
      </c>
      <c r="J12" s="322" t="s">
        <v>345</v>
      </c>
      <c r="K12" s="322" t="s">
        <v>344</v>
      </c>
      <c r="L12" s="323" t="s">
        <v>345</v>
      </c>
      <c r="M12" s="321" t="s">
        <v>344</v>
      </c>
      <c r="N12" s="322" t="s">
        <v>345</v>
      </c>
      <c r="O12" s="321" t="s">
        <v>344</v>
      </c>
      <c r="P12" s="323" t="s">
        <v>345</v>
      </c>
      <c r="Q12" s="321" t="s">
        <v>346</v>
      </c>
      <c r="R12" s="322" t="s">
        <v>348</v>
      </c>
      <c r="S12" s="358" t="s">
        <v>347</v>
      </c>
      <c r="V12" s="324" t="s">
        <v>349</v>
      </c>
      <c r="X12" s="325" t="s">
        <v>350</v>
      </c>
      <c r="Y12" s="326" t="s">
        <v>351</v>
      </c>
      <c r="AA12" s="325" t="s">
        <v>350</v>
      </c>
      <c r="AB12" s="326" t="s">
        <v>351</v>
      </c>
    </row>
    <row r="13" spans="1:31" x14ac:dyDescent="0.25">
      <c r="A13" s="327">
        <v>1</v>
      </c>
      <c r="B13" s="355">
        <f>A13/1000</f>
        <v>1E-3</v>
      </c>
      <c r="C13" s="328">
        <f t="shared" ref="C13:C76" si="0">SQRT(1+(A13/pole1)^2)</f>
        <v>1.0000000251829881</v>
      </c>
      <c r="D13" s="329">
        <f t="shared" ref="D13:D76" si="1">ATAN(A13/pole1)</f>
        <v>2.2442365058432005E-4</v>
      </c>
      <c r="E13" s="329">
        <f t="shared" ref="E13:E76" si="2">SQRT(1+(A13/Zero1)^2)</f>
        <v>1.0000000000000859</v>
      </c>
      <c r="F13" s="330">
        <f t="shared" ref="F13:F76" si="3">ATAN(A13/Zero1)</f>
        <v>4.1469022979997624E-7</v>
      </c>
      <c r="G13" s="329">
        <f t="shared" ref="G13:G76" si="4">IF(VIN_nom&gt;Vout, 1, SQRT(1+(A13/z_RHP)^2))</f>
        <v>1</v>
      </c>
      <c r="H13" s="330">
        <f t="shared" ref="H13:H76" si="5">IF(VIN_nom&gt;Vout, 0, -ATAN(A13/z_RHP))</f>
        <v>0</v>
      </c>
      <c r="I13" s="328">
        <f t="shared" ref="I13:I76" si="6">SQRT(1+(A13/Pole2)^2)</f>
        <v>2.4034830041609405</v>
      </c>
      <c r="J13" s="331">
        <f t="shared" ref="J13:J76" si="7">ATAN(A13/Pole2)</f>
        <v>1.1416850106586125</v>
      </c>
      <c r="K13" s="329">
        <f t="shared" ref="K13:K76" si="8">SQRT(1+(A13/Zero2)^2)</f>
        <v>1.0000000396014646</v>
      </c>
      <c r="L13" s="330">
        <f t="shared" ref="L13:L76" si="9">ATAN(A13/Zero2)</f>
        <v>2.8143014534226946E-4</v>
      </c>
      <c r="M13" s="328">
        <f t="shared" ref="M13:M76" si="10">SQRT(1+(A13/pole4)^2)</f>
        <v>1.0000000000101772</v>
      </c>
      <c r="N13" s="331">
        <f t="shared" ref="N13:N76" si="11">ATAN(A13/pole4)</f>
        <v>4.5116015556275429E-6</v>
      </c>
      <c r="O13" s="332">
        <f t="shared" ref="O13:O76" si="12">SQRT((1-(V13/pterm2))^2+(A13/pterm1)^2)</f>
        <v>1.0000000000031255</v>
      </c>
      <c r="P13" s="333">
        <f t="shared" ref="P13:P76" si="13">IF((ATAN((A13/pterm1)/(1-A13^2/pterm2))&gt;0),ATAN((A13/pterm1)/(1-A13^2/pterm2)),PI()+ATAN((A13/pterm1)/(1-A13^2/pterm2)))</f>
        <v>6.8973224282813442E-6</v>
      </c>
      <c r="Q13" s="334">
        <f t="shared" ref="Q13:Q76" si="14">20*LOG10(((E13*K13*G13)/(C13*I13*O13*M13))*Adc)</f>
        <v>88.604405700709208</v>
      </c>
      <c r="R13" s="335">
        <f t="shared" ref="R13:R76" si="15">((F13+L13+H13)-(D13+J13+P13+N13))*radconv</f>
        <v>-65.411096410468602</v>
      </c>
      <c r="S13" s="575">
        <f t="shared" ref="S13:S76" si="16">IF(R13&gt;0,R13,R13+180)</f>
        <v>114.5889035895314</v>
      </c>
      <c r="U13" s="310">
        <f>IF(Q13&lt;0,A13,1000000000)</f>
        <v>1000000000</v>
      </c>
      <c r="V13" s="310">
        <f>A13^2</f>
        <v>1</v>
      </c>
      <c r="X13" s="336">
        <f t="shared" ref="X13:X76" si="17">20*LOG10((K13/(I13*M13))*AEA*Afb)</f>
        <v>73.022359579804117</v>
      </c>
      <c r="Y13" s="337">
        <f t="shared" ref="Y13:Y76" si="18">(L13-(J13+N13))*radconv</f>
        <v>-65.397866454986982</v>
      </c>
      <c r="AA13" s="336">
        <f t="shared" ref="AA13:AA76" si="19">20*LOG10((E13*G13/(C13*O13))*Am)</f>
        <v>15.582046120905082</v>
      </c>
      <c r="AB13" s="337">
        <f t="shared" ref="AB13:AB76" si="20">(F13+H13-(D13+P13))*radconv</f>
        <v>-1.3229955481626254E-2</v>
      </c>
      <c r="AD13">
        <f>SUM((Q14&lt;0)*(Q13&gt;0))*A13</f>
        <v>0</v>
      </c>
      <c r="AE13">
        <f t="shared" ref="AE13:AE44" si="21">IF(AD13&gt;0,S11,0)</f>
        <v>0</v>
      </c>
    </row>
    <row r="14" spans="1:31" x14ac:dyDescent="0.25">
      <c r="A14" s="338">
        <v>1.0965</v>
      </c>
      <c r="B14" s="355">
        <f t="shared" ref="B14:B77" si="22">A14/1000</f>
        <v>1.0965E-3</v>
      </c>
      <c r="C14" s="328">
        <f t="shared" si="0"/>
        <v>1.0000000302778149</v>
      </c>
      <c r="D14" s="329">
        <f t="shared" si="1"/>
        <v>2.4608053202988182E-4</v>
      </c>
      <c r="E14" s="329">
        <f t="shared" si="2"/>
        <v>1.0000000000001035</v>
      </c>
      <c r="F14" s="330">
        <f t="shared" si="3"/>
        <v>4.5470783697566868E-7</v>
      </c>
      <c r="G14" s="329">
        <f t="shared" si="4"/>
        <v>1</v>
      </c>
      <c r="H14" s="330">
        <f t="shared" si="5"/>
        <v>0</v>
      </c>
      <c r="I14" s="328">
        <f t="shared" si="6"/>
        <v>2.5967521361820083</v>
      </c>
      <c r="J14" s="331">
        <f t="shared" si="7"/>
        <v>1.1754840084824141</v>
      </c>
      <c r="K14" s="339">
        <f t="shared" si="8"/>
        <v>1.0000000476133259</v>
      </c>
      <c r="L14" s="340">
        <f t="shared" si="9"/>
        <v>3.0858815271955488E-4</v>
      </c>
      <c r="M14" s="328">
        <f t="shared" si="10"/>
        <v>1.0000000000122362</v>
      </c>
      <c r="N14" s="331">
        <f t="shared" si="11"/>
        <v>4.9469711057388109E-6</v>
      </c>
      <c r="O14" s="332">
        <f t="shared" si="12"/>
        <v>1.0000000000037577</v>
      </c>
      <c r="P14" s="333">
        <f t="shared" si="13"/>
        <v>7.5629140426178427E-6</v>
      </c>
      <c r="Q14" s="334">
        <f t="shared" si="14"/>
        <v>87.932616883491477</v>
      </c>
      <c r="R14" s="335">
        <f t="shared" si="15"/>
        <v>-67.347381936046474</v>
      </c>
      <c r="S14" s="337">
        <f t="shared" si="16"/>
        <v>112.65261806395353</v>
      </c>
      <c r="U14" s="310">
        <f t="shared" ref="U14:U77" si="23">IF(Q14&lt;0,A14,1000000000)</f>
        <v>1000000000</v>
      </c>
      <c r="V14" s="310">
        <f t="shared" ref="V14:V77" si="24">A14^2</f>
        <v>1.2023122500000001</v>
      </c>
      <c r="X14" s="336">
        <f t="shared" si="17"/>
        <v>72.350570806844829</v>
      </c>
      <c r="Y14" s="337">
        <f t="shared" si="18"/>
        <v>-67.33287528990877</v>
      </c>
      <c r="AA14" s="336">
        <f t="shared" si="19"/>
        <v>15.582046076646641</v>
      </c>
      <c r="AB14" s="337">
        <f t="shared" si="20"/>
        <v>-1.4506646137714357E-2</v>
      </c>
      <c r="AD14">
        <f t="shared" ref="AD14:AD77" si="25">SUM((Q15&lt;0)*(Q14&gt;0))*A14</f>
        <v>0</v>
      </c>
      <c r="AE14">
        <f t="shared" si="21"/>
        <v>0</v>
      </c>
    </row>
    <row r="15" spans="1:31" x14ac:dyDescent="0.25">
      <c r="A15" s="338">
        <v>1.2022999999999999</v>
      </c>
      <c r="B15" s="355">
        <f t="shared" si="22"/>
        <v>1.2022999999999999E-3</v>
      </c>
      <c r="C15" s="328">
        <f t="shared" si="0"/>
        <v>1.0000000364026458</v>
      </c>
      <c r="D15" s="329">
        <f t="shared" si="1"/>
        <v>2.6982455307930192E-4</v>
      </c>
      <c r="E15" s="329">
        <f t="shared" si="2"/>
        <v>1.0000000000001243</v>
      </c>
      <c r="F15" s="330">
        <f t="shared" si="3"/>
        <v>4.9858206328849871E-7</v>
      </c>
      <c r="G15" s="329">
        <f t="shared" si="4"/>
        <v>1</v>
      </c>
      <c r="H15" s="330">
        <f t="shared" si="5"/>
        <v>0</v>
      </c>
      <c r="I15" s="328">
        <f t="shared" si="6"/>
        <v>2.8115626998888108</v>
      </c>
      <c r="J15" s="331">
        <f t="shared" si="7"/>
        <v>1.2071611075524906</v>
      </c>
      <c r="K15" s="339">
        <f t="shared" si="8"/>
        <v>1.0000000572449181</v>
      </c>
      <c r="L15" s="340">
        <f t="shared" si="9"/>
        <v>3.3836345976507735E-4</v>
      </c>
      <c r="M15" s="328">
        <f t="shared" si="10"/>
        <v>1.0000000000147113</v>
      </c>
      <c r="N15" s="331">
        <f t="shared" si="11"/>
        <v>5.4242985503145981E-6</v>
      </c>
      <c r="O15" s="332">
        <f t="shared" si="12"/>
        <v>1.0000000000045177</v>
      </c>
      <c r="P15" s="333">
        <f t="shared" si="13"/>
        <v>8.2926507555404066E-6</v>
      </c>
      <c r="Q15" s="334">
        <f t="shared" si="14"/>
        <v>87.242271404398011</v>
      </c>
      <c r="R15" s="335">
        <f t="shared" si="15"/>
        <v>-69.162067100694458</v>
      </c>
      <c r="S15" s="337">
        <f t="shared" si="16"/>
        <v>110.83793289930554</v>
      </c>
      <c r="U15" s="310">
        <f t="shared" si="23"/>
        <v>1000000000</v>
      </c>
      <c r="V15" s="310">
        <f t="shared" si="24"/>
        <v>1.4455252899999997</v>
      </c>
      <c r="X15" s="336">
        <f t="shared" si="17"/>
        <v>71.660225380957399</v>
      </c>
      <c r="Y15" s="337">
        <f t="shared" si="18"/>
        <v>-69.146160725334525</v>
      </c>
      <c r="AA15" s="336">
        <f t="shared" si="19"/>
        <v>15.582046023440618</v>
      </c>
      <c r="AB15" s="337">
        <f t="shared" si="20"/>
        <v>-1.5906375359924427E-2</v>
      </c>
      <c r="AD15">
        <f t="shared" si="25"/>
        <v>0</v>
      </c>
      <c r="AE15">
        <f t="shared" si="21"/>
        <v>0</v>
      </c>
    </row>
    <row r="16" spans="1:31" x14ac:dyDescent="0.25">
      <c r="A16" s="338">
        <v>1.3183</v>
      </c>
      <c r="B16" s="355">
        <f t="shared" si="22"/>
        <v>1.3183000000000001E-3</v>
      </c>
      <c r="C16" s="328">
        <f t="shared" si="0"/>
        <v>1.0000000437658894</v>
      </c>
      <c r="D16" s="329">
        <f t="shared" si="1"/>
        <v>2.9585769490004626E-4</v>
      </c>
      <c r="E16" s="329">
        <f t="shared" si="2"/>
        <v>1.0000000000001494</v>
      </c>
      <c r="F16" s="330">
        <f t="shared" si="3"/>
        <v>5.4668612994528567E-7</v>
      </c>
      <c r="G16" s="329">
        <f t="shared" si="4"/>
        <v>1</v>
      </c>
      <c r="H16" s="330">
        <f t="shared" si="5"/>
        <v>0</v>
      </c>
      <c r="I16" s="328">
        <f t="shared" si="6"/>
        <v>3.0498444469522816</v>
      </c>
      <c r="J16" s="331">
        <f t="shared" si="7"/>
        <v>1.2367317795260391</v>
      </c>
      <c r="K16" s="339">
        <f t="shared" si="8"/>
        <v>1.0000000688239741</v>
      </c>
      <c r="L16" s="340">
        <f t="shared" si="9"/>
        <v>3.7100935337683116E-4</v>
      </c>
      <c r="M16" s="328">
        <f t="shared" si="10"/>
        <v>1.0000000000176872</v>
      </c>
      <c r="N16" s="331">
        <f t="shared" si="11"/>
        <v>5.9476443307540127E-6</v>
      </c>
      <c r="O16" s="332">
        <f t="shared" si="12"/>
        <v>1.0000000000054317</v>
      </c>
      <c r="P16" s="333">
        <f t="shared" si="13"/>
        <v>9.0927401572355252E-6</v>
      </c>
      <c r="Q16" s="334">
        <f t="shared" si="14"/>
        <v>86.535673115105936</v>
      </c>
      <c r="R16" s="335">
        <f t="shared" si="15"/>
        <v>-70.856035992402028</v>
      </c>
      <c r="S16" s="337">
        <f t="shared" si="16"/>
        <v>109.14396400759797</v>
      </c>
      <c r="U16" s="310">
        <f t="shared" si="23"/>
        <v>1000000000</v>
      </c>
      <c r="V16" s="310">
        <f t="shared" si="24"/>
        <v>1.7379148900000001</v>
      </c>
      <c r="X16" s="336">
        <f t="shared" si="17"/>
        <v>70.953627155629363</v>
      </c>
      <c r="Y16" s="337">
        <f t="shared" si="18"/>
        <v>-70.838594942300588</v>
      </c>
      <c r="AA16" s="336">
        <f t="shared" si="19"/>
        <v>15.582045959476577</v>
      </c>
      <c r="AB16" s="337">
        <f t="shared" si="20"/>
        <v>-1.7441050101425645E-2</v>
      </c>
      <c r="AD16">
        <f t="shared" si="25"/>
        <v>0</v>
      </c>
      <c r="AE16">
        <f t="shared" si="21"/>
        <v>0</v>
      </c>
    </row>
    <row r="17" spans="1:31" x14ac:dyDescent="0.25">
      <c r="A17" s="338">
        <v>1.4454</v>
      </c>
      <c r="B17" s="355">
        <f t="shared" si="22"/>
        <v>1.4454000000000001E-3</v>
      </c>
      <c r="C17" s="328">
        <f t="shared" si="0"/>
        <v>1.0000000526118233</v>
      </c>
      <c r="D17" s="329">
        <f t="shared" si="1"/>
        <v>3.243819386229638E-4</v>
      </c>
      <c r="E17" s="329">
        <f t="shared" si="2"/>
        <v>1.0000000000001796</v>
      </c>
      <c r="F17" s="330">
        <f t="shared" si="3"/>
        <v>5.993932581528483E-7</v>
      </c>
      <c r="G17" s="329">
        <f t="shared" si="4"/>
        <v>1</v>
      </c>
      <c r="H17" s="330">
        <f t="shared" si="5"/>
        <v>0</v>
      </c>
      <c r="I17" s="328">
        <f t="shared" si="6"/>
        <v>3.3135261390477253</v>
      </c>
      <c r="J17" s="331">
        <f t="shared" si="7"/>
        <v>1.2642232226966441</v>
      </c>
      <c r="K17" s="339">
        <f t="shared" si="8"/>
        <v>1.000000082734632</v>
      </c>
      <c r="L17" s="340">
        <f t="shared" si="9"/>
        <v>4.0677912038060199E-4</v>
      </c>
      <c r="M17" s="328">
        <f t="shared" si="10"/>
        <v>1.0000000000212621</v>
      </c>
      <c r="N17" s="331">
        <f t="shared" si="11"/>
        <v>6.5210688884558603E-6</v>
      </c>
      <c r="O17" s="332">
        <f t="shared" si="12"/>
        <v>1.0000000000065294</v>
      </c>
      <c r="P17" s="333">
        <f t="shared" si="13"/>
        <v>9.969389837890014E-6</v>
      </c>
      <c r="Q17" s="334">
        <f t="shared" si="14"/>
        <v>85.815418927414257</v>
      </c>
      <c r="R17" s="335">
        <f t="shared" si="15"/>
        <v>-72.430844585934409</v>
      </c>
      <c r="S17" s="337">
        <f t="shared" si="16"/>
        <v>107.56915541406559</v>
      </c>
      <c r="U17" s="310">
        <f t="shared" si="23"/>
        <v>1000000000</v>
      </c>
      <c r="V17" s="310">
        <f t="shared" si="24"/>
        <v>2.0891811599999999</v>
      </c>
      <c r="X17" s="336">
        <f t="shared" si="17"/>
        <v>70.233373044781743</v>
      </c>
      <c r="Y17" s="337">
        <f t="shared" si="18"/>
        <v>-72.411722008621112</v>
      </c>
      <c r="AA17" s="336">
        <f t="shared" si="19"/>
        <v>15.582045882632503</v>
      </c>
      <c r="AB17" s="337">
        <f t="shared" si="20"/>
        <v>-1.9122577313289219E-2</v>
      </c>
      <c r="AD17">
        <f t="shared" si="25"/>
        <v>0</v>
      </c>
      <c r="AE17">
        <f t="shared" si="21"/>
        <v>0</v>
      </c>
    </row>
    <row r="18" spans="1:31" x14ac:dyDescent="0.25">
      <c r="A18" s="338">
        <v>1.5849</v>
      </c>
      <c r="B18" s="355">
        <f t="shared" si="22"/>
        <v>1.5849E-3</v>
      </c>
      <c r="C18" s="328">
        <f t="shared" si="0"/>
        <v>1.000000063257348</v>
      </c>
      <c r="D18" s="329">
        <f t="shared" si="1"/>
        <v>3.5568903478266743E-4</v>
      </c>
      <c r="E18" s="329">
        <f t="shared" si="2"/>
        <v>1.0000000000002158</v>
      </c>
      <c r="F18" s="330">
        <f t="shared" si="3"/>
        <v>6.5724254520992536E-7</v>
      </c>
      <c r="G18" s="329">
        <f t="shared" si="4"/>
        <v>1</v>
      </c>
      <c r="H18" s="330">
        <f t="shared" si="5"/>
        <v>0</v>
      </c>
      <c r="I18" s="328">
        <f t="shared" si="6"/>
        <v>3.6053720658759096</v>
      </c>
      <c r="J18" s="331">
        <f t="shared" si="7"/>
        <v>1.2897470762989247</v>
      </c>
      <c r="K18" s="339">
        <f t="shared" si="8"/>
        <v>1.0000000994752334</v>
      </c>
      <c r="L18" s="340">
        <f t="shared" si="9"/>
        <v>4.4603861954895462E-4</v>
      </c>
      <c r="M18" s="328">
        <f t="shared" si="10"/>
        <v>1.0000000000255644</v>
      </c>
      <c r="N18" s="331">
        <f t="shared" si="11"/>
        <v>7.1504373054407437E-6</v>
      </c>
      <c r="O18" s="332">
        <f t="shared" si="12"/>
        <v>1.0000000000078506</v>
      </c>
      <c r="P18" s="333">
        <f t="shared" si="13"/>
        <v>1.0931566316662491E-5</v>
      </c>
      <c r="Q18" s="334">
        <f t="shared" si="14"/>
        <v>85.082225207892819</v>
      </c>
      <c r="R18" s="335">
        <f t="shared" si="15"/>
        <v>-73.892885911081535</v>
      </c>
      <c r="S18" s="337">
        <f t="shared" si="16"/>
        <v>106.10711408891846</v>
      </c>
      <c r="U18" s="310">
        <f t="shared" si="23"/>
        <v>1000000000</v>
      </c>
      <c r="V18" s="310">
        <f t="shared" si="24"/>
        <v>2.51190801</v>
      </c>
      <c r="X18" s="336">
        <f t="shared" si="17"/>
        <v>69.500179417737343</v>
      </c>
      <c r="Y18" s="337">
        <f t="shared" si="18"/>
        <v>-73.871917755155991</v>
      </c>
      <c r="AA18" s="336">
        <f t="shared" si="19"/>
        <v>15.582045790155494</v>
      </c>
      <c r="AB18" s="337">
        <f t="shared" si="20"/>
        <v>-2.0968155925543561E-2</v>
      </c>
      <c r="AD18">
        <f t="shared" si="25"/>
        <v>0</v>
      </c>
      <c r="AE18">
        <f t="shared" si="21"/>
        <v>0</v>
      </c>
    </row>
    <row r="19" spans="1:31" x14ac:dyDescent="0.25">
      <c r="A19" s="338">
        <v>1.7378</v>
      </c>
      <c r="B19" s="355">
        <f t="shared" si="22"/>
        <v>1.7378000000000001E-3</v>
      </c>
      <c r="C19" s="328">
        <f t="shared" si="0"/>
        <v>1.0000000760513335</v>
      </c>
      <c r="D19" s="329">
        <f t="shared" si="1"/>
        <v>3.9000340675954633E-4</v>
      </c>
      <c r="E19" s="329">
        <f t="shared" si="2"/>
        <v>1.0000000000002598</v>
      </c>
      <c r="F19" s="330">
        <f t="shared" si="3"/>
        <v>7.2064868134631537E-7</v>
      </c>
      <c r="G19" s="329">
        <f t="shared" si="4"/>
        <v>1</v>
      </c>
      <c r="H19" s="330">
        <f t="shared" si="5"/>
        <v>0</v>
      </c>
      <c r="I19" s="328">
        <f t="shared" si="6"/>
        <v>3.9275287252116065</v>
      </c>
      <c r="J19" s="331">
        <f t="shared" si="7"/>
        <v>1.313348799819428</v>
      </c>
      <c r="K19" s="339">
        <f t="shared" si="8"/>
        <v>1.0000001195943924</v>
      </c>
      <c r="L19" s="340">
        <f t="shared" si="9"/>
        <v>4.8906928049440761E-4</v>
      </c>
      <c r="M19" s="328">
        <f t="shared" si="10"/>
        <v>1.000000000030735</v>
      </c>
      <c r="N19" s="331">
        <f t="shared" si="11"/>
        <v>7.8402611832620936E-6</v>
      </c>
      <c r="O19" s="332">
        <f t="shared" si="12"/>
        <v>1.0000000000094385</v>
      </c>
      <c r="P19" s="333">
        <f t="shared" si="13"/>
        <v>1.1986166915983619E-5</v>
      </c>
      <c r="Q19" s="334">
        <f t="shared" si="14"/>
        <v>84.338839660657939</v>
      </c>
      <c r="R19" s="335">
        <f t="shared" si="15"/>
        <v>-75.244761968271064</v>
      </c>
      <c r="S19" s="337">
        <f t="shared" si="16"/>
        <v>104.75523803172894</v>
      </c>
      <c r="U19" s="310">
        <f t="shared" si="23"/>
        <v>1000000000</v>
      </c>
      <c r="V19" s="310">
        <f t="shared" si="24"/>
        <v>3.0199488400000001</v>
      </c>
      <c r="X19" s="336">
        <f t="shared" si="17"/>
        <v>68.756793981642986</v>
      </c>
      <c r="Y19" s="337">
        <f t="shared" si="18"/>
        <v>-75.221770952392887</v>
      </c>
      <c r="AA19" s="336">
        <f t="shared" si="19"/>
        <v>15.582045679014948</v>
      </c>
      <c r="AB19" s="337">
        <f t="shared" si="20"/>
        <v>-2.2991015878189375E-2</v>
      </c>
      <c r="AD19">
        <f t="shared" si="25"/>
        <v>0</v>
      </c>
      <c r="AE19">
        <f t="shared" si="21"/>
        <v>0</v>
      </c>
    </row>
    <row r="20" spans="1:31" x14ac:dyDescent="0.25">
      <c r="A20" s="338">
        <v>1.9055</v>
      </c>
      <c r="B20" s="355">
        <f t="shared" si="22"/>
        <v>1.9055000000000001E-3</v>
      </c>
      <c r="C20" s="328">
        <f t="shared" si="0"/>
        <v>1.0000000914376699</v>
      </c>
      <c r="D20" s="329">
        <f t="shared" si="1"/>
        <v>4.276392472996874E-4</v>
      </c>
      <c r="E20" s="329">
        <f t="shared" si="2"/>
        <v>1.0000000000003122</v>
      </c>
      <c r="F20" s="330">
        <f t="shared" si="3"/>
        <v>7.9019223288373558E-7</v>
      </c>
      <c r="G20" s="329">
        <f t="shared" si="4"/>
        <v>1</v>
      </c>
      <c r="H20" s="330">
        <f t="shared" si="5"/>
        <v>0</v>
      </c>
      <c r="I20" s="328">
        <f t="shared" si="6"/>
        <v>4.2829867446420913</v>
      </c>
      <c r="J20" s="331">
        <f t="shared" si="7"/>
        <v>1.3351392751419058</v>
      </c>
      <c r="K20" s="339">
        <f t="shared" si="8"/>
        <v>1.0000001437901485</v>
      </c>
      <c r="L20" s="340">
        <f t="shared" si="9"/>
        <v>5.3626510470119201E-4</v>
      </c>
      <c r="M20" s="328">
        <f t="shared" si="10"/>
        <v>1.0000000000369531</v>
      </c>
      <c r="N20" s="331">
        <f t="shared" si="11"/>
        <v>8.5968567640948254E-6</v>
      </c>
      <c r="O20" s="332">
        <f t="shared" si="12"/>
        <v>1.000000000011348</v>
      </c>
      <c r="P20" s="333">
        <f t="shared" si="13"/>
        <v>1.3142847887256195E-5</v>
      </c>
      <c r="Q20" s="334">
        <f t="shared" si="14"/>
        <v>83.586292532422334</v>
      </c>
      <c r="R20" s="335">
        <f t="shared" si="15"/>
        <v>-76.492822130662304</v>
      </c>
      <c r="S20" s="337">
        <f t="shared" si="16"/>
        <v>103.5071778693377</v>
      </c>
      <c r="U20" s="310">
        <f t="shared" si="23"/>
        <v>1000000000</v>
      </c>
      <c r="V20" s="310">
        <f t="shared" si="24"/>
        <v>3.63093025</v>
      </c>
      <c r="X20" s="336">
        <f t="shared" si="17"/>
        <v>68.004246987067518</v>
      </c>
      <c r="Y20" s="337">
        <f t="shared" si="18"/>
        <v>-76.467612451574311</v>
      </c>
      <c r="AA20" s="336">
        <f t="shared" si="19"/>
        <v>15.582045545354807</v>
      </c>
      <c r="AB20" s="337">
        <f t="shared" si="20"/>
        <v>-2.5209679088003586E-2</v>
      </c>
      <c r="AD20">
        <f t="shared" si="25"/>
        <v>0</v>
      </c>
      <c r="AE20">
        <f t="shared" si="21"/>
        <v>0</v>
      </c>
    </row>
    <row r="21" spans="1:31" x14ac:dyDescent="0.25">
      <c r="A21" s="338">
        <v>2.0893000000000002</v>
      </c>
      <c r="B21" s="355">
        <f t="shared" si="22"/>
        <v>2.0893000000000001E-3</v>
      </c>
      <c r="C21" s="328">
        <f t="shared" si="0"/>
        <v>1.0000001099281322</v>
      </c>
      <c r="D21" s="329">
        <f t="shared" si="1"/>
        <v>4.6888830667514902E-4</v>
      </c>
      <c r="E21" s="329">
        <f t="shared" si="2"/>
        <v>1.0000000000003753</v>
      </c>
      <c r="F21" s="330">
        <f t="shared" si="3"/>
        <v>8.6641229712092328E-7</v>
      </c>
      <c r="G21" s="329">
        <f t="shared" si="4"/>
        <v>1</v>
      </c>
      <c r="H21" s="330">
        <f t="shared" si="5"/>
        <v>0</v>
      </c>
      <c r="I21" s="328">
        <f t="shared" si="6"/>
        <v>4.6745333829267848</v>
      </c>
      <c r="J21" s="331">
        <f t="shared" si="7"/>
        <v>1.3552050080501652</v>
      </c>
      <c r="K21" s="339">
        <f t="shared" si="8"/>
        <v>1.0000001728672918</v>
      </c>
      <c r="L21" s="340">
        <f t="shared" si="9"/>
        <v>5.8799195042411631E-4</v>
      </c>
      <c r="M21" s="328">
        <f t="shared" si="10"/>
        <v>1.0000000000444256</v>
      </c>
      <c r="N21" s="331">
        <f t="shared" si="11"/>
        <v>9.4260891299574082E-6</v>
      </c>
      <c r="O21" s="332">
        <f t="shared" si="12"/>
        <v>1.0000000000136429</v>
      </c>
      <c r="P21" s="333">
        <f t="shared" si="13"/>
        <v>1.4410575749641152E-5</v>
      </c>
      <c r="Q21" s="334">
        <f t="shared" si="14"/>
        <v>82.82646191805577</v>
      </c>
      <c r="R21" s="335">
        <f t="shared" si="15"/>
        <v>-77.642019387402044</v>
      </c>
      <c r="S21" s="337">
        <f t="shared" si="16"/>
        <v>102.35798061259796</v>
      </c>
      <c r="U21" s="310">
        <f t="shared" si="23"/>
        <v>1000000000</v>
      </c>
      <c r="V21" s="310">
        <f t="shared" si="24"/>
        <v>4.3651744900000002</v>
      </c>
      <c r="X21" s="336">
        <f t="shared" si="17"/>
        <v>67.244416533326458</v>
      </c>
      <c r="Y21" s="337">
        <f t="shared" si="18"/>
        <v>-77.61437804293206</v>
      </c>
      <c r="AA21" s="336">
        <f t="shared" si="19"/>
        <v>15.582045384729323</v>
      </c>
      <c r="AB21" s="337">
        <f t="shared" si="20"/>
        <v>-2.7641344469971452E-2</v>
      </c>
      <c r="AD21">
        <f t="shared" si="25"/>
        <v>0</v>
      </c>
      <c r="AE21">
        <f t="shared" si="21"/>
        <v>0</v>
      </c>
    </row>
    <row r="22" spans="1:31" x14ac:dyDescent="0.25">
      <c r="A22" s="338">
        <v>2.2909000000000002</v>
      </c>
      <c r="B22" s="355">
        <f t="shared" si="22"/>
        <v>2.2909000000000002E-3</v>
      </c>
      <c r="C22" s="328">
        <f t="shared" si="0"/>
        <v>1.0000001321659251</v>
      </c>
      <c r="D22" s="329">
        <f t="shared" si="1"/>
        <v>5.1413210445471131E-4</v>
      </c>
      <c r="E22" s="329">
        <f t="shared" si="2"/>
        <v>1.0000000000004512</v>
      </c>
      <c r="F22" s="330">
        <f t="shared" si="3"/>
        <v>9.5001384744853439E-7</v>
      </c>
      <c r="G22" s="329">
        <f t="shared" si="4"/>
        <v>1</v>
      </c>
      <c r="H22" s="330">
        <f t="shared" si="5"/>
        <v>0</v>
      </c>
      <c r="I22" s="328">
        <f t="shared" si="6"/>
        <v>5.1058149434254547</v>
      </c>
      <c r="J22" s="331">
        <f t="shared" si="7"/>
        <v>1.3736669438086273</v>
      </c>
      <c r="K22" s="339">
        <f t="shared" si="8"/>
        <v>1.0000002078372927</v>
      </c>
      <c r="L22" s="340">
        <f t="shared" si="9"/>
        <v>6.4472824765368056E-4</v>
      </c>
      <c r="M22" s="328">
        <f t="shared" si="10"/>
        <v>1.0000000000534126</v>
      </c>
      <c r="N22" s="331">
        <f t="shared" si="11"/>
        <v>1.033562800348923E-5</v>
      </c>
      <c r="O22" s="332">
        <f t="shared" si="12"/>
        <v>1.0000000000164027</v>
      </c>
      <c r="P22" s="333">
        <f t="shared" si="13"/>
        <v>1.5801075951272171E-5</v>
      </c>
      <c r="Q22" s="334">
        <f t="shared" si="14"/>
        <v>82.059925939638475</v>
      </c>
      <c r="R22" s="335">
        <f t="shared" si="15"/>
        <v>-78.699278910012836</v>
      </c>
      <c r="S22" s="337">
        <f t="shared" si="16"/>
        <v>101.30072108998716</v>
      </c>
      <c r="U22" s="310">
        <f t="shared" si="23"/>
        <v>1000000000</v>
      </c>
      <c r="V22" s="310">
        <f t="shared" si="24"/>
        <v>5.2482228100000006</v>
      </c>
      <c r="X22" s="336">
        <f t="shared" si="17"/>
        <v>66.477880748087458</v>
      </c>
      <c r="Y22" s="337">
        <f t="shared" si="18"/>
        <v>-78.668970407100957</v>
      </c>
      <c r="AA22" s="336">
        <f t="shared" si="19"/>
        <v>15.582045191551019</v>
      </c>
      <c r="AB22" s="337">
        <f t="shared" si="20"/>
        <v>-3.030850291190243E-2</v>
      </c>
      <c r="AD22">
        <f t="shared" si="25"/>
        <v>0</v>
      </c>
      <c r="AE22">
        <f t="shared" si="21"/>
        <v>0</v>
      </c>
    </row>
    <row r="23" spans="1:31" x14ac:dyDescent="0.25">
      <c r="A23" s="338">
        <v>2.5118999999999998</v>
      </c>
      <c r="B23" s="355">
        <f t="shared" si="22"/>
        <v>2.5118999999999996E-3</v>
      </c>
      <c r="C23" s="328">
        <f t="shared" si="0"/>
        <v>1.0000001588956184</v>
      </c>
      <c r="D23" s="329">
        <f t="shared" si="1"/>
        <v>5.6372971765089911E-4</v>
      </c>
      <c r="E23" s="329">
        <f t="shared" si="2"/>
        <v>1.0000000000005427</v>
      </c>
      <c r="F23" s="330">
        <f t="shared" si="3"/>
        <v>1.0416603882342434E-6</v>
      </c>
      <c r="G23" s="329">
        <f t="shared" si="4"/>
        <v>1</v>
      </c>
      <c r="H23" s="330">
        <f t="shared" si="5"/>
        <v>0</v>
      </c>
      <c r="I23" s="328">
        <f t="shared" si="6"/>
        <v>5.5802739938268955</v>
      </c>
      <c r="J23" s="331">
        <f t="shared" si="7"/>
        <v>1.3906203846996383</v>
      </c>
      <c r="K23" s="339">
        <f t="shared" si="8"/>
        <v>1.000000249871023</v>
      </c>
      <c r="L23" s="340">
        <f t="shared" si="9"/>
        <v>7.0692428298881223E-4</v>
      </c>
      <c r="M23" s="328">
        <f t="shared" si="10"/>
        <v>1.0000000000642149</v>
      </c>
      <c r="N23" s="331">
        <f t="shared" si="11"/>
        <v>1.1332691947172563E-5</v>
      </c>
      <c r="O23" s="332">
        <f t="shared" si="12"/>
        <v>1.00000000001972</v>
      </c>
      <c r="P23" s="333">
        <f t="shared" si="13"/>
        <v>1.7325384208041783E-5</v>
      </c>
      <c r="Q23" s="334">
        <f t="shared" si="14"/>
        <v>81.288117003621238</v>
      </c>
      <c r="R23" s="335">
        <f t="shared" si="15"/>
        <v>-79.670056899010149</v>
      </c>
      <c r="S23" s="337">
        <f t="shared" si="16"/>
        <v>100.32994310098985</v>
      </c>
      <c r="U23" s="310">
        <f t="shared" si="23"/>
        <v>1000000000</v>
      </c>
      <c r="V23" s="310">
        <f t="shared" si="24"/>
        <v>6.309641609999999</v>
      </c>
      <c r="X23" s="336">
        <f t="shared" si="17"/>
        <v>65.706072044269362</v>
      </c>
      <c r="Y23" s="337">
        <f t="shared" si="18"/>
        <v>-79.636824576715043</v>
      </c>
      <c r="AA23" s="336">
        <f t="shared" si="19"/>
        <v>15.582044959351869</v>
      </c>
      <c r="AB23" s="337">
        <f t="shared" si="20"/>
        <v>-3.3232322295103152E-2</v>
      </c>
      <c r="AD23">
        <f t="shared" si="25"/>
        <v>0</v>
      </c>
      <c r="AE23">
        <f t="shared" si="21"/>
        <v>0</v>
      </c>
    </row>
    <row r="24" spans="1:31" x14ac:dyDescent="0.25">
      <c r="A24" s="338">
        <v>2.7542</v>
      </c>
      <c r="B24" s="355">
        <f t="shared" si="22"/>
        <v>2.7542000000000001E-3</v>
      </c>
      <c r="C24" s="328">
        <f t="shared" si="0"/>
        <v>1.0000001910285021</v>
      </c>
      <c r="D24" s="329">
        <f t="shared" si="1"/>
        <v>6.1810755009909291E-4</v>
      </c>
      <c r="E24" s="329">
        <f t="shared" si="2"/>
        <v>1.0000000000006524</v>
      </c>
      <c r="F24" s="330">
        <f t="shared" si="3"/>
        <v>1.1421398309146636E-6</v>
      </c>
      <c r="G24" s="329">
        <f t="shared" si="4"/>
        <v>1</v>
      </c>
      <c r="H24" s="330">
        <f t="shared" si="5"/>
        <v>0</v>
      </c>
      <c r="I24" s="328">
        <f t="shared" si="6"/>
        <v>6.1020038947378712</v>
      </c>
      <c r="J24" s="331">
        <f t="shared" si="7"/>
        <v>1.4061731740833849</v>
      </c>
      <c r="K24" s="339">
        <f t="shared" si="8"/>
        <v>1.0000003004015297</v>
      </c>
      <c r="L24" s="340">
        <f t="shared" si="9"/>
        <v>7.7511477153502839E-4</v>
      </c>
      <c r="M24" s="328">
        <f t="shared" si="10"/>
        <v>1.0000000000772009</v>
      </c>
      <c r="N24" s="331">
        <f t="shared" si="11"/>
        <v>1.2425853003954162E-5</v>
      </c>
      <c r="O24" s="332">
        <f t="shared" si="12"/>
        <v>1.0000000000237079</v>
      </c>
      <c r="P24" s="333">
        <f t="shared" si="13"/>
        <v>1.8996605432573415E-5</v>
      </c>
      <c r="Q24" s="334">
        <f t="shared" si="14"/>
        <v>80.511778023283469</v>
      </c>
      <c r="R24" s="335">
        <f t="shared" si="15"/>
        <v>-80.56052731486362</v>
      </c>
      <c r="S24" s="337">
        <f t="shared" si="16"/>
        <v>99.43947268513638</v>
      </c>
      <c r="U24" s="310">
        <f t="shared" si="23"/>
        <v>1000000000</v>
      </c>
      <c r="V24" s="310">
        <f t="shared" si="24"/>
        <v>7.5856176399999997</v>
      </c>
      <c r="X24" s="336">
        <f t="shared" si="17"/>
        <v>64.929733343067937</v>
      </c>
      <c r="Y24" s="337">
        <f t="shared" si="18"/>
        <v>-80.524089375391696</v>
      </c>
      <c r="AA24" s="336">
        <f t="shared" si="19"/>
        <v>15.582044680215549</v>
      </c>
      <c r="AB24" s="337">
        <f t="shared" si="20"/>
        <v>-3.643793947192208E-2</v>
      </c>
      <c r="AD24">
        <f t="shared" si="25"/>
        <v>0</v>
      </c>
      <c r="AE24">
        <f t="shared" si="21"/>
        <v>0</v>
      </c>
    </row>
    <row r="25" spans="1:31" x14ac:dyDescent="0.25">
      <c r="A25" s="338">
        <v>3.02</v>
      </c>
      <c r="B25" s="355">
        <f t="shared" si="22"/>
        <v>3.0200000000000001E-3</v>
      </c>
      <c r="C25" s="328">
        <f t="shared" si="0"/>
        <v>1.0000002296789003</v>
      </c>
      <c r="D25" s="329">
        <f t="shared" si="1"/>
        <v>6.7775933236530693E-4</v>
      </c>
      <c r="E25" s="329">
        <f t="shared" si="2"/>
        <v>1.0000000000007843</v>
      </c>
      <c r="F25" s="330">
        <f t="shared" si="3"/>
        <v>1.2523644939953454E-6</v>
      </c>
      <c r="G25" s="329">
        <f t="shared" si="4"/>
        <v>1</v>
      </c>
      <c r="H25" s="330">
        <f t="shared" si="5"/>
        <v>0</v>
      </c>
      <c r="I25" s="328">
        <f t="shared" si="6"/>
        <v>6.6757541386715165</v>
      </c>
      <c r="J25" s="331">
        <f t="shared" si="7"/>
        <v>1.4204345772096176</v>
      </c>
      <c r="K25" s="339">
        <f t="shared" si="8"/>
        <v>1.0000003611811401</v>
      </c>
      <c r="L25" s="340">
        <f t="shared" si="9"/>
        <v>8.4991885672257414E-4</v>
      </c>
      <c r="M25" s="328">
        <f t="shared" si="10"/>
        <v>1.0000000000928209</v>
      </c>
      <c r="N25" s="331">
        <f t="shared" si="11"/>
        <v>1.3625036697244499E-5</v>
      </c>
      <c r="O25" s="332">
        <f t="shared" si="12"/>
        <v>1.0000000000285048</v>
      </c>
      <c r="P25" s="333">
        <f t="shared" si="13"/>
        <v>2.0829913734222152E-5</v>
      </c>
      <c r="Q25" s="334">
        <f t="shared" si="14"/>
        <v>79.731221151976115</v>
      </c>
      <c r="R25" s="335">
        <f t="shared" si="15"/>
        <v>-81.376944795441773</v>
      </c>
      <c r="S25" s="337">
        <f t="shared" si="16"/>
        <v>98.623055204558227</v>
      </c>
      <c r="U25" s="310">
        <f t="shared" si="23"/>
        <v>1000000000</v>
      </c>
      <c r="V25" s="310">
        <f t="shared" si="24"/>
        <v>9.1204000000000001</v>
      </c>
      <c r="X25" s="336">
        <f t="shared" si="17"/>
        <v>64.149176807514095</v>
      </c>
      <c r="Y25" s="337">
        <f t="shared" si="18"/>
        <v>-81.336990335181298</v>
      </c>
      <c r="AA25" s="336">
        <f t="shared" si="19"/>
        <v>15.582044344462007</v>
      </c>
      <c r="AB25" s="337">
        <f t="shared" si="20"/>
        <v>-3.9954460260465681E-2</v>
      </c>
      <c r="AD25">
        <f t="shared" si="25"/>
        <v>0</v>
      </c>
      <c r="AE25">
        <f t="shared" si="21"/>
        <v>0</v>
      </c>
    </row>
    <row r="26" spans="1:31" x14ac:dyDescent="0.25">
      <c r="A26" s="338">
        <v>3.3113000000000001</v>
      </c>
      <c r="B26" s="355">
        <f t="shared" si="22"/>
        <v>3.3113000000000001E-3</v>
      </c>
      <c r="C26" s="328">
        <f t="shared" si="0"/>
        <v>1.0000002761240676</v>
      </c>
      <c r="D26" s="329">
        <f t="shared" si="1"/>
        <v>7.4313390985797866E-4</v>
      </c>
      <c r="E26" s="329">
        <f t="shared" si="2"/>
        <v>1.0000000000009428</v>
      </c>
      <c r="F26" s="330">
        <f t="shared" si="3"/>
        <v>1.3731637579358769E-6</v>
      </c>
      <c r="G26" s="329">
        <f t="shared" si="4"/>
        <v>1</v>
      </c>
      <c r="H26" s="330">
        <f t="shared" si="5"/>
        <v>0</v>
      </c>
      <c r="I26" s="328">
        <f t="shared" si="6"/>
        <v>7.3058506834449393</v>
      </c>
      <c r="J26" s="331">
        <f t="shared" si="7"/>
        <v>1.4334886811341616</v>
      </c>
      <c r="K26" s="339">
        <f t="shared" si="8"/>
        <v>1.0000004342183983</v>
      </c>
      <c r="L26" s="340">
        <f t="shared" si="9"/>
        <v>9.3189939510967927E-4</v>
      </c>
      <c r="M26" s="328">
        <f t="shared" si="10"/>
        <v>1.0000000001115907</v>
      </c>
      <c r="N26" s="331">
        <f t="shared" si="11"/>
        <v>1.4939266230139455E-5</v>
      </c>
      <c r="O26" s="332">
        <f t="shared" si="12"/>
        <v>1.0000000000342688</v>
      </c>
      <c r="P26" s="333">
        <f t="shared" si="13"/>
        <v>2.2839103757861213E-5</v>
      </c>
      <c r="Q26" s="334">
        <f t="shared" si="14"/>
        <v>78.947812218551974</v>
      </c>
      <c r="R26" s="335">
        <f t="shared" si="15"/>
        <v>-82.124121901649204</v>
      </c>
      <c r="S26" s="337">
        <f t="shared" si="16"/>
        <v>97.875878098350796</v>
      </c>
      <c r="U26" s="310">
        <f t="shared" si="23"/>
        <v>1000000000</v>
      </c>
      <c r="V26" s="310">
        <f t="shared" si="24"/>
        <v>10.964707690000001</v>
      </c>
      <c r="X26" s="336">
        <f t="shared" si="17"/>
        <v>63.36576827755615</v>
      </c>
      <c r="Y26" s="337">
        <f t="shared" si="18"/>
        <v>-82.080313557185946</v>
      </c>
      <c r="AA26" s="336">
        <f t="shared" si="19"/>
        <v>15.582043940995824</v>
      </c>
      <c r="AB26" s="337">
        <f t="shared" si="20"/>
        <v>-4.3808344463252644E-2</v>
      </c>
      <c r="AD26">
        <f t="shared" si="25"/>
        <v>0</v>
      </c>
      <c r="AE26">
        <f t="shared" si="21"/>
        <v>0</v>
      </c>
    </row>
    <row r="27" spans="1:31" x14ac:dyDescent="0.25">
      <c r="A27" s="338">
        <v>3.6307999999999998</v>
      </c>
      <c r="B27" s="355">
        <f t="shared" si="22"/>
        <v>3.6308E-3</v>
      </c>
      <c r="C27" s="328">
        <f t="shared" si="0"/>
        <v>1.0000003319799426</v>
      </c>
      <c r="D27" s="329">
        <f t="shared" si="1"/>
        <v>8.1483722388183484E-4</v>
      </c>
      <c r="E27" s="329">
        <f t="shared" si="2"/>
        <v>1.0000000000011335</v>
      </c>
      <c r="F27" s="330">
        <f t="shared" si="3"/>
        <v>1.5056572863567022E-6</v>
      </c>
      <c r="G27" s="329">
        <f t="shared" si="4"/>
        <v>1</v>
      </c>
      <c r="H27" s="330">
        <f t="shared" si="5"/>
        <v>0</v>
      </c>
      <c r="I27" s="328">
        <f t="shared" si="6"/>
        <v>7.9981402281686229</v>
      </c>
      <c r="J27" s="331">
        <f t="shared" si="7"/>
        <v>1.4454392001090639</v>
      </c>
      <c r="K27" s="339">
        <f t="shared" si="8"/>
        <v>1.0000005220544443</v>
      </c>
      <c r="L27" s="340">
        <f t="shared" si="9"/>
        <v>1.0218162430565326E-3</v>
      </c>
      <c r="M27" s="328">
        <f t="shared" si="10"/>
        <v>1.000000000134164</v>
      </c>
      <c r="N27" s="331">
        <f t="shared" si="11"/>
        <v>1.6380722926818488E-5</v>
      </c>
      <c r="O27" s="332">
        <f t="shared" si="12"/>
        <v>1.0000000000412008</v>
      </c>
      <c r="P27" s="333">
        <f t="shared" si="13"/>
        <v>2.504279827406939E-5</v>
      </c>
      <c r="Q27" s="334">
        <f t="shared" si="14"/>
        <v>78.161448050206872</v>
      </c>
      <c r="R27" s="335">
        <f t="shared" si="15"/>
        <v>-82.807993904519932</v>
      </c>
      <c r="S27" s="337">
        <f t="shared" si="16"/>
        <v>97.192006095480068</v>
      </c>
      <c r="U27" s="310">
        <f t="shared" si="23"/>
        <v>1000000000</v>
      </c>
      <c r="V27" s="310">
        <f t="shared" si="24"/>
        <v>13.182708639999998</v>
      </c>
      <c r="X27" s="336">
        <f t="shared" si="17"/>
        <v>62.57940459442743</v>
      </c>
      <c r="Y27" s="337">
        <f t="shared" si="18"/>
        <v>-82.759958591706052</v>
      </c>
      <c r="AA27" s="336">
        <f t="shared" si="19"/>
        <v>15.58204345577945</v>
      </c>
      <c r="AB27" s="337">
        <f t="shared" si="20"/>
        <v>-4.8035312813874374E-2</v>
      </c>
      <c r="AD27">
        <f t="shared" si="25"/>
        <v>0</v>
      </c>
      <c r="AE27">
        <f t="shared" si="21"/>
        <v>0</v>
      </c>
    </row>
    <row r="28" spans="1:31" x14ac:dyDescent="0.25">
      <c r="A28" s="338">
        <v>3.9811000000000001</v>
      </c>
      <c r="B28" s="355">
        <f t="shared" si="22"/>
        <v>3.9811000000000004E-3</v>
      </c>
      <c r="C28" s="328">
        <f t="shared" si="0"/>
        <v>1.0000003991290611</v>
      </c>
      <c r="D28" s="329">
        <f t="shared" si="1"/>
        <v>8.9345277260580614E-4</v>
      </c>
      <c r="E28" s="329">
        <f t="shared" si="2"/>
        <v>1.0000000000013629</v>
      </c>
      <c r="F28" s="330">
        <f t="shared" si="3"/>
        <v>1.6509232738552803E-6</v>
      </c>
      <c r="G28" s="329">
        <f t="shared" si="4"/>
        <v>1</v>
      </c>
      <c r="H28" s="330">
        <f t="shared" si="5"/>
        <v>0</v>
      </c>
      <c r="I28" s="328">
        <f t="shared" si="6"/>
        <v>8.7582620112219249</v>
      </c>
      <c r="J28" s="331">
        <f t="shared" si="7"/>
        <v>1.4563688741105618</v>
      </c>
      <c r="K28" s="339">
        <f t="shared" si="8"/>
        <v>1.0000006276496545</v>
      </c>
      <c r="L28" s="340">
        <f t="shared" si="9"/>
        <v>1.1204011123888994E-3</v>
      </c>
      <c r="M28" s="328">
        <f t="shared" si="10"/>
        <v>1.0000000001613012</v>
      </c>
      <c r="N28" s="331">
        <f t="shared" si="11"/>
        <v>1.7961136951299242E-5</v>
      </c>
      <c r="O28" s="332">
        <f t="shared" si="12"/>
        <v>1.0000000000495346</v>
      </c>
      <c r="P28" s="333">
        <f t="shared" si="13"/>
        <v>2.745893032118944E-5</v>
      </c>
      <c r="Q28" s="334">
        <f t="shared" si="14"/>
        <v>77.372870000179034</v>
      </c>
      <c r="R28" s="335">
        <f t="shared" si="15"/>
        <v>-83.433294601278092</v>
      </c>
      <c r="S28" s="337">
        <f t="shared" si="16"/>
        <v>96.566705398721908</v>
      </c>
      <c r="U28" s="310">
        <f t="shared" si="23"/>
        <v>1000000000</v>
      </c>
      <c r="V28" s="310">
        <f t="shared" si="24"/>
        <v>15.849157210000001</v>
      </c>
      <c r="X28" s="336">
        <f t="shared" si="17"/>
        <v>61.790827127719595</v>
      </c>
      <c r="Y28" s="337">
        <f t="shared" si="18"/>
        <v>-83.380624838271871</v>
      </c>
      <c r="AA28" s="336">
        <f t="shared" si="19"/>
        <v>15.582042872459439</v>
      </c>
      <c r="AB28" s="337">
        <f t="shared" si="20"/>
        <v>-5.2669763006214447E-2</v>
      </c>
      <c r="AD28">
        <f t="shared" si="25"/>
        <v>0</v>
      </c>
      <c r="AE28">
        <f t="shared" si="21"/>
        <v>0</v>
      </c>
    </row>
    <row r="29" spans="1:31" x14ac:dyDescent="0.25">
      <c r="A29" s="338">
        <v>4.3651999999999997</v>
      </c>
      <c r="B29" s="355">
        <f t="shared" si="22"/>
        <v>4.3651999999999996E-3</v>
      </c>
      <c r="C29" s="328">
        <f t="shared" si="0"/>
        <v>1.0000004798609978</v>
      </c>
      <c r="D29" s="329">
        <f t="shared" si="1"/>
        <v>9.7965382257931676E-4</v>
      </c>
      <c r="E29" s="329">
        <f t="shared" si="2"/>
        <v>1.0000000000016385</v>
      </c>
      <c r="F29" s="330">
        <f t="shared" si="3"/>
        <v>1.8102057911209828E-6</v>
      </c>
      <c r="G29" s="329">
        <f t="shared" si="4"/>
        <v>1</v>
      </c>
      <c r="H29" s="330">
        <f t="shared" si="5"/>
        <v>0</v>
      </c>
      <c r="I29" s="328">
        <f t="shared" si="6"/>
        <v>9.5927296595246396</v>
      </c>
      <c r="J29" s="331">
        <f t="shared" si="7"/>
        <v>1.4663609740058932</v>
      </c>
      <c r="K29" s="339">
        <f t="shared" si="8"/>
        <v>1.0000007546044924</v>
      </c>
      <c r="L29" s="340">
        <f t="shared" si="9"/>
        <v>1.2284982848614432E-3</v>
      </c>
      <c r="M29" s="328">
        <f t="shared" si="10"/>
        <v>1.0000000001939275</v>
      </c>
      <c r="N29" s="331">
        <f t="shared" si="11"/>
        <v>1.9694043108212825E-5</v>
      </c>
      <c r="O29" s="332">
        <f t="shared" si="12"/>
        <v>1.0000000000595539</v>
      </c>
      <c r="P29" s="333">
        <f t="shared" si="13"/>
        <v>3.0108191866544903E-5</v>
      </c>
      <c r="Q29" s="334">
        <f t="shared" si="14"/>
        <v>76.582384959678791</v>
      </c>
      <c r="R29" s="335">
        <f t="shared" si="15"/>
        <v>-84.004787152498267</v>
      </c>
      <c r="S29" s="337">
        <f t="shared" si="16"/>
        <v>95.995212847501733</v>
      </c>
      <c r="U29" s="310">
        <f t="shared" si="23"/>
        <v>1000000000</v>
      </c>
      <c r="V29" s="310">
        <f t="shared" si="24"/>
        <v>19.054971039999998</v>
      </c>
      <c r="X29" s="336">
        <f t="shared" si="17"/>
        <v>61.000342788532372</v>
      </c>
      <c r="Y29" s="337">
        <f t="shared" si="18"/>
        <v>-83.947035767843801</v>
      </c>
      <c r="AA29" s="336">
        <f t="shared" si="19"/>
        <v>15.582042171146423</v>
      </c>
      <c r="AB29" s="337">
        <f t="shared" si="20"/>
        <v>-5.7751384654485136E-2</v>
      </c>
      <c r="AD29">
        <f t="shared" si="25"/>
        <v>0</v>
      </c>
      <c r="AE29">
        <f t="shared" si="21"/>
        <v>0</v>
      </c>
    </row>
    <row r="30" spans="1:31" x14ac:dyDescent="0.25">
      <c r="A30" s="338">
        <v>4.7862999999999998</v>
      </c>
      <c r="B30" s="355">
        <f t="shared" si="22"/>
        <v>4.7862999999999994E-3</v>
      </c>
      <c r="C30" s="328">
        <f t="shared" si="0"/>
        <v>1.0000005769085445</v>
      </c>
      <c r="D30" s="329">
        <f t="shared" si="1"/>
        <v>1.0741585236979396E-3</v>
      </c>
      <c r="E30" s="329">
        <f t="shared" si="2"/>
        <v>1.0000000000019698</v>
      </c>
      <c r="F30" s="330">
        <f t="shared" si="3"/>
        <v>1.9848318468891336E-6</v>
      </c>
      <c r="G30" s="329">
        <f t="shared" si="4"/>
        <v>1</v>
      </c>
      <c r="H30" s="330">
        <f t="shared" si="5"/>
        <v>0</v>
      </c>
      <c r="I30" s="328">
        <f t="shared" si="6"/>
        <v>10.508498125050247</v>
      </c>
      <c r="J30" s="331">
        <f t="shared" si="7"/>
        <v>1.4754910373483971</v>
      </c>
      <c r="K30" s="339">
        <f t="shared" si="8"/>
        <v>1.0000009072164004</v>
      </c>
      <c r="L30" s="340">
        <f t="shared" si="9"/>
        <v>1.3470083255287214E-3</v>
      </c>
      <c r="M30" s="328">
        <f t="shared" si="10"/>
        <v>1.0000000002331477</v>
      </c>
      <c r="N30" s="331">
        <f t="shared" si="11"/>
        <v>2.1593878522490244E-5</v>
      </c>
      <c r="O30" s="332">
        <f t="shared" si="12"/>
        <v>1.0000000000715981</v>
      </c>
      <c r="P30" s="333">
        <f t="shared" si="13"/>
        <v>3.3012654341957166E-5</v>
      </c>
      <c r="Q30" s="334">
        <f t="shared" si="14"/>
        <v>75.79041652903706</v>
      </c>
      <c r="R30" s="335">
        <f t="shared" si="15"/>
        <v>-84.526791105322033</v>
      </c>
      <c r="S30" s="337">
        <f t="shared" si="16"/>
        <v>95.473208894677967</v>
      </c>
      <c r="U30" s="310">
        <f t="shared" si="23"/>
        <v>1000000000</v>
      </c>
      <c r="V30" s="310">
        <f t="shared" si="24"/>
        <v>22.908667689999998</v>
      </c>
      <c r="X30" s="336">
        <f t="shared" si="17"/>
        <v>60.20837520093621</v>
      </c>
      <c r="Y30" s="337">
        <f t="shared" si="18"/>
        <v>-84.46346859203733</v>
      </c>
      <c r="AA30" s="336">
        <f t="shared" si="19"/>
        <v>15.58204132810085</v>
      </c>
      <c r="AB30" s="337">
        <f t="shared" si="20"/>
        <v>-6.3322513284700149E-2</v>
      </c>
      <c r="AD30">
        <f t="shared" si="25"/>
        <v>0</v>
      </c>
      <c r="AE30">
        <f t="shared" si="21"/>
        <v>0</v>
      </c>
    </row>
    <row r="31" spans="1:31" x14ac:dyDescent="0.25">
      <c r="A31" s="338">
        <v>5.2481</v>
      </c>
      <c r="B31" s="355">
        <f t="shared" si="22"/>
        <v>5.2481000000000003E-3</v>
      </c>
      <c r="C31" s="328">
        <f t="shared" si="0"/>
        <v>1.0000006936035652</v>
      </c>
      <c r="D31" s="329">
        <f t="shared" si="1"/>
        <v>1.177797235788986E-3</v>
      </c>
      <c r="E31" s="329">
        <f t="shared" si="2"/>
        <v>1.0000000000023683</v>
      </c>
      <c r="F31" s="330">
        <f t="shared" si="3"/>
        <v>2.1763357950099443E-6</v>
      </c>
      <c r="G31" s="329">
        <f t="shared" si="4"/>
        <v>1</v>
      </c>
      <c r="H31" s="330">
        <f t="shared" si="5"/>
        <v>0</v>
      </c>
      <c r="I31" s="328">
        <f t="shared" si="6"/>
        <v>11.513616169103582</v>
      </c>
      <c r="J31" s="331">
        <f t="shared" si="7"/>
        <v>1.4838330710366239</v>
      </c>
      <c r="K31" s="339">
        <f t="shared" si="8"/>
        <v>1.0000010907248902</v>
      </c>
      <c r="L31" s="340">
        <f t="shared" si="9"/>
        <v>1.4769725107838939E-3</v>
      </c>
      <c r="M31" s="328">
        <f t="shared" si="10"/>
        <v>1.0000000002803082</v>
      </c>
      <c r="N31" s="331">
        <f t="shared" si="11"/>
        <v>2.3677336119824926E-5</v>
      </c>
      <c r="O31" s="332">
        <f t="shared" si="12"/>
        <v>1.0000000000860807</v>
      </c>
      <c r="P31" s="333">
        <f t="shared" si="13"/>
        <v>3.6197837840478412E-5</v>
      </c>
      <c r="Q31" s="334">
        <f t="shared" si="14"/>
        <v>74.996995185834948</v>
      </c>
      <c r="R31" s="335">
        <f t="shared" si="15"/>
        <v>-85.003536988782713</v>
      </c>
      <c r="S31" s="337">
        <f t="shared" si="16"/>
        <v>94.996463011217287</v>
      </c>
      <c r="U31" s="310">
        <f t="shared" si="23"/>
        <v>1000000000</v>
      </c>
      <c r="V31" s="310">
        <f t="shared" si="24"/>
        <v>27.542553609999999</v>
      </c>
      <c r="X31" s="336">
        <f t="shared" si="17"/>
        <v>59.414954871455848</v>
      </c>
      <c r="Y31" s="337">
        <f t="shared" si="18"/>
        <v>-84.934104889490598</v>
      </c>
      <c r="AA31" s="336">
        <f t="shared" si="19"/>
        <v>15.582040314379089</v>
      </c>
      <c r="AB31" s="337">
        <f t="shared" si="20"/>
        <v>-6.9432099292122351E-2</v>
      </c>
      <c r="AD31">
        <f t="shared" si="25"/>
        <v>0</v>
      </c>
      <c r="AE31">
        <f t="shared" si="21"/>
        <v>0</v>
      </c>
    </row>
    <row r="32" spans="1:31" x14ac:dyDescent="0.25">
      <c r="A32" s="338">
        <v>5.7544000000000004</v>
      </c>
      <c r="B32" s="355">
        <f t="shared" si="22"/>
        <v>5.7544000000000007E-3</v>
      </c>
      <c r="C32" s="328">
        <f t="shared" si="0"/>
        <v>1.0000008338869504</v>
      </c>
      <c r="D32" s="329">
        <f t="shared" si="1"/>
        <v>1.2914227586699751E-3</v>
      </c>
      <c r="E32" s="329">
        <f t="shared" si="2"/>
        <v>1.0000000000028471</v>
      </c>
      <c r="F32" s="330">
        <f t="shared" si="3"/>
        <v>2.3862934583565908E-6</v>
      </c>
      <c r="G32" s="329">
        <f t="shared" si="4"/>
        <v>1</v>
      </c>
      <c r="H32" s="330">
        <f t="shared" si="5"/>
        <v>0</v>
      </c>
      <c r="I32" s="328">
        <f t="shared" si="6"/>
        <v>12.616356403313953</v>
      </c>
      <c r="J32" s="331">
        <f t="shared" si="7"/>
        <v>1.4914509102794757</v>
      </c>
      <c r="K32" s="339">
        <f t="shared" si="8"/>
        <v>1.0000013113271924</v>
      </c>
      <c r="L32" s="340">
        <f t="shared" si="9"/>
        <v>1.6194602553514725E-3</v>
      </c>
      <c r="M32" s="328">
        <f t="shared" si="10"/>
        <v>1.0000000003370013</v>
      </c>
      <c r="N32" s="331">
        <f t="shared" si="11"/>
        <v>2.5961559986046561E-5</v>
      </c>
      <c r="O32" s="332">
        <f t="shared" si="12"/>
        <v>1.0000000001034908</v>
      </c>
      <c r="P32" s="333">
        <f t="shared" si="13"/>
        <v>3.9689952187424522E-5</v>
      </c>
      <c r="Q32" s="334">
        <f t="shared" si="14"/>
        <v>74.202551847191188</v>
      </c>
      <c r="R32" s="335">
        <f t="shared" si="15"/>
        <v>-85.438672273527146</v>
      </c>
      <c r="S32" s="337">
        <f t="shared" si="16"/>
        <v>94.561327726472854</v>
      </c>
      <c r="U32" s="310">
        <f t="shared" si="23"/>
        <v>1000000000</v>
      </c>
      <c r="V32" s="310">
        <f t="shared" si="24"/>
        <v>33.113119360000006</v>
      </c>
      <c r="X32" s="336">
        <f t="shared" si="17"/>
        <v>58.620512751444231</v>
      </c>
      <c r="Y32" s="337">
        <f t="shared" si="18"/>
        <v>-85.362541857595645</v>
      </c>
      <c r="AA32" s="336">
        <f t="shared" si="19"/>
        <v>15.582039095746955</v>
      </c>
      <c r="AB32" s="337">
        <f t="shared" si="20"/>
        <v>-7.6130415931495041E-2</v>
      </c>
      <c r="AD32">
        <f t="shared" si="25"/>
        <v>0</v>
      </c>
      <c r="AE32">
        <f t="shared" si="21"/>
        <v>0</v>
      </c>
    </row>
    <row r="33" spans="1:31" x14ac:dyDescent="0.25">
      <c r="A33" s="338">
        <v>6.3095999999999997</v>
      </c>
      <c r="B33" s="355">
        <f t="shared" si="22"/>
        <v>6.3095999999999994E-3</v>
      </c>
      <c r="C33" s="328">
        <f t="shared" si="0"/>
        <v>1.0000010025607589</v>
      </c>
      <c r="D33" s="329">
        <f t="shared" si="1"/>
        <v>1.4160225430675684E-3</v>
      </c>
      <c r="E33" s="329">
        <f t="shared" si="2"/>
        <v>1.000000000003423</v>
      </c>
      <c r="F33" s="330">
        <f t="shared" si="3"/>
        <v>2.6165294739401087E-6</v>
      </c>
      <c r="G33" s="329">
        <f t="shared" si="4"/>
        <v>1</v>
      </c>
      <c r="H33" s="330">
        <f t="shared" si="5"/>
        <v>0</v>
      </c>
      <c r="I33" s="328">
        <f t="shared" si="6"/>
        <v>13.826303523780014</v>
      </c>
      <c r="J33" s="331">
        <f t="shared" si="7"/>
        <v>1.4984072101706774</v>
      </c>
      <c r="K33" s="339">
        <f t="shared" si="8"/>
        <v>1.0000015765747636</v>
      </c>
      <c r="L33" s="340">
        <f t="shared" si="9"/>
        <v>1.7757098255726702E-3</v>
      </c>
      <c r="M33" s="328">
        <f t="shared" si="10"/>
        <v>1.0000000004051679</v>
      </c>
      <c r="N33" s="331">
        <f t="shared" si="11"/>
        <v>2.8466401167891568E-5</v>
      </c>
      <c r="O33" s="332">
        <f t="shared" si="12"/>
        <v>1.0000000001244245</v>
      </c>
      <c r="P33" s="333">
        <f t="shared" si="13"/>
        <v>4.3519345601597187E-5</v>
      </c>
      <c r="Q33" s="334">
        <f t="shared" si="14"/>
        <v>73.407109934310327</v>
      </c>
      <c r="R33" s="335">
        <f t="shared" si="15"/>
        <v>-85.83577523298068</v>
      </c>
      <c r="S33" s="337">
        <f t="shared" si="16"/>
        <v>94.16422476701932</v>
      </c>
      <c r="U33" s="310">
        <f t="shared" si="23"/>
        <v>1000000000</v>
      </c>
      <c r="V33" s="310">
        <f t="shared" si="24"/>
        <v>39.811052159999996</v>
      </c>
      <c r="X33" s="336">
        <f t="shared" si="17"/>
        <v>57.825072303820939</v>
      </c>
      <c r="Y33" s="337">
        <f t="shared" si="18"/>
        <v>-85.752299558737832</v>
      </c>
      <c r="AA33" s="336">
        <f t="shared" si="19"/>
        <v>15.582037630489388</v>
      </c>
      <c r="AB33" s="337">
        <f t="shared" si="20"/>
        <v>-8.3475674242852752E-2</v>
      </c>
      <c r="AD33">
        <f t="shared" si="25"/>
        <v>0</v>
      </c>
      <c r="AE33">
        <f t="shared" si="21"/>
        <v>0</v>
      </c>
    </row>
    <row r="34" spans="1:31" x14ac:dyDescent="0.25">
      <c r="A34" s="338">
        <v>6.9183000000000003</v>
      </c>
      <c r="B34" s="355">
        <f t="shared" si="22"/>
        <v>6.9183000000000005E-3</v>
      </c>
      <c r="C34" s="328">
        <f t="shared" si="0"/>
        <v>1.0000012053294929</v>
      </c>
      <c r="D34" s="329">
        <f t="shared" si="1"/>
        <v>1.5526289202845097E-3</v>
      </c>
      <c r="E34" s="329">
        <f t="shared" si="2"/>
        <v>1.0000000000041154</v>
      </c>
      <c r="F34" s="330">
        <f t="shared" si="3"/>
        <v>2.8689514168174689E-6</v>
      </c>
      <c r="G34" s="329">
        <f t="shared" si="4"/>
        <v>1</v>
      </c>
      <c r="H34" s="330">
        <f t="shared" si="5"/>
        <v>0</v>
      </c>
      <c r="I34" s="328">
        <f t="shared" si="6"/>
        <v>15.153483320994482</v>
      </c>
      <c r="J34" s="331">
        <f t="shared" si="7"/>
        <v>1.5047569075875213</v>
      </c>
      <c r="K34" s="339">
        <f t="shared" si="8"/>
        <v>1.0000018954381897</v>
      </c>
      <c r="L34" s="340">
        <f t="shared" si="9"/>
        <v>1.947015765626067E-3</v>
      </c>
      <c r="M34" s="328">
        <f t="shared" si="10"/>
        <v>1.0000000004871135</v>
      </c>
      <c r="N34" s="331">
        <f t="shared" si="11"/>
        <v>3.1212613032373751E-5</v>
      </c>
      <c r="O34" s="332">
        <f t="shared" si="12"/>
        <v>1.0000000001495892</v>
      </c>
      <c r="P34" s="333">
        <f t="shared" si="13"/>
        <v>4.7717745766320305E-5</v>
      </c>
      <c r="Q34" s="334">
        <f t="shared" si="14"/>
        <v>72.610983167068255</v>
      </c>
      <c r="R34" s="335">
        <f t="shared" si="15"/>
        <v>-86.197981392311021</v>
      </c>
      <c r="S34" s="337">
        <f t="shared" si="16"/>
        <v>93.802018607688979</v>
      </c>
      <c r="U34" s="310">
        <f t="shared" si="23"/>
        <v>1000000000</v>
      </c>
      <c r="V34" s="310">
        <f t="shared" si="24"/>
        <v>47.862874890000008</v>
      </c>
      <c r="X34" s="336">
        <f t="shared" si="17"/>
        <v>57.028947298016334</v>
      </c>
      <c r="Y34" s="337">
        <f t="shared" si="18"/>
        <v>-86.106452661291698</v>
      </c>
      <c r="AA34" s="336">
        <f t="shared" si="19"/>
        <v>15.582035869051921</v>
      </c>
      <c r="AB34" s="337">
        <f t="shared" si="20"/>
        <v>-9.1528731019319839E-2</v>
      </c>
      <c r="AD34">
        <f t="shared" si="25"/>
        <v>0</v>
      </c>
      <c r="AE34">
        <f t="shared" si="21"/>
        <v>0</v>
      </c>
    </row>
    <row r="35" spans="1:31" x14ac:dyDescent="0.25">
      <c r="A35" s="338">
        <v>7.5857999999999999</v>
      </c>
      <c r="B35" s="355">
        <f t="shared" si="22"/>
        <v>7.5858000000000002E-3</v>
      </c>
      <c r="C35" s="328">
        <f t="shared" si="0"/>
        <v>1.0000014491379368</v>
      </c>
      <c r="D35" s="329">
        <f t="shared" si="1"/>
        <v>1.7024313124789799E-3</v>
      </c>
      <c r="E35" s="329">
        <f t="shared" si="2"/>
        <v>1.000000000004948</v>
      </c>
      <c r="F35" s="330">
        <f t="shared" si="3"/>
        <v>3.1457571452064637E-6</v>
      </c>
      <c r="G35" s="329">
        <f t="shared" si="4"/>
        <v>1</v>
      </c>
      <c r="H35" s="330">
        <f t="shared" si="5"/>
        <v>0</v>
      </c>
      <c r="I35" s="328">
        <f t="shared" si="6"/>
        <v>16.609452438304434</v>
      </c>
      <c r="J35" s="331">
        <f t="shared" si="7"/>
        <v>1.5105532133000619</v>
      </c>
      <c r="K35" s="339">
        <f t="shared" si="8"/>
        <v>1.0000022788384524</v>
      </c>
      <c r="L35" s="340">
        <f t="shared" si="9"/>
        <v>2.1348696095517218E-3</v>
      </c>
      <c r="M35" s="328">
        <f t="shared" si="10"/>
        <v>1.0000000005856446</v>
      </c>
      <c r="N35" s="331">
        <f t="shared" si="11"/>
        <v>3.4224107067549511E-5</v>
      </c>
      <c r="O35" s="332">
        <f t="shared" si="12"/>
        <v>1.0000000001798477</v>
      </c>
      <c r="P35" s="333">
        <f t="shared" si="13"/>
        <v>5.2321708490667673E-5</v>
      </c>
      <c r="Q35" s="334">
        <f t="shared" si="14"/>
        <v>71.814127577175071</v>
      </c>
      <c r="R35" s="335">
        <f t="shared" si="15"/>
        <v>-86.528325532927497</v>
      </c>
      <c r="S35" s="337">
        <f t="shared" si="16"/>
        <v>93.471674467072503</v>
      </c>
      <c r="U35" s="310">
        <f t="shared" si="23"/>
        <v>1000000000</v>
      </c>
      <c r="V35" s="310">
        <f t="shared" si="24"/>
        <v>57.544361639999998</v>
      </c>
      <c r="X35" s="336">
        <f t="shared" si="17"/>
        <v>56.232093826069153</v>
      </c>
      <c r="Y35" s="337">
        <f t="shared" si="18"/>
        <v>-86.427965829231226</v>
      </c>
      <c r="AA35" s="336">
        <f t="shared" si="19"/>
        <v>15.582033751105911</v>
      </c>
      <c r="AB35" s="337">
        <f t="shared" si="20"/>
        <v>-0.10035970369627627</v>
      </c>
      <c r="AD35">
        <f t="shared" si="25"/>
        <v>0</v>
      </c>
      <c r="AE35">
        <f t="shared" si="21"/>
        <v>0</v>
      </c>
    </row>
    <row r="36" spans="1:31" x14ac:dyDescent="0.25">
      <c r="A36" s="338">
        <v>8.3176000000000005</v>
      </c>
      <c r="B36" s="355">
        <f t="shared" si="22"/>
        <v>8.3176000000000014E-3</v>
      </c>
      <c r="C36" s="328">
        <f t="shared" si="0"/>
        <v>1.00000174221981</v>
      </c>
      <c r="D36" s="329">
        <f t="shared" si="1"/>
        <v>1.8666640193463985E-3</v>
      </c>
      <c r="E36" s="329">
        <f t="shared" si="2"/>
        <v>1.0000000000059486</v>
      </c>
      <c r="F36" s="330">
        <f t="shared" si="3"/>
        <v>3.4492274553708019E-6</v>
      </c>
      <c r="G36" s="329">
        <f t="shared" si="4"/>
        <v>1</v>
      </c>
      <c r="H36" s="330">
        <f t="shared" si="5"/>
        <v>0</v>
      </c>
      <c r="I36" s="328">
        <f t="shared" si="6"/>
        <v>18.206208197104722</v>
      </c>
      <c r="J36" s="331">
        <f t="shared" si="7"/>
        <v>1.5158423523166706</v>
      </c>
      <c r="K36" s="339">
        <f t="shared" si="8"/>
        <v>1.0000027397234326</v>
      </c>
      <c r="L36" s="340">
        <f t="shared" si="9"/>
        <v>2.3408191632345319E-3</v>
      </c>
      <c r="M36" s="328">
        <f t="shared" si="10"/>
        <v>1.000000000704089</v>
      </c>
      <c r="N36" s="331">
        <f t="shared" si="11"/>
        <v>3.7525697081727977E-5</v>
      </c>
      <c r="O36" s="332">
        <f t="shared" si="12"/>
        <v>1.0000000002162208</v>
      </c>
      <c r="P36" s="333">
        <f t="shared" si="13"/>
        <v>5.7369169048262035E-5</v>
      </c>
      <c r="Q36" s="334">
        <f t="shared" si="14"/>
        <v>71.016845244519033</v>
      </c>
      <c r="R36" s="335">
        <f t="shared" si="15"/>
        <v>-86.829441654716831</v>
      </c>
      <c r="S36" s="337">
        <f t="shared" si="16"/>
        <v>93.170558345283169</v>
      </c>
      <c r="U36" s="310">
        <f t="shared" si="23"/>
        <v>1000000000</v>
      </c>
      <c r="V36" s="310">
        <f t="shared" si="24"/>
        <v>69.182469760000004</v>
      </c>
      <c r="X36" s="336">
        <f t="shared" si="17"/>
        <v>55.434814039393117</v>
      </c>
      <c r="Y36" s="337">
        <f t="shared" si="18"/>
        <v>-86.719400299428756</v>
      </c>
      <c r="AA36" s="336">
        <f t="shared" si="19"/>
        <v>15.582031205125922</v>
      </c>
      <c r="AB36" s="337">
        <f t="shared" si="20"/>
        <v>-0.11004135528808043</v>
      </c>
      <c r="AD36">
        <f t="shared" si="25"/>
        <v>0</v>
      </c>
      <c r="AE36">
        <f t="shared" si="21"/>
        <v>0</v>
      </c>
    </row>
    <row r="37" spans="1:31" x14ac:dyDescent="0.25">
      <c r="A37" s="338">
        <v>9.1201000000000008</v>
      </c>
      <c r="B37" s="355">
        <f t="shared" si="22"/>
        <v>9.1201000000000008E-3</v>
      </c>
      <c r="C37" s="328">
        <f t="shared" si="0"/>
        <v>1.0000020946236836</v>
      </c>
      <c r="D37" s="329">
        <f t="shared" si="1"/>
        <v>2.0467633119241099E-3</v>
      </c>
      <c r="E37" s="329">
        <f t="shared" si="2"/>
        <v>1.0000000000071518</v>
      </c>
      <c r="F37" s="330">
        <f t="shared" si="3"/>
        <v>3.7820163647809483E-6</v>
      </c>
      <c r="G37" s="329">
        <f t="shared" si="4"/>
        <v>1</v>
      </c>
      <c r="H37" s="330">
        <f t="shared" si="5"/>
        <v>0</v>
      </c>
      <c r="I37" s="328">
        <f t="shared" si="6"/>
        <v>19.957715559891856</v>
      </c>
      <c r="J37" s="331">
        <f t="shared" si="7"/>
        <v>1.5206694019691454</v>
      </c>
      <c r="K37" s="339">
        <f t="shared" si="8"/>
        <v>1.0000032938949361</v>
      </c>
      <c r="L37" s="340">
        <f t="shared" si="9"/>
        <v>2.5666655000816108E-3</v>
      </c>
      <c r="M37" s="328">
        <f t="shared" si="10"/>
        <v>1.0000000008465071</v>
      </c>
      <c r="N37" s="331">
        <f t="shared" si="11"/>
        <v>4.1146257324537528E-5</v>
      </c>
      <c r="O37" s="332">
        <f t="shared" si="12"/>
        <v>1.0000000002599565</v>
      </c>
      <c r="P37" s="333">
        <f t="shared" si="13"/>
        <v>6.2904270302998957E-5</v>
      </c>
      <c r="Q37" s="334">
        <f t="shared" si="14"/>
        <v>70.219020517217515</v>
      </c>
      <c r="R37" s="335">
        <f t="shared" si="15"/>
        <v>-87.103895628417987</v>
      </c>
      <c r="S37" s="337">
        <f t="shared" si="16"/>
        <v>92.896104371582013</v>
      </c>
      <c r="U37" s="310">
        <f t="shared" si="23"/>
        <v>1000000000</v>
      </c>
      <c r="V37" s="310">
        <f t="shared" si="24"/>
        <v>83.176224010000013</v>
      </c>
      <c r="X37" s="336">
        <f t="shared" si="17"/>
        <v>54.636992373396311</v>
      </c>
      <c r="Y37" s="337">
        <f t="shared" si="18"/>
        <v>-86.983237273218677</v>
      </c>
      <c r="AA37" s="336">
        <f t="shared" si="19"/>
        <v>15.582028143821208</v>
      </c>
      <c r="AB37" s="337">
        <f t="shared" si="20"/>
        <v>-0.12065835519930281</v>
      </c>
      <c r="AD37">
        <f t="shared" si="25"/>
        <v>0</v>
      </c>
      <c r="AE37">
        <f t="shared" si="21"/>
        <v>0</v>
      </c>
    </row>
    <row r="38" spans="1:31" x14ac:dyDescent="0.25">
      <c r="A38" s="338">
        <v>10</v>
      </c>
      <c r="B38" s="355">
        <f t="shared" si="22"/>
        <v>0.01</v>
      </c>
      <c r="C38" s="328">
        <f t="shared" si="0"/>
        <v>1.0000025182956609</v>
      </c>
      <c r="D38" s="329">
        <f t="shared" si="1"/>
        <v>2.2442327757601303E-3</v>
      </c>
      <c r="E38" s="329">
        <f t="shared" si="2"/>
        <v>1.0000000000085985</v>
      </c>
      <c r="F38" s="330">
        <f t="shared" si="3"/>
        <v>4.1469022979762294E-6</v>
      </c>
      <c r="G38" s="329">
        <f t="shared" si="4"/>
        <v>1</v>
      </c>
      <c r="H38" s="330">
        <f t="shared" si="5"/>
        <v>0</v>
      </c>
      <c r="I38" s="328">
        <f t="shared" si="6"/>
        <v>21.878598107032591</v>
      </c>
      <c r="J38" s="331">
        <f t="shared" si="7"/>
        <v>1.5250736297733622</v>
      </c>
      <c r="K38" s="339">
        <f t="shared" si="8"/>
        <v>1.0000039601387032</v>
      </c>
      <c r="L38" s="340">
        <f t="shared" si="9"/>
        <v>2.814294097727329E-3</v>
      </c>
      <c r="M38" s="328">
        <f t="shared" si="10"/>
        <v>1.0000000010177275</v>
      </c>
      <c r="N38" s="331">
        <f t="shared" si="11"/>
        <v>4.5116015525970998E-5</v>
      </c>
      <c r="O38" s="332">
        <f t="shared" si="12"/>
        <v>1.0000000003125371</v>
      </c>
      <c r="P38" s="333">
        <f t="shared" si="13"/>
        <v>6.8973224315613222E-5</v>
      </c>
      <c r="Q38" s="334">
        <f t="shared" si="14"/>
        <v>69.420849382383452</v>
      </c>
      <c r="R38" s="335">
        <f t="shared" si="15"/>
        <v>-87.353919656645772</v>
      </c>
      <c r="S38" s="337">
        <f t="shared" si="16"/>
        <v>92.646080343354228</v>
      </c>
      <c r="U38" s="310">
        <f t="shared" si="23"/>
        <v>1000000000</v>
      </c>
      <c r="V38" s="310">
        <f t="shared" si="24"/>
        <v>100</v>
      </c>
      <c r="X38" s="336">
        <f t="shared" si="17"/>
        <v>53.838824918965933</v>
      </c>
      <c r="Y38" s="337">
        <f t="shared" si="18"/>
        <v>-87.22162031554565</v>
      </c>
      <c r="AA38" s="336">
        <f t="shared" si="19"/>
        <v>15.582024463417515</v>
      </c>
      <c r="AB38" s="337">
        <f t="shared" si="20"/>
        <v>-0.13229934110012578</v>
      </c>
      <c r="AD38">
        <f t="shared" si="25"/>
        <v>0</v>
      </c>
      <c r="AE38">
        <f t="shared" si="21"/>
        <v>0</v>
      </c>
    </row>
    <row r="39" spans="1:31" x14ac:dyDescent="0.25">
      <c r="A39" s="338">
        <v>10.965</v>
      </c>
      <c r="B39" s="355">
        <f t="shared" si="22"/>
        <v>1.0964999999999999E-2</v>
      </c>
      <c r="C39" s="328">
        <f t="shared" si="0"/>
        <v>1.0000030277769507</v>
      </c>
      <c r="D39" s="329">
        <f t="shared" si="1"/>
        <v>2.4608004028013647E-3</v>
      </c>
      <c r="E39" s="329">
        <f t="shared" si="2"/>
        <v>1.000000000010338</v>
      </c>
      <c r="F39" s="330">
        <f t="shared" si="3"/>
        <v>4.5470783697256614E-6</v>
      </c>
      <c r="G39" s="329">
        <f t="shared" si="4"/>
        <v>1</v>
      </c>
      <c r="H39" s="330">
        <f t="shared" si="5"/>
        <v>0</v>
      </c>
      <c r="I39" s="328">
        <f t="shared" si="6"/>
        <v>23.985665837674429</v>
      </c>
      <c r="J39" s="331">
        <f t="shared" si="7"/>
        <v>1.5290926721455849</v>
      </c>
      <c r="K39" s="339">
        <f t="shared" si="8"/>
        <v>1.0000047613213672</v>
      </c>
      <c r="L39" s="340">
        <f t="shared" si="9"/>
        <v>3.085871829931505E-3</v>
      </c>
      <c r="M39" s="328">
        <f t="shared" si="10"/>
        <v>1.0000000012236261</v>
      </c>
      <c r="N39" s="331">
        <f t="shared" si="11"/>
        <v>4.9469711017436704E-5</v>
      </c>
      <c r="O39" s="332">
        <f t="shared" si="12"/>
        <v>1.0000000003757672</v>
      </c>
      <c r="P39" s="333">
        <f t="shared" si="13"/>
        <v>7.5629140469419547E-5</v>
      </c>
      <c r="Q39" s="334">
        <f t="shared" si="14"/>
        <v>68.622206149671399</v>
      </c>
      <c r="R39" s="335">
        <f t="shared" si="15"/>
        <v>-87.581649851543574</v>
      </c>
      <c r="S39" s="337">
        <f t="shared" si="16"/>
        <v>92.418350148456426</v>
      </c>
      <c r="U39" s="310">
        <f t="shared" si="23"/>
        <v>1000000000</v>
      </c>
      <c r="V39" s="310">
        <f t="shared" si="24"/>
        <v>120.23122499999999</v>
      </c>
      <c r="X39" s="336">
        <f t="shared" si="17"/>
        <v>53.040186112073975</v>
      </c>
      <c r="Y39" s="337">
        <f t="shared" si="18"/>
        <v>-87.436583671915798</v>
      </c>
      <c r="AA39" s="336">
        <f t="shared" si="19"/>
        <v>15.582020037597431</v>
      </c>
      <c r="AB39" s="337">
        <f t="shared" si="20"/>
        <v>-0.14506617962777271</v>
      </c>
      <c r="AD39">
        <f t="shared" si="25"/>
        <v>0</v>
      </c>
      <c r="AE39">
        <f t="shared" si="21"/>
        <v>0</v>
      </c>
    </row>
    <row r="40" spans="1:31" x14ac:dyDescent="0.25">
      <c r="A40" s="338">
        <v>12.023</v>
      </c>
      <c r="B40" s="355">
        <f t="shared" si="22"/>
        <v>1.2022999999999999E-2</v>
      </c>
      <c r="C40" s="328">
        <f t="shared" si="0"/>
        <v>1.0000036402580232</v>
      </c>
      <c r="D40" s="329">
        <f t="shared" si="1"/>
        <v>2.6982390480851026E-3</v>
      </c>
      <c r="E40" s="329">
        <f t="shared" si="2"/>
        <v>1.0000000000124292</v>
      </c>
      <c r="F40" s="330">
        <f t="shared" si="3"/>
        <v>4.985820632844087E-6</v>
      </c>
      <c r="G40" s="329">
        <f t="shared" si="4"/>
        <v>1</v>
      </c>
      <c r="H40" s="330">
        <f t="shared" si="5"/>
        <v>0</v>
      </c>
      <c r="I40" s="328">
        <f t="shared" si="6"/>
        <v>26.296168571497368</v>
      </c>
      <c r="J40" s="331">
        <f t="shared" si="7"/>
        <v>1.5327588012817841</v>
      </c>
      <c r="K40" s="339">
        <f t="shared" si="8"/>
        <v>1.0000057244755973</v>
      </c>
      <c r="L40" s="340">
        <f t="shared" si="9"/>
        <v>3.3836218138101584E-3</v>
      </c>
      <c r="M40" s="328">
        <f t="shared" si="10"/>
        <v>1.0000000014711508</v>
      </c>
      <c r="N40" s="331">
        <f t="shared" si="11"/>
        <v>5.4242985450478238E-5</v>
      </c>
      <c r="O40" s="332">
        <f t="shared" si="12"/>
        <v>1.0000000004517802</v>
      </c>
      <c r="P40" s="333">
        <f t="shared" si="13"/>
        <v>8.2926507612408594E-5</v>
      </c>
      <c r="Q40" s="334">
        <f t="shared" si="14"/>
        <v>67.823395268331097</v>
      </c>
      <c r="R40" s="335">
        <f t="shared" si="15"/>
        <v>-87.788914452014652</v>
      </c>
      <c r="S40" s="337">
        <f t="shared" si="16"/>
        <v>92.211085547985348</v>
      </c>
      <c r="U40" s="310">
        <f t="shared" si="23"/>
        <v>1000000000</v>
      </c>
      <c r="V40" s="310">
        <f t="shared" si="24"/>
        <v>144.55252899999999</v>
      </c>
      <c r="X40" s="336">
        <f t="shared" si="17"/>
        <v>52.241380551301013</v>
      </c>
      <c r="Y40" s="337">
        <f t="shared" si="18"/>
        <v>-87.629851069843937</v>
      </c>
      <c r="AA40" s="336">
        <f t="shared" si="19"/>
        <v>15.582014717030088</v>
      </c>
      <c r="AB40" s="337">
        <f t="shared" si="20"/>
        <v>-0.15906338217070887</v>
      </c>
      <c r="AD40">
        <f t="shared" si="25"/>
        <v>0</v>
      </c>
      <c r="AE40">
        <f t="shared" si="21"/>
        <v>0</v>
      </c>
    </row>
    <row r="41" spans="1:31" x14ac:dyDescent="0.25">
      <c r="A41" s="338">
        <v>13.183</v>
      </c>
      <c r="B41" s="355">
        <f t="shared" si="22"/>
        <v>1.3183E-2</v>
      </c>
      <c r="C41" s="328">
        <f t="shared" si="0"/>
        <v>1.0000043765794597</v>
      </c>
      <c r="D41" s="329">
        <f t="shared" si="1"/>
        <v>2.9585684030517543E-3</v>
      </c>
      <c r="E41" s="329">
        <f t="shared" si="2"/>
        <v>1.0000000000149432</v>
      </c>
      <c r="F41" s="330">
        <f t="shared" si="3"/>
        <v>5.4668612993989386E-6</v>
      </c>
      <c r="G41" s="329">
        <f t="shared" si="4"/>
        <v>1</v>
      </c>
      <c r="H41" s="330">
        <f t="shared" si="5"/>
        <v>0</v>
      </c>
      <c r="I41" s="328">
        <f t="shared" si="6"/>
        <v>28.829760926177777</v>
      </c>
      <c r="J41" s="331">
        <f t="shared" si="7"/>
        <v>1.5361029890544904</v>
      </c>
      <c r="K41" s="339">
        <f t="shared" si="8"/>
        <v>1.0000068823739627</v>
      </c>
      <c r="L41" s="340">
        <f t="shared" si="9"/>
        <v>3.71007668124437E-3</v>
      </c>
      <c r="M41" s="328">
        <f t="shared" si="10"/>
        <v>1.0000000017687236</v>
      </c>
      <c r="N41" s="331">
        <f t="shared" si="11"/>
        <v>5.9476443238109841E-5</v>
      </c>
      <c r="O41" s="332">
        <f t="shared" si="12"/>
        <v>1.0000000005431628</v>
      </c>
      <c r="P41" s="333">
        <f t="shared" si="13"/>
        <v>9.0927401647502602E-5</v>
      </c>
      <c r="Q41" s="334">
        <f t="shared" si="14"/>
        <v>67.024427609812463</v>
      </c>
      <c r="R41" s="335">
        <f t="shared" si="15"/>
        <v>-87.977464295626945</v>
      </c>
      <c r="S41" s="337">
        <f t="shared" si="16"/>
        <v>92.022535704373055</v>
      </c>
      <c r="U41" s="310">
        <f t="shared" si="23"/>
        <v>1000000000</v>
      </c>
      <c r="V41" s="310">
        <f t="shared" si="24"/>
        <v>173.79148899999998</v>
      </c>
      <c r="X41" s="336">
        <f t="shared" si="17"/>
        <v>51.44241928913538</v>
      </c>
      <c r="Y41" s="337">
        <f t="shared" si="18"/>
        <v>-87.803054284255182</v>
      </c>
      <c r="AA41" s="336">
        <f t="shared" si="19"/>
        <v>15.582008320677085</v>
      </c>
      <c r="AB41" s="337">
        <f t="shared" si="20"/>
        <v>-0.1744100113717717</v>
      </c>
      <c r="AD41">
        <f t="shared" si="25"/>
        <v>0</v>
      </c>
      <c r="AE41">
        <f t="shared" si="21"/>
        <v>0</v>
      </c>
    </row>
    <row r="42" spans="1:31" x14ac:dyDescent="0.25">
      <c r="A42" s="338">
        <v>14.454000000000001</v>
      </c>
      <c r="B42" s="355">
        <f t="shared" si="22"/>
        <v>1.4454E-2</v>
      </c>
      <c r="C42" s="328">
        <f t="shared" si="0"/>
        <v>1.0000052611686343</v>
      </c>
      <c r="D42" s="329">
        <f t="shared" si="1"/>
        <v>3.2438081225261012E-3</v>
      </c>
      <c r="E42" s="329">
        <f t="shared" si="2"/>
        <v>1.0000000000179636</v>
      </c>
      <c r="F42" s="330">
        <f t="shared" si="3"/>
        <v>5.9939325814574188E-6</v>
      </c>
      <c r="G42" s="329">
        <f t="shared" si="4"/>
        <v>1</v>
      </c>
      <c r="H42" s="330">
        <f t="shared" si="5"/>
        <v>0</v>
      </c>
      <c r="I42" s="328">
        <f t="shared" si="6"/>
        <v>31.606099845049734</v>
      </c>
      <c r="J42" s="331">
        <f t="shared" si="7"/>
        <v>1.5391515834478571</v>
      </c>
      <c r="K42" s="339">
        <f t="shared" si="8"/>
        <v>1.0000082734293267</v>
      </c>
      <c r="L42" s="340">
        <f t="shared" si="9"/>
        <v>4.0677689919108315E-3</v>
      </c>
      <c r="M42" s="328">
        <f t="shared" si="10"/>
        <v>1.000000002126217</v>
      </c>
      <c r="N42" s="331">
        <f t="shared" si="11"/>
        <v>6.521068879304824E-5</v>
      </c>
      <c r="O42" s="332">
        <f t="shared" si="12"/>
        <v>1.0000000006529466</v>
      </c>
      <c r="P42" s="333">
        <f t="shared" si="13"/>
        <v>9.9693898477945712E-5</v>
      </c>
      <c r="Q42" s="334">
        <f t="shared" si="14"/>
        <v>66.225834669729068</v>
      </c>
      <c r="R42" s="335">
        <f t="shared" si="15"/>
        <v>-88.148785292698307</v>
      </c>
      <c r="S42" s="337">
        <f t="shared" si="16"/>
        <v>91.851214707301693</v>
      </c>
      <c r="U42" s="310">
        <f t="shared" si="23"/>
        <v>1000000000</v>
      </c>
      <c r="V42" s="310">
        <f t="shared" si="24"/>
        <v>208.91811600000003</v>
      </c>
      <c r="X42" s="336">
        <f t="shared" si="17"/>
        <v>50.643834033386234</v>
      </c>
      <c r="Y42" s="337">
        <f t="shared" si="18"/>
        <v>-87.957560164922413</v>
      </c>
      <c r="AA42" s="336">
        <f t="shared" si="19"/>
        <v>15.582000636342832</v>
      </c>
      <c r="AB42" s="337">
        <f t="shared" si="20"/>
        <v>-0.19122512777589609</v>
      </c>
      <c r="AD42">
        <f t="shared" si="25"/>
        <v>0</v>
      </c>
      <c r="AE42">
        <f t="shared" si="21"/>
        <v>0</v>
      </c>
    </row>
    <row r="43" spans="1:31" x14ac:dyDescent="0.25">
      <c r="A43" s="338">
        <v>15.849</v>
      </c>
      <c r="B43" s="355">
        <f t="shared" si="22"/>
        <v>1.5848999999999999E-2</v>
      </c>
      <c r="C43" s="328">
        <f t="shared" si="0"/>
        <v>1.0000063257149994</v>
      </c>
      <c r="D43" s="329">
        <f t="shared" si="1"/>
        <v>3.5568754979756782E-3</v>
      </c>
      <c r="E43" s="329">
        <f t="shared" si="2"/>
        <v>1.0000000000215983</v>
      </c>
      <c r="F43" s="330">
        <f t="shared" si="3"/>
        <v>6.5724254520055645E-6</v>
      </c>
      <c r="G43" s="329">
        <f t="shared" si="4"/>
        <v>1</v>
      </c>
      <c r="H43" s="330">
        <f t="shared" si="5"/>
        <v>0</v>
      </c>
      <c r="I43" s="328">
        <f t="shared" si="6"/>
        <v>34.653582402687206</v>
      </c>
      <c r="J43" s="331">
        <f t="shared" si="7"/>
        <v>1.5419352748958559</v>
      </c>
      <c r="K43" s="339">
        <f t="shared" si="8"/>
        <v>1.0000099474743498</v>
      </c>
      <c r="L43" s="340">
        <f t="shared" si="9"/>
        <v>4.4603569117740117E-3</v>
      </c>
      <c r="M43" s="328">
        <f t="shared" si="10"/>
        <v>1.0000000025564377</v>
      </c>
      <c r="N43" s="331">
        <f t="shared" si="11"/>
        <v>7.1504372933761765E-5</v>
      </c>
      <c r="O43" s="332">
        <f t="shared" si="12"/>
        <v>1.0000000007850645</v>
      </c>
      <c r="P43" s="333">
        <f t="shared" si="13"/>
        <v>1.0931566329720489E-4</v>
      </c>
      <c r="Q43" s="334">
        <f t="shared" si="14"/>
        <v>65.426295361928538</v>
      </c>
      <c r="R43" s="335">
        <f t="shared" si="15"/>
        <v>-88.304601615588382</v>
      </c>
      <c r="S43" s="337">
        <f t="shared" si="16"/>
        <v>91.695398384411618</v>
      </c>
      <c r="U43" s="310">
        <f t="shared" si="23"/>
        <v>1000000000</v>
      </c>
      <c r="V43" s="310">
        <f t="shared" si="24"/>
        <v>251.19080099999999</v>
      </c>
      <c r="X43" s="336">
        <f t="shared" si="17"/>
        <v>49.844303973180374</v>
      </c>
      <c r="Y43" s="337">
        <f t="shared" si="18"/>
        <v>-88.094920907159235</v>
      </c>
      <c r="AA43" s="336">
        <f t="shared" si="19"/>
        <v>15.581991388748168</v>
      </c>
      <c r="AB43" s="337">
        <f t="shared" si="20"/>
        <v>-0.20968070842913319</v>
      </c>
      <c r="AD43">
        <f t="shared" si="25"/>
        <v>0</v>
      </c>
      <c r="AE43">
        <f t="shared" si="21"/>
        <v>0</v>
      </c>
    </row>
    <row r="44" spans="1:31" x14ac:dyDescent="0.25">
      <c r="A44" s="338">
        <v>17.378</v>
      </c>
      <c r="B44" s="355">
        <f t="shared" si="22"/>
        <v>1.7378000000000001E-2</v>
      </c>
      <c r="C44" s="328">
        <f t="shared" si="0"/>
        <v>1.0000076051047166</v>
      </c>
      <c r="D44" s="329">
        <f t="shared" si="1"/>
        <v>3.9000144919899308E-3</v>
      </c>
      <c r="E44" s="329">
        <f t="shared" si="2"/>
        <v>1.0000000000259668</v>
      </c>
      <c r="F44" s="330">
        <f t="shared" si="3"/>
        <v>7.2064868133396482E-6</v>
      </c>
      <c r="G44" s="329">
        <f t="shared" si="4"/>
        <v>1</v>
      </c>
      <c r="H44" s="330">
        <f t="shared" si="5"/>
        <v>0</v>
      </c>
      <c r="I44" s="328">
        <f t="shared" si="6"/>
        <v>37.994054649855826</v>
      </c>
      <c r="J44" s="331">
        <f t="shared" si="7"/>
        <v>1.5444733796528425</v>
      </c>
      <c r="K44" s="339">
        <f t="shared" si="8"/>
        <v>1.00001195936845</v>
      </c>
      <c r="L44" s="340">
        <f t="shared" si="9"/>
        <v>4.8906542021355318E-3</v>
      </c>
      <c r="M44" s="328">
        <f t="shared" si="10"/>
        <v>1.0000000030734848</v>
      </c>
      <c r="N44" s="331">
        <f t="shared" si="11"/>
        <v>7.8402611673581237E-5</v>
      </c>
      <c r="O44" s="332">
        <f t="shared" si="12"/>
        <v>1.0000000009438461</v>
      </c>
      <c r="P44" s="333">
        <f t="shared" si="13"/>
        <v>1.1986166933197164E-4</v>
      </c>
      <c r="Q44" s="334">
        <f t="shared" si="14"/>
        <v>64.626951608452586</v>
      </c>
      <c r="R44" s="335">
        <f t="shared" si="15"/>
        <v>-88.445993656319501</v>
      </c>
      <c r="S44" s="337">
        <f t="shared" si="16"/>
        <v>91.554006343680499</v>
      </c>
      <c r="U44" s="310">
        <f t="shared" si="23"/>
        <v>1000000000</v>
      </c>
      <c r="V44" s="310">
        <f t="shared" si="24"/>
        <v>301.99488400000001</v>
      </c>
      <c r="X44" s="336">
        <f t="shared" si="17"/>
        <v>49.044971333606128</v>
      </c>
      <c r="Y44" s="337">
        <f t="shared" si="18"/>
        <v>-88.216084619127315</v>
      </c>
      <c r="AA44" s="336">
        <f t="shared" si="19"/>
        <v>15.581980274846467</v>
      </c>
      <c r="AB44" s="337">
        <f t="shared" si="20"/>
        <v>-0.22990903719218378</v>
      </c>
      <c r="AD44">
        <f t="shared" si="25"/>
        <v>0</v>
      </c>
      <c r="AE44">
        <f t="shared" si="21"/>
        <v>0</v>
      </c>
    </row>
    <row r="45" spans="1:31" x14ac:dyDescent="0.25">
      <c r="A45" s="338">
        <v>19.055</v>
      </c>
      <c r="B45" s="355">
        <f t="shared" si="22"/>
        <v>1.9054999999999999E-2</v>
      </c>
      <c r="C45" s="328">
        <f t="shared" si="0"/>
        <v>1.0000091437256025</v>
      </c>
      <c r="D45" s="329">
        <f t="shared" si="1"/>
        <v>4.2763666657381488E-3</v>
      </c>
      <c r="E45" s="329">
        <f t="shared" si="2"/>
        <v>1.0000000000312201</v>
      </c>
      <c r="F45" s="330">
        <f t="shared" si="3"/>
        <v>7.9019223286745332E-6</v>
      </c>
      <c r="G45" s="329">
        <f t="shared" si="4"/>
        <v>1</v>
      </c>
      <c r="H45" s="330">
        <f t="shared" si="5"/>
        <v>0</v>
      </c>
      <c r="I45" s="328">
        <f t="shared" si="6"/>
        <v>41.658102999032316</v>
      </c>
      <c r="J45" s="331">
        <f t="shared" si="7"/>
        <v>1.5467890870891186</v>
      </c>
      <c r="K45" s="339">
        <f t="shared" si="8"/>
        <v>1.0000143789125062</v>
      </c>
      <c r="L45" s="340">
        <f t="shared" si="9"/>
        <v>5.3626001555285218E-3</v>
      </c>
      <c r="M45" s="328">
        <f t="shared" si="10"/>
        <v>1.0000000036952972</v>
      </c>
      <c r="N45" s="331">
        <f t="shared" si="11"/>
        <v>8.5968567431279848E-5</v>
      </c>
      <c r="O45" s="332">
        <f t="shared" si="12"/>
        <v>1.0000000011348005</v>
      </c>
      <c r="P45" s="333">
        <f t="shared" si="13"/>
        <v>1.31428479099495E-4</v>
      </c>
      <c r="Q45" s="334">
        <f t="shared" si="14"/>
        <v>63.827282325718201</v>
      </c>
      <c r="R45" s="335">
        <f t="shared" si="15"/>
        <v>-88.574253180225455</v>
      </c>
      <c r="S45" s="337">
        <f t="shared" si="16"/>
        <v>91.425746819774545</v>
      </c>
      <c r="U45" s="310">
        <f t="shared" si="23"/>
        <v>1000000000</v>
      </c>
      <c r="V45" s="310">
        <f t="shared" si="24"/>
        <v>363.09302500000001</v>
      </c>
      <c r="X45" s="336">
        <f t="shared" si="17"/>
        <v>48.245315416663999</v>
      </c>
      <c r="Y45" s="337">
        <f t="shared" si="18"/>
        <v>-88.322157867979413</v>
      </c>
      <c r="AA45" s="336">
        <f t="shared" si="19"/>
        <v>15.581966909054197</v>
      </c>
      <c r="AB45" s="337">
        <f t="shared" si="20"/>
        <v>-0.25209531224604004</v>
      </c>
      <c r="AD45">
        <f t="shared" si="25"/>
        <v>0</v>
      </c>
      <c r="AE45">
        <f t="shared" ref="AE45:AE76" si="26">IF(AD45&gt;0,S43,0)</f>
        <v>0</v>
      </c>
    </row>
    <row r="46" spans="1:31" x14ac:dyDescent="0.25">
      <c r="A46" s="338">
        <v>20.893000000000001</v>
      </c>
      <c r="B46" s="355">
        <f t="shared" si="22"/>
        <v>2.0893000000000002E-2</v>
      </c>
      <c r="C46" s="328">
        <f t="shared" si="0"/>
        <v>1.0000109927533978</v>
      </c>
      <c r="D46" s="329">
        <f t="shared" si="1"/>
        <v>4.6888490481499815E-3</v>
      </c>
      <c r="E46" s="329">
        <f t="shared" si="2"/>
        <v>1.0000000000375335</v>
      </c>
      <c r="F46" s="330">
        <f t="shared" si="3"/>
        <v>8.6641229709946037E-6</v>
      </c>
      <c r="G46" s="329">
        <f t="shared" si="4"/>
        <v>1</v>
      </c>
      <c r="H46" s="330">
        <f t="shared" si="5"/>
        <v>0</v>
      </c>
      <c r="I46" s="328">
        <f t="shared" si="6"/>
        <v>45.674130914662108</v>
      </c>
      <c r="J46" s="331">
        <f t="shared" si="7"/>
        <v>1.5489003456320936</v>
      </c>
      <c r="K46" s="339">
        <f t="shared" si="8"/>
        <v>1.0000172865812595</v>
      </c>
      <c r="L46" s="340">
        <f t="shared" si="9"/>
        <v>5.8798524202129396E-3</v>
      </c>
      <c r="M46" s="328">
        <f t="shared" si="10"/>
        <v>1.0000000044425577</v>
      </c>
      <c r="N46" s="331">
        <f t="shared" si="11"/>
        <v>9.4260891023192846E-5</v>
      </c>
      <c r="O46" s="332">
        <f t="shared" si="12"/>
        <v>1.0000000013642791</v>
      </c>
      <c r="P46" s="333">
        <f t="shared" si="13"/>
        <v>1.4410575779555076E-4</v>
      </c>
      <c r="Q46" s="334">
        <f t="shared" si="14"/>
        <v>63.027875453510362</v>
      </c>
      <c r="R46" s="335">
        <f t="shared" si="15"/>
        <v>-88.690374311086487</v>
      </c>
      <c r="S46" s="337">
        <f t="shared" si="16"/>
        <v>91.309625688913513</v>
      </c>
      <c r="U46" s="310">
        <f t="shared" si="23"/>
        <v>1000000000</v>
      </c>
      <c r="V46" s="310">
        <f t="shared" si="24"/>
        <v>436.51744900000006</v>
      </c>
      <c r="X46" s="336">
        <f t="shared" si="17"/>
        <v>47.445924606684223</v>
      </c>
      <c r="Y46" s="337">
        <f t="shared" si="18"/>
        <v>-88.4139628154919</v>
      </c>
      <c r="AA46" s="336">
        <f t="shared" si="19"/>
        <v>15.581950846826139</v>
      </c>
      <c r="AB46" s="337">
        <f t="shared" si="20"/>
        <v>-0.27641149559457256</v>
      </c>
      <c r="AD46">
        <f t="shared" si="25"/>
        <v>0</v>
      </c>
      <c r="AE46">
        <f t="shared" si="26"/>
        <v>0</v>
      </c>
    </row>
    <row r="47" spans="1:31" x14ac:dyDescent="0.25">
      <c r="A47" s="338">
        <v>22.909000000000002</v>
      </c>
      <c r="B47" s="355">
        <f t="shared" si="22"/>
        <v>2.2909000000000002E-2</v>
      </c>
      <c r="C47" s="328">
        <f t="shared" si="0"/>
        <v>1.0000132165060327</v>
      </c>
      <c r="D47" s="329">
        <f t="shared" si="1"/>
        <v>5.1412761977667797E-3</v>
      </c>
      <c r="E47" s="329">
        <f t="shared" si="2"/>
        <v>1.0000000000451263</v>
      </c>
      <c r="F47" s="330">
        <f t="shared" si="3"/>
        <v>9.500138474202398E-6</v>
      </c>
      <c r="G47" s="329">
        <f t="shared" si="4"/>
        <v>1</v>
      </c>
      <c r="H47" s="330">
        <f t="shared" si="5"/>
        <v>0</v>
      </c>
      <c r="I47" s="328">
        <f t="shared" si="6"/>
        <v>50.079283377966462</v>
      </c>
      <c r="J47" s="331">
        <f t="shared" si="7"/>
        <v>1.5508266626899754</v>
      </c>
      <c r="K47" s="339">
        <f t="shared" si="8"/>
        <v>1.0000207835154484</v>
      </c>
      <c r="L47" s="340">
        <f t="shared" si="9"/>
        <v>6.4471940396845602E-3</v>
      </c>
      <c r="M47" s="328">
        <f t="shared" si="10"/>
        <v>1.0000000053412603</v>
      </c>
      <c r="N47" s="331">
        <f t="shared" si="11"/>
        <v>1.0335627967053747E-4</v>
      </c>
      <c r="O47" s="332">
        <f t="shared" si="12"/>
        <v>1.0000000016402644</v>
      </c>
      <c r="P47" s="333">
        <f t="shared" si="13"/>
        <v>1.5801075990707855E-4</v>
      </c>
      <c r="Q47" s="334">
        <f t="shared" si="14"/>
        <v>62.228130237058124</v>
      </c>
      <c r="R47" s="335">
        <f t="shared" si="15"/>
        <v>-88.795429959657227</v>
      </c>
      <c r="S47" s="337">
        <f t="shared" si="16"/>
        <v>91.204570040342773</v>
      </c>
      <c r="U47" s="310">
        <f t="shared" si="23"/>
        <v>1000000000</v>
      </c>
      <c r="V47" s="310">
        <f t="shared" si="24"/>
        <v>524.82228100000009</v>
      </c>
      <c r="X47" s="336">
        <f t="shared" si="17"/>
        <v>46.646198707599389</v>
      </c>
      <c r="Y47" s="337">
        <f t="shared" si="18"/>
        <v>-88.492347500046833</v>
      </c>
      <c r="AA47" s="336">
        <f t="shared" si="19"/>
        <v>15.581931529458743</v>
      </c>
      <c r="AB47" s="337">
        <f t="shared" si="20"/>
        <v>-0.30308245961039471</v>
      </c>
      <c r="AD47">
        <f t="shared" si="25"/>
        <v>0</v>
      </c>
      <c r="AE47">
        <f t="shared" si="26"/>
        <v>0</v>
      </c>
    </row>
    <row r="48" spans="1:31" x14ac:dyDescent="0.25">
      <c r="A48" s="338">
        <v>25.119</v>
      </c>
      <c r="B48" s="355">
        <f t="shared" si="22"/>
        <v>2.5118999999999999E-2</v>
      </c>
      <c r="C48" s="328">
        <f t="shared" si="0"/>
        <v>1.0000158894368574</v>
      </c>
      <c r="D48" s="329">
        <f t="shared" si="1"/>
        <v>5.6372380586763738E-3</v>
      </c>
      <c r="E48" s="329">
        <f t="shared" si="2"/>
        <v>1.0000000000542528</v>
      </c>
      <c r="F48" s="330">
        <f t="shared" si="3"/>
        <v>1.0416603881969447E-5</v>
      </c>
      <c r="G48" s="329">
        <f t="shared" si="4"/>
        <v>1</v>
      </c>
      <c r="H48" s="330">
        <f t="shared" si="5"/>
        <v>0</v>
      </c>
      <c r="I48" s="328">
        <f t="shared" si="6"/>
        <v>54.908521967159864</v>
      </c>
      <c r="J48" s="331">
        <f t="shared" si="7"/>
        <v>1.5525832106413702</v>
      </c>
      <c r="K48" s="339">
        <f t="shared" si="8"/>
        <v>1.0000249867932487</v>
      </c>
      <c r="L48" s="340">
        <f t="shared" si="9"/>
        <v>7.0691262510547588E-3</v>
      </c>
      <c r="M48" s="328">
        <f t="shared" si="10"/>
        <v>1.0000000064214953</v>
      </c>
      <c r="N48" s="331">
        <f t="shared" si="11"/>
        <v>1.1332691899142497E-4</v>
      </c>
      <c r="O48" s="332">
        <f t="shared" si="12"/>
        <v>1.0000000019719975</v>
      </c>
      <c r="P48" s="333">
        <f t="shared" si="13"/>
        <v>1.7325384260026777E-4</v>
      </c>
      <c r="Q48" s="334">
        <f t="shared" si="14"/>
        <v>61.428510559099394</v>
      </c>
      <c r="R48" s="335">
        <f t="shared" si="15"/>
        <v>-88.890247304724952</v>
      </c>
      <c r="S48" s="337">
        <f t="shared" si="16"/>
        <v>91.109752695275048</v>
      </c>
      <c r="U48" s="310">
        <f t="shared" si="23"/>
        <v>1000000000</v>
      </c>
      <c r="V48" s="310">
        <f t="shared" si="24"/>
        <v>630.96416099999999</v>
      </c>
      <c r="X48" s="336">
        <f t="shared" si="17"/>
        <v>45.846602248887052</v>
      </c>
      <c r="Y48" s="337">
        <f t="shared" si="18"/>
        <v>-88.557927468946431</v>
      </c>
      <c r="AA48" s="336">
        <f t="shared" si="19"/>
        <v>15.581908310212334</v>
      </c>
      <c r="AB48" s="337">
        <f t="shared" si="20"/>
        <v>-0.33231983577853125</v>
      </c>
      <c r="AD48">
        <f t="shared" si="25"/>
        <v>0</v>
      </c>
      <c r="AE48">
        <f t="shared" si="26"/>
        <v>0</v>
      </c>
    </row>
    <row r="49" spans="1:31" x14ac:dyDescent="0.25">
      <c r="A49" s="338">
        <v>27.542000000000002</v>
      </c>
      <c r="B49" s="355">
        <f t="shared" si="22"/>
        <v>2.7542000000000001E-2</v>
      </c>
      <c r="C49" s="328">
        <f t="shared" si="0"/>
        <v>1.0000191026695842</v>
      </c>
      <c r="D49" s="329">
        <f t="shared" si="1"/>
        <v>6.1809975725125579E-3</v>
      </c>
      <c r="E49" s="329">
        <f t="shared" si="2"/>
        <v>1.0000000000652243</v>
      </c>
      <c r="F49" s="330">
        <f t="shared" si="3"/>
        <v>1.1421398308654967E-5</v>
      </c>
      <c r="G49" s="329">
        <f t="shared" si="4"/>
        <v>1</v>
      </c>
      <c r="H49" s="330">
        <f t="shared" si="5"/>
        <v>0</v>
      </c>
      <c r="I49" s="328">
        <f t="shared" si="6"/>
        <v>60.203364965254352</v>
      </c>
      <c r="J49" s="331">
        <f t="shared" si="7"/>
        <v>1.5541851956673058</v>
      </c>
      <c r="K49" s="339">
        <f t="shared" si="8"/>
        <v>1.0000300397062927</v>
      </c>
      <c r="L49" s="340">
        <f t="shared" si="9"/>
        <v>7.7509940427537682E-3</v>
      </c>
      <c r="M49" s="328">
        <f t="shared" si="10"/>
        <v>1.000000007720091</v>
      </c>
      <c r="N49" s="331">
        <f t="shared" si="11"/>
        <v>1.242585294064121E-4</v>
      </c>
      <c r="O49" s="332">
        <f t="shared" si="12"/>
        <v>1.0000000023707871</v>
      </c>
      <c r="P49" s="333">
        <f t="shared" si="13"/>
        <v>1.8996605501099727E-4</v>
      </c>
      <c r="Q49" s="334">
        <f t="shared" si="14"/>
        <v>60.628906270885317</v>
      </c>
      <c r="R49" s="335">
        <f t="shared" si="15"/>
        <v>-88.975647568112038</v>
      </c>
      <c r="S49" s="337">
        <f t="shared" si="16"/>
        <v>91.024352431887962</v>
      </c>
      <c r="U49" s="310">
        <f t="shared" si="23"/>
        <v>1000000000</v>
      </c>
      <c r="V49" s="310">
        <f t="shared" si="24"/>
        <v>758.56176400000004</v>
      </c>
      <c r="X49" s="336">
        <f t="shared" si="17"/>
        <v>45.047025873338072</v>
      </c>
      <c r="Y49" s="337">
        <f t="shared" si="18"/>
        <v>-88.61127263832644</v>
      </c>
      <c r="AA49" s="336">
        <f t="shared" si="19"/>
        <v>15.581880397547245</v>
      </c>
      <c r="AB49" s="337">
        <f t="shared" si="20"/>
        <v>-0.36437492978559199</v>
      </c>
      <c r="AD49">
        <f t="shared" si="25"/>
        <v>0</v>
      </c>
      <c r="AE49">
        <f t="shared" si="26"/>
        <v>0</v>
      </c>
    </row>
    <row r="50" spans="1:31" x14ac:dyDescent="0.25">
      <c r="A50" s="338">
        <v>30.2</v>
      </c>
      <c r="B50" s="355">
        <f t="shared" si="22"/>
        <v>3.0199999999999998E-2</v>
      </c>
      <c r="C50" s="328">
        <f t="shared" si="0"/>
        <v>1.0000229676289081</v>
      </c>
      <c r="D50" s="329">
        <f t="shared" si="1"/>
        <v>6.7774905862534873E-3</v>
      </c>
      <c r="E50" s="329">
        <f t="shared" si="2"/>
        <v>1.0000000000784208</v>
      </c>
      <c r="F50" s="330">
        <f t="shared" si="3"/>
        <v>1.2523644939305257E-5</v>
      </c>
      <c r="G50" s="329">
        <f t="shared" si="4"/>
        <v>1</v>
      </c>
      <c r="H50" s="330">
        <f t="shared" si="5"/>
        <v>0</v>
      </c>
      <c r="I50" s="328">
        <f t="shared" si="6"/>
        <v>66.011887808174279</v>
      </c>
      <c r="J50" s="331">
        <f t="shared" si="7"/>
        <v>1.5556469607522405</v>
      </c>
      <c r="K50" s="339">
        <f t="shared" si="8"/>
        <v>1.0000361174683083</v>
      </c>
      <c r="L50" s="340">
        <f t="shared" si="9"/>
        <v>8.4989859727321419E-3</v>
      </c>
      <c r="M50" s="328">
        <f t="shared" si="10"/>
        <v>1.0000000092820811</v>
      </c>
      <c r="N50" s="331">
        <f t="shared" si="11"/>
        <v>1.3625036613775161E-4</v>
      </c>
      <c r="O50" s="332">
        <f t="shared" si="12"/>
        <v>1.0000000028504639</v>
      </c>
      <c r="P50" s="333">
        <f t="shared" si="13"/>
        <v>2.0829913824564579E-4</v>
      </c>
      <c r="Q50" s="334">
        <f t="shared" si="14"/>
        <v>59.828897736537755</v>
      </c>
      <c r="R50" s="335">
        <f t="shared" si="15"/>
        <v>-89.052394625553063</v>
      </c>
      <c r="S50" s="337">
        <f t="shared" si="16"/>
        <v>90.947605374446937</v>
      </c>
      <c r="U50" s="310">
        <f t="shared" si="23"/>
        <v>1000000000</v>
      </c>
      <c r="V50" s="310">
        <f t="shared" si="24"/>
        <v>912.04</v>
      </c>
      <c r="X50" s="336">
        <f t="shared" si="17"/>
        <v>44.247050912946307</v>
      </c>
      <c r="Y50" s="337">
        <f t="shared" si="18"/>
        <v>-88.652855909316017</v>
      </c>
      <c r="AA50" s="336">
        <f t="shared" si="19"/>
        <v>15.581846823591455</v>
      </c>
      <c r="AB50" s="337">
        <f t="shared" si="20"/>
        <v>-0.39953871623705539</v>
      </c>
      <c r="AD50">
        <f t="shared" si="25"/>
        <v>0</v>
      </c>
      <c r="AE50">
        <f t="shared" si="26"/>
        <v>0</v>
      </c>
    </row>
    <row r="51" spans="1:31" x14ac:dyDescent="0.25">
      <c r="A51" s="338">
        <v>33.113</v>
      </c>
      <c r="B51" s="355">
        <f t="shared" si="22"/>
        <v>3.3112999999999997E-2</v>
      </c>
      <c r="C51" s="328">
        <f t="shared" si="0"/>
        <v>1.0000276120293528</v>
      </c>
      <c r="D51" s="329">
        <f t="shared" si="1"/>
        <v>7.4312036729440988E-3</v>
      </c>
      <c r="E51" s="329">
        <f t="shared" si="2"/>
        <v>1.0000000000942788</v>
      </c>
      <c r="F51" s="330">
        <f t="shared" si="3"/>
        <v>1.3731637578504332E-5</v>
      </c>
      <c r="G51" s="329">
        <f t="shared" si="4"/>
        <v>1</v>
      </c>
      <c r="H51" s="330">
        <f t="shared" si="5"/>
        <v>0</v>
      </c>
      <c r="I51" s="328">
        <f t="shared" si="6"/>
        <v>72.377796463275175</v>
      </c>
      <c r="J51" s="331">
        <f t="shared" si="7"/>
        <v>1.5569794952934264</v>
      </c>
      <c r="K51" s="339">
        <f t="shared" si="8"/>
        <v>1.0000434209065823</v>
      </c>
      <c r="L51" s="340">
        <f t="shared" si="9"/>
        <v>9.3187268974262022E-3</v>
      </c>
      <c r="M51" s="328">
        <f t="shared" si="10"/>
        <v>1.0000000111590837</v>
      </c>
      <c r="N51" s="331">
        <f t="shared" si="11"/>
        <v>1.4939266120111831E-4</v>
      </c>
      <c r="O51" s="332">
        <f t="shared" si="12"/>
        <v>1.0000000034268786</v>
      </c>
      <c r="P51" s="333">
        <f t="shared" si="13"/>
        <v>2.2839103876948804E-4</v>
      </c>
      <c r="Q51" s="334">
        <f t="shared" si="14"/>
        <v>59.029256729461068</v>
      </c>
      <c r="R51" s="335">
        <f t="shared" si="15"/>
        <v>-89.121065502760359</v>
      </c>
      <c r="S51" s="337">
        <f t="shared" si="16"/>
        <v>90.878934497239641</v>
      </c>
      <c r="U51" s="310">
        <f t="shared" si="23"/>
        <v>1000000000</v>
      </c>
      <c r="V51" s="310">
        <f t="shared" si="24"/>
        <v>1096.470769</v>
      </c>
      <c r="X51" s="336">
        <f t="shared" si="17"/>
        <v>43.447450250468059</v>
      </c>
      <c r="Y51" s="337">
        <f t="shared" si="18"/>
        <v>-88.682989817376921</v>
      </c>
      <c r="AA51" s="336">
        <f t="shared" si="19"/>
        <v>15.581806478993007</v>
      </c>
      <c r="AB51" s="337">
        <f t="shared" si="20"/>
        <v>-0.43807568538343594</v>
      </c>
      <c r="AD51">
        <f t="shared" si="25"/>
        <v>0</v>
      </c>
      <c r="AE51">
        <f t="shared" si="26"/>
        <v>0</v>
      </c>
    </row>
    <row r="52" spans="1:31" x14ac:dyDescent="0.25">
      <c r="A52" s="338">
        <v>36.308</v>
      </c>
      <c r="B52" s="355">
        <f t="shared" si="22"/>
        <v>3.6308E-2</v>
      </c>
      <c r="C52" s="328">
        <f t="shared" si="0"/>
        <v>1.0000331974487306</v>
      </c>
      <c r="D52" s="329">
        <f t="shared" si="1"/>
        <v>8.1481937095866947E-3</v>
      </c>
      <c r="E52" s="329">
        <f t="shared" si="2"/>
        <v>1.0000000001133502</v>
      </c>
      <c r="F52" s="330">
        <f t="shared" si="3"/>
        <v>1.5056572862440623E-5</v>
      </c>
      <c r="G52" s="329">
        <f t="shared" si="4"/>
        <v>1</v>
      </c>
      <c r="H52" s="330">
        <f t="shared" si="5"/>
        <v>0</v>
      </c>
      <c r="I52" s="328">
        <f t="shared" si="6"/>
        <v>79.360095204989037</v>
      </c>
      <c r="J52" s="331">
        <f t="shared" si="7"/>
        <v>1.5581952019772962</v>
      </c>
      <c r="K52" s="339">
        <f t="shared" si="8"/>
        <v>1.0000522040954336</v>
      </c>
      <c r="L52" s="340">
        <f t="shared" si="9"/>
        <v>1.0217810379776659E-2</v>
      </c>
      <c r="M52" s="328">
        <f t="shared" si="10"/>
        <v>1.0000000134164042</v>
      </c>
      <c r="N52" s="331">
        <f t="shared" si="11"/>
        <v>1.6380722781770028E-4</v>
      </c>
      <c r="O52" s="332">
        <f t="shared" si="12"/>
        <v>1.0000000041200863</v>
      </c>
      <c r="P52" s="333">
        <f t="shared" si="13"/>
        <v>2.5042798431061533E-4</v>
      </c>
      <c r="Q52" s="334">
        <f t="shared" si="14"/>
        <v>58.229348012465252</v>
      </c>
      <c r="R52" s="335">
        <f t="shared" si="15"/>
        <v>-89.18229978362946</v>
      </c>
      <c r="S52" s="337">
        <f t="shared" si="16"/>
        <v>90.81770021637054</v>
      </c>
      <c r="U52" s="310">
        <f t="shared" si="23"/>
        <v>1000000000</v>
      </c>
      <c r="V52" s="310">
        <f t="shared" si="24"/>
        <v>1318.2708640000001</v>
      </c>
      <c r="X52" s="336">
        <f t="shared" si="17"/>
        <v>42.647590052188995</v>
      </c>
      <c r="Y52" s="337">
        <f t="shared" si="18"/>
        <v>-88.701956884372208</v>
      </c>
      <c r="AA52" s="336">
        <f t="shared" si="19"/>
        <v>15.581757960276255</v>
      </c>
      <c r="AB52" s="337">
        <f t="shared" si="20"/>
        <v>-0.48034289925725288</v>
      </c>
      <c r="AD52">
        <f t="shared" si="25"/>
        <v>0</v>
      </c>
      <c r="AE52">
        <f t="shared" si="26"/>
        <v>0</v>
      </c>
    </row>
    <row r="53" spans="1:31" x14ac:dyDescent="0.25">
      <c r="A53" s="338">
        <v>39.811</v>
      </c>
      <c r="B53" s="355">
        <f t="shared" si="22"/>
        <v>3.9810999999999999E-2</v>
      </c>
      <c r="C53" s="328">
        <f t="shared" si="0"/>
        <v>1.0000399121175958</v>
      </c>
      <c r="D53" s="329">
        <f t="shared" si="1"/>
        <v>8.9342923793753436E-3</v>
      </c>
      <c r="E53" s="329">
        <f t="shared" si="2"/>
        <v>1.0000000001362774</v>
      </c>
      <c r="F53" s="330">
        <f t="shared" si="3"/>
        <v>1.6509232737067913E-5</v>
      </c>
      <c r="G53" s="329">
        <f t="shared" si="4"/>
        <v>1</v>
      </c>
      <c r="H53" s="330">
        <f t="shared" si="5"/>
        <v>0</v>
      </c>
      <c r="I53" s="328">
        <f t="shared" si="6"/>
        <v>87.015604035835494</v>
      </c>
      <c r="J53" s="331">
        <f t="shared" si="7"/>
        <v>1.5593038821450684</v>
      </c>
      <c r="K53" s="339">
        <f t="shared" si="8"/>
        <v>1.0000627630155599</v>
      </c>
      <c r="L53" s="340">
        <f t="shared" si="9"/>
        <v>1.1203547034067507E-2</v>
      </c>
      <c r="M53" s="328">
        <f t="shared" si="10"/>
        <v>1.0000000161301219</v>
      </c>
      <c r="N53" s="331">
        <f t="shared" si="11"/>
        <v>1.7961136760087125E-4</v>
      </c>
      <c r="O53" s="332">
        <f t="shared" si="12"/>
        <v>1.0000000049534508</v>
      </c>
      <c r="P53" s="333">
        <f t="shared" si="13"/>
        <v>2.7458930528146465E-4</v>
      </c>
      <c r="Q53" s="334">
        <f t="shared" si="14"/>
        <v>57.429482187007935</v>
      </c>
      <c r="R53" s="335">
        <f t="shared" si="15"/>
        <v>-89.236590685139873</v>
      </c>
      <c r="S53" s="337">
        <f t="shared" si="16"/>
        <v>90.763409314860127</v>
      </c>
      <c r="U53" s="310">
        <f t="shared" si="23"/>
        <v>1000000000</v>
      </c>
      <c r="V53" s="310">
        <f t="shared" si="24"/>
        <v>1584.9157210000001</v>
      </c>
      <c r="X53" s="336">
        <f t="shared" si="17"/>
        <v>41.847782554511859</v>
      </c>
      <c r="Y53" s="337">
        <f t="shared" si="18"/>
        <v>-88.709906539330717</v>
      </c>
      <c r="AA53" s="336">
        <f t="shared" si="19"/>
        <v>15.581699632496072</v>
      </c>
      <c r="AB53" s="337">
        <f t="shared" si="20"/>
        <v>-0.5266841458091498</v>
      </c>
      <c r="AD53">
        <f t="shared" si="25"/>
        <v>0</v>
      </c>
      <c r="AE53">
        <f t="shared" si="26"/>
        <v>0</v>
      </c>
    </row>
    <row r="54" spans="1:31" x14ac:dyDescent="0.25">
      <c r="A54" s="338">
        <v>43.652000000000001</v>
      </c>
      <c r="B54" s="355">
        <f t="shared" si="22"/>
        <v>4.3652000000000003E-2</v>
      </c>
      <c r="C54" s="328">
        <f t="shared" si="0"/>
        <v>1.0000479849600288</v>
      </c>
      <c r="D54" s="329">
        <f t="shared" si="1"/>
        <v>9.7962279792067498E-3</v>
      </c>
      <c r="E54" s="329">
        <f t="shared" si="2"/>
        <v>1.0000000001638423</v>
      </c>
      <c r="F54" s="330">
        <f t="shared" si="3"/>
        <v>1.8102057909252345E-5</v>
      </c>
      <c r="G54" s="329">
        <f t="shared" si="4"/>
        <v>1</v>
      </c>
      <c r="H54" s="330">
        <f t="shared" si="5"/>
        <v>0</v>
      </c>
      <c r="I54" s="328">
        <f t="shared" si="6"/>
        <v>95.409885400163702</v>
      </c>
      <c r="J54" s="331">
        <f t="shared" si="7"/>
        <v>1.5603150406514292</v>
      </c>
      <c r="K54" s="339">
        <f t="shared" si="8"/>
        <v>1.0000754576307922</v>
      </c>
      <c r="L54" s="340">
        <f t="shared" si="9"/>
        <v>1.2284371064013189E-2</v>
      </c>
      <c r="M54" s="328">
        <f t="shared" si="10"/>
        <v>1.0000000193927665</v>
      </c>
      <c r="N54" s="331">
        <f t="shared" si="11"/>
        <v>1.9694042856144322E-4</v>
      </c>
      <c r="O54" s="332">
        <f t="shared" si="12"/>
        <v>1.0000000059553866</v>
      </c>
      <c r="P54" s="333">
        <f t="shared" si="13"/>
        <v>3.0108192139369395E-4</v>
      </c>
      <c r="Q54" s="334">
        <f t="shared" si="14"/>
        <v>56.629597591264904</v>
      </c>
      <c r="R54" s="335">
        <f t="shared" si="15"/>
        <v>-89.284403951785535</v>
      </c>
      <c r="S54" s="337">
        <f t="shared" si="16"/>
        <v>90.715596048214465</v>
      </c>
      <c r="U54" s="310">
        <f t="shared" si="23"/>
        <v>1000000000</v>
      </c>
      <c r="V54" s="310">
        <f t="shared" si="24"/>
        <v>1905.497104</v>
      </c>
      <c r="X54" s="336">
        <f t="shared" si="17"/>
        <v>41.047968083969025</v>
      </c>
      <c r="Y54" s="337">
        <f t="shared" si="18"/>
        <v>-88.706907880904268</v>
      </c>
      <c r="AA54" s="336">
        <f t="shared" si="19"/>
        <v>15.581629507295879</v>
      </c>
      <c r="AB54" s="337">
        <f t="shared" si="20"/>
        <v>-0.57749607088124999</v>
      </c>
      <c r="AD54">
        <f t="shared" si="25"/>
        <v>0</v>
      </c>
      <c r="AE54">
        <f t="shared" si="26"/>
        <v>0</v>
      </c>
    </row>
    <row r="55" spans="1:31" x14ac:dyDescent="0.25">
      <c r="A55" s="338">
        <v>47.863</v>
      </c>
      <c r="B55" s="355">
        <f t="shared" si="22"/>
        <v>4.7863000000000003E-2</v>
      </c>
      <c r="C55" s="328">
        <f t="shared" si="0"/>
        <v>1.0000576892070558</v>
      </c>
      <c r="D55" s="329">
        <f t="shared" si="1"/>
        <v>1.0741176269087323E-2</v>
      </c>
      <c r="E55" s="329">
        <f t="shared" si="2"/>
        <v>1.000000000196978</v>
      </c>
      <c r="F55" s="330">
        <f t="shared" si="3"/>
        <v>1.984831846631095E-5</v>
      </c>
      <c r="G55" s="329">
        <f t="shared" si="4"/>
        <v>1</v>
      </c>
      <c r="H55" s="330">
        <f t="shared" si="5"/>
        <v>0</v>
      </c>
      <c r="I55" s="328">
        <f t="shared" si="6"/>
        <v>104.61287341631744</v>
      </c>
      <c r="J55" s="331">
        <f t="shared" si="7"/>
        <v>1.5612371282257531</v>
      </c>
      <c r="K55" s="339">
        <f t="shared" si="8"/>
        <v>1.0000907175663527</v>
      </c>
      <c r="L55" s="340">
        <f t="shared" si="9"/>
        <v>1.346927680459555E-2</v>
      </c>
      <c r="M55" s="328">
        <f t="shared" si="10"/>
        <v>1.0000000233147792</v>
      </c>
      <c r="N55" s="331">
        <f t="shared" si="11"/>
        <v>2.1593878190208953E-4</v>
      </c>
      <c r="O55" s="332">
        <f t="shared" si="12"/>
        <v>1.0000000071598103</v>
      </c>
      <c r="P55" s="333">
        <f t="shared" si="13"/>
        <v>3.3012654701599389E-4</v>
      </c>
      <c r="Q55" s="334">
        <f t="shared" si="14"/>
        <v>55.829810658925645</v>
      </c>
      <c r="R55" s="335">
        <f t="shared" si="15"/>
        <v>-89.326139735565448</v>
      </c>
      <c r="S55" s="337">
        <f t="shared" si="16"/>
        <v>90.673860264434552</v>
      </c>
      <c r="U55" s="310">
        <f t="shared" si="23"/>
        <v>1000000000</v>
      </c>
      <c r="V55" s="310">
        <f t="shared" si="24"/>
        <v>2290.8667689999997</v>
      </c>
      <c r="X55" s="336">
        <f t="shared" si="17"/>
        <v>40.248265447368738</v>
      </c>
      <c r="Y55" s="337">
        <f t="shared" si="18"/>
        <v>-88.692938034646431</v>
      </c>
      <c r="AA55" s="336">
        <f t="shared" si="19"/>
        <v>15.581545211556907</v>
      </c>
      <c r="AB55" s="337">
        <f t="shared" si="20"/>
        <v>-0.63320170091901018</v>
      </c>
      <c r="AD55">
        <f t="shared" si="25"/>
        <v>0</v>
      </c>
      <c r="AE55">
        <f t="shared" si="26"/>
        <v>0</v>
      </c>
    </row>
    <row r="56" spans="1:31" x14ac:dyDescent="0.25">
      <c r="A56" s="338">
        <v>52.481000000000002</v>
      </c>
      <c r="B56" s="355">
        <f t="shared" si="22"/>
        <v>5.2481E-2</v>
      </c>
      <c r="C56" s="328">
        <f t="shared" si="0"/>
        <v>1.0000693579753119</v>
      </c>
      <c r="D56" s="329">
        <f t="shared" si="1"/>
        <v>1.17774332326955E-2</v>
      </c>
      <c r="E56" s="329">
        <f t="shared" si="2"/>
        <v>1.0000000002368219</v>
      </c>
      <c r="F56" s="330">
        <f t="shared" si="3"/>
        <v>2.1763357946697776E-5</v>
      </c>
      <c r="G56" s="329">
        <f t="shared" si="4"/>
        <v>1</v>
      </c>
      <c r="H56" s="330">
        <f t="shared" si="5"/>
        <v>0</v>
      </c>
      <c r="I56" s="328">
        <f t="shared" si="6"/>
        <v>114.70543025046526</v>
      </c>
      <c r="J56" s="331">
        <f t="shared" si="7"/>
        <v>1.5620782332795808</v>
      </c>
      <c r="K56" s="339">
        <f t="shared" si="8"/>
        <v>1.0001090666007428</v>
      </c>
      <c r="L56" s="340">
        <f t="shared" si="9"/>
        <v>1.476866200637174E-2</v>
      </c>
      <c r="M56" s="328">
        <f t="shared" si="10"/>
        <v>1.0000000280308119</v>
      </c>
      <c r="N56" s="331">
        <f t="shared" si="11"/>
        <v>2.3677335681786263E-4</v>
      </c>
      <c r="O56" s="332">
        <f t="shared" si="12"/>
        <v>1.0000000086080723</v>
      </c>
      <c r="P56" s="333">
        <f t="shared" si="13"/>
        <v>3.6197838314586345E-4</v>
      </c>
      <c r="Q56" s="334">
        <f t="shared" si="14"/>
        <v>55.029891677030449</v>
      </c>
      <c r="R56" s="335">
        <f t="shared" si="15"/>
        <v>-89.362164353111098</v>
      </c>
      <c r="S56" s="337">
        <f t="shared" si="16"/>
        <v>90.637835646888902</v>
      </c>
      <c r="U56" s="310">
        <f t="shared" si="23"/>
        <v>1000000000</v>
      </c>
      <c r="V56" s="310">
        <f t="shared" si="24"/>
        <v>2754.255361</v>
      </c>
      <c r="X56" s="336">
        <f t="shared" si="17"/>
        <v>39.448447824902246</v>
      </c>
      <c r="Y56" s="337">
        <f t="shared" si="18"/>
        <v>-88.667874249516345</v>
      </c>
      <c r="AA56" s="336">
        <f t="shared" si="19"/>
        <v>15.581443852128196</v>
      </c>
      <c r="AB56" s="337">
        <f t="shared" si="20"/>
        <v>-0.69429010359476095</v>
      </c>
      <c r="AD56">
        <f t="shared" si="25"/>
        <v>0</v>
      </c>
      <c r="AE56">
        <f t="shared" si="26"/>
        <v>0</v>
      </c>
    </row>
    <row r="57" spans="1:31" x14ac:dyDescent="0.25">
      <c r="A57" s="338">
        <v>57.544000000000004</v>
      </c>
      <c r="B57" s="355">
        <f t="shared" si="22"/>
        <v>5.7544000000000005E-2</v>
      </c>
      <c r="C57" s="328">
        <f t="shared" si="0"/>
        <v>1.000083385253246</v>
      </c>
      <c r="D57" s="329">
        <f t="shared" si="1"/>
        <v>1.2913516903447114E-2</v>
      </c>
      <c r="E57" s="329">
        <f t="shared" si="2"/>
        <v>1.0000000002847198</v>
      </c>
      <c r="F57" s="330">
        <f t="shared" si="3"/>
        <v>2.3862934579081702E-5</v>
      </c>
      <c r="G57" s="329">
        <f t="shared" si="4"/>
        <v>1</v>
      </c>
      <c r="H57" s="330">
        <f t="shared" si="5"/>
        <v>0</v>
      </c>
      <c r="I57" s="328">
        <f t="shared" si="6"/>
        <v>125.77060423463065</v>
      </c>
      <c r="J57" s="331">
        <f t="shared" si="7"/>
        <v>1.5628452595105999</v>
      </c>
      <c r="K57" s="339">
        <f t="shared" si="8"/>
        <v>1.0001311242084312</v>
      </c>
      <c r="L57" s="340">
        <f t="shared" si="9"/>
        <v>1.6193201170192097E-2</v>
      </c>
      <c r="M57" s="328">
        <f t="shared" si="10"/>
        <v>1.0000000337001294</v>
      </c>
      <c r="N57" s="331">
        <f t="shared" si="11"/>
        <v>2.596155940860734E-4</v>
      </c>
      <c r="O57" s="332">
        <f t="shared" si="12"/>
        <v>1.0000000103490816</v>
      </c>
      <c r="P57" s="333">
        <f t="shared" si="13"/>
        <v>3.9689952812411614E-4</v>
      </c>
      <c r="Q57" s="334">
        <f t="shared" si="14"/>
        <v>54.230057967232462</v>
      </c>
      <c r="R57" s="335">
        <f t="shared" si="15"/>
        <v>-89.392773737762425</v>
      </c>
      <c r="S57" s="337">
        <f t="shared" si="16"/>
        <v>90.607226262237575</v>
      </c>
      <c r="U57" s="310">
        <f t="shared" si="23"/>
        <v>1000000000</v>
      </c>
      <c r="V57" s="310">
        <f t="shared" si="24"/>
        <v>3311.3119360000005</v>
      </c>
      <c r="X57" s="336">
        <f t="shared" si="17"/>
        <v>38.648735959894147</v>
      </c>
      <c r="Y57" s="337">
        <f t="shared" si="18"/>
        <v>-88.631510297240112</v>
      </c>
      <c r="AA57" s="336">
        <f t="shared" si="19"/>
        <v>15.581322007338319</v>
      </c>
      <c r="AB57" s="337">
        <f t="shared" si="20"/>
        <v>-0.76126344052230532</v>
      </c>
      <c r="AD57">
        <f t="shared" si="25"/>
        <v>0</v>
      </c>
      <c r="AE57">
        <f t="shared" si="26"/>
        <v>0</v>
      </c>
    </row>
    <row r="58" spans="1:31" x14ac:dyDescent="0.25">
      <c r="A58" s="338">
        <v>63.095999999999997</v>
      </c>
      <c r="B58" s="355">
        <f t="shared" si="22"/>
        <v>6.3095999999999999E-2</v>
      </c>
      <c r="C58" s="328">
        <f t="shared" si="0"/>
        <v>1.0001002511009991</v>
      </c>
      <c r="D58" s="329">
        <f t="shared" si="1"/>
        <v>1.4159288575315666E-2</v>
      </c>
      <c r="E58" s="329">
        <f t="shared" si="2"/>
        <v>1.0000000003423113</v>
      </c>
      <c r="F58" s="330">
        <f t="shared" si="3"/>
        <v>2.6165294733489684E-5</v>
      </c>
      <c r="G58" s="329">
        <f t="shared" si="4"/>
        <v>1</v>
      </c>
      <c r="H58" s="330">
        <f t="shared" si="5"/>
        <v>0</v>
      </c>
      <c r="I58" s="328">
        <f t="shared" si="6"/>
        <v>137.90455726033557</v>
      </c>
      <c r="J58" s="331">
        <f t="shared" si="7"/>
        <v>1.563544871267575</v>
      </c>
      <c r="K58" s="339">
        <f t="shared" si="8"/>
        <v>1.0001576451746428</v>
      </c>
      <c r="L58" s="340">
        <f t="shared" si="9"/>
        <v>1.7755250909371877E-2</v>
      </c>
      <c r="M58" s="328">
        <f t="shared" si="10"/>
        <v>1.000000040516799</v>
      </c>
      <c r="N58" s="331">
        <f t="shared" si="11"/>
        <v>2.8466400406669068E-4</v>
      </c>
      <c r="O58" s="332">
        <f t="shared" si="12"/>
        <v>1.0000000124424353</v>
      </c>
      <c r="P58" s="333">
        <f t="shared" si="13"/>
        <v>4.3519346425500749E-4</v>
      </c>
      <c r="Q58" s="334">
        <f t="shared" si="14"/>
        <v>53.430152315184749</v>
      </c>
      <c r="R58" s="335">
        <f t="shared" si="15"/>
        <v>-89.418234473931321</v>
      </c>
      <c r="S58" s="337">
        <f t="shared" si="16"/>
        <v>90.581765526068679</v>
      </c>
      <c r="U58" s="310">
        <f t="shared" si="23"/>
        <v>1000000000</v>
      </c>
      <c r="V58" s="310">
        <f t="shared" si="24"/>
        <v>3981.1052159999995</v>
      </c>
      <c r="X58" s="336">
        <f t="shared" si="17"/>
        <v>37.848976806971415</v>
      </c>
      <c r="Y58" s="337">
        <f t="shared" si="18"/>
        <v>-88.583531408888589</v>
      </c>
      <c r="AA58" s="336">
        <f t="shared" si="19"/>
        <v>15.581175508213329</v>
      </c>
      <c r="AB58" s="337">
        <f t="shared" si="20"/>
        <v>-0.83470306504272374</v>
      </c>
      <c r="AD58">
        <f t="shared" si="25"/>
        <v>0</v>
      </c>
      <c r="AE58">
        <f t="shared" si="26"/>
        <v>0</v>
      </c>
    </row>
    <row r="59" spans="1:31" x14ac:dyDescent="0.25">
      <c r="A59" s="338">
        <v>69.183000000000007</v>
      </c>
      <c r="B59" s="355">
        <f t="shared" si="22"/>
        <v>6.9183000000000008E-2</v>
      </c>
      <c r="C59" s="328">
        <f t="shared" si="0"/>
        <v>1.0001205257586849</v>
      </c>
      <c r="D59" s="329">
        <f t="shared" si="1"/>
        <v>1.5525054238091527E-2</v>
      </c>
      <c r="E59" s="329">
        <f t="shared" si="2"/>
        <v>1.0000000004115441</v>
      </c>
      <c r="F59" s="330">
        <f t="shared" si="3"/>
        <v>2.8689514160382069E-5</v>
      </c>
      <c r="G59" s="329">
        <f t="shared" si="4"/>
        <v>1</v>
      </c>
      <c r="H59" s="330">
        <f t="shared" si="5"/>
        <v>0</v>
      </c>
      <c r="I59" s="328">
        <f t="shared" si="6"/>
        <v>151.207822800164</v>
      </c>
      <c r="J59" s="331">
        <f t="shared" si="7"/>
        <v>1.564182864136904</v>
      </c>
      <c r="K59" s="339">
        <f t="shared" si="8"/>
        <v>1.0001895260385445</v>
      </c>
      <c r="L59" s="340">
        <f t="shared" si="9"/>
        <v>1.9467722514564967E-2</v>
      </c>
      <c r="M59" s="328">
        <f t="shared" si="10"/>
        <v>1.0000000487113594</v>
      </c>
      <c r="N59" s="331">
        <f t="shared" si="11"/>
        <v>3.1212612028903971E-4</v>
      </c>
      <c r="O59" s="332">
        <f t="shared" si="12"/>
        <v>1.0000000149589303</v>
      </c>
      <c r="P59" s="333">
        <f t="shared" si="13"/>
        <v>4.7717746852418436E-4</v>
      </c>
      <c r="Q59" s="334">
        <f t="shared" si="14"/>
        <v>52.630340167628624</v>
      </c>
      <c r="R59" s="335">
        <f t="shared" si="15"/>
        <v>-89.438758327982143</v>
      </c>
      <c r="S59" s="337">
        <f t="shared" si="16"/>
        <v>90.561241672017857</v>
      </c>
      <c r="U59" s="310">
        <f t="shared" si="23"/>
        <v>1000000000</v>
      </c>
      <c r="V59" s="310">
        <f t="shared" si="24"/>
        <v>4786.2874890000012</v>
      </c>
      <c r="X59" s="336">
        <f t="shared" si="17"/>
        <v>37.049340764673417</v>
      </c>
      <c r="Y59" s="337">
        <f t="shared" si="18"/>
        <v>-88.523541775434509</v>
      </c>
      <c r="AA59" s="336">
        <f t="shared" si="19"/>
        <v>15.580999402955204</v>
      </c>
      <c r="AB59" s="337">
        <f t="shared" si="20"/>
        <v>-0.91521655254762546</v>
      </c>
      <c r="AD59">
        <f t="shared" si="25"/>
        <v>0</v>
      </c>
      <c r="AE59">
        <f t="shared" si="26"/>
        <v>0</v>
      </c>
    </row>
    <row r="60" spans="1:31" x14ac:dyDescent="0.25">
      <c r="A60" s="338">
        <v>75.858000000000004</v>
      </c>
      <c r="B60" s="355">
        <f t="shared" si="22"/>
        <v>7.5858000000000009E-2</v>
      </c>
      <c r="C60" s="328">
        <f t="shared" si="0"/>
        <v>1.0001449034001877</v>
      </c>
      <c r="D60" s="329">
        <f t="shared" si="1"/>
        <v>1.7022685149810556E-2</v>
      </c>
      <c r="E60" s="329">
        <f t="shared" si="2"/>
        <v>1.0000000004947893</v>
      </c>
      <c r="F60" s="330">
        <f t="shared" si="3"/>
        <v>3.1457571441791822E-5</v>
      </c>
      <c r="G60" s="329">
        <f t="shared" si="4"/>
        <v>1</v>
      </c>
      <c r="H60" s="330">
        <f t="shared" si="5"/>
        <v>0</v>
      </c>
      <c r="I60" s="328">
        <f t="shared" si="6"/>
        <v>165.79623346152866</v>
      </c>
      <c r="J60" s="331">
        <f t="shared" si="7"/>
        <v>1.5647647901164901</v>
      </c>
      <c r="K60" s="339">
        <f t="shared" si="8"/>
        <v>1.0002278581452353</v>
      </c>
      <c r="L60" s="340">
        <f t="shared" si="9"/>
        <v>2.1345486058382889E-2</v>
      </c>
      <c r="M60" s="328">
        <f t="shared" si="10"/>
        <v>1.0000000585644735</v>
      </c>
      <c r="N60" s="331">
        <f t="shared" si="11"/>
        <v>3.4224105744700469E-4</v>
      </c>
      <c r="O60" s="332">
        <f t="shared" si="12"/>
        <v>1.0000000179847566</v>
      </c>
      <c r="P60" s="333">
        <f t="shared" si="13"/>
        <v>5.2321709922443583E-4</v>
      </c>
      <c r="Q60" s="334">
        <f t="shared" si="14"/>
        <v>51.830453223580726</v>
      </c>
      <c r="R60" s="335">
        <f t="shared" si="15"/>
        <v>-89.454524972474218</v>
      </c>
      <c r="S60" s="337">
        <f t="shared" si="16"/>
        <v>90.545475027525782</v>
      </c>
      <c r="U60" s="310">
        <f t="shared" si="23"/>
        <v>1000000000</v>
      </c>
      <c r="V60" s="310">
        <f t="shared" si="24"/>
        <v>5754.4361640000006</v>
      </c>
      <c r="X60" s="336">
        <f t="shared" si="17"/>
        <v>36.249665559590746</v>
      </c>
      <c r="Y60" s="337">
        <f t="shared" si="18"/>
        <v>-88.451021210786109</v>
      </c>
      <c r="AA60" s="336">
        <f t="shared" si="19"/>
        <v>15.580787663989986</v>
      </c>
      <c r="AB60" s="337">
        <f t="shared" si="20"/>
        <v>-1.0035037616881284</v>
      </c>
      <c r="AD60">
        <f t="shared" si="25"/>
        <v>0</v>
      </c>
      <c r="AE60">
        <f t="shared" si="26"/>
        <v>0</v>
      </c>
    </row>
    <row r="61" spans="1:31" x14ac:dyDescent="0.25">
      <c r="A61" s="338">
        <v>83.176000000000002</v>
      </c>
      <c r="B61" s="355">
        <f t="shared" si="22"/>
        <v>8.3176E-2</v>
      </c>
      <c r="C61" s="328">
        <f t="shared" si="0"/>
        <v>1.0001742069587343</v>
      </c>
      <c r="D61" s="329">
        <f t="shared" si="1"/>
        <v>1.8664494230457841E-2</v>
      </c>
      <c r="E61" s="329">
        <f t="shared" si="2"/>
        <v>1.0000000005948584</v>
      </c>
      <c r="F61" s="330">
        <f t="shared" si="3"/>
        <v>3.4492274540166121E-5</v>
      </c>
      <c r="G61" s="329">
        <f t="shared" si="4"/>
        <v>1</v>
      </c>
      <c r="H61" s="330">
        <f t="shared" si="5"/>
        <v>0</v>
      </c>
      <c r="I61" s="328">
        <f t="shared" si="6"/>
        <v>181.78999337596204</v>
      </c>
      <c r="J61" s="331">
        <f t="shared" si="7"/>
        <v>1.5652954462198538</v>
      </c>
      <c r="K61" s="339">
        <f t="shared" si="8"/>
        <v>1.0002739351983116</v>
      </c>
      <c r="L61" s="340">
        <f t="shared" si="9"/>
        <v>2.3403960313668478E-2</v>
      </c>
      <c r="M61" s="328">
        <f t="shared" si="10"/>
        <v>1.0000000704088947</v>
      </c>
      <c r="N61" s="331">
        <f t="shared" si="11"/>
        <v>3.7525695337913782E-4</v>
      </c>
      <c r="O61" s="332">
        <f t="shared" si="12"/>
        <v>1.0000000216221006</v>
      </c>
      <c r="P61" s="333">
        <f t="shared" si="13"/>
        <v>5.7369170935666442E-4</v>
      </c>
      <c r="Q61" s="334">
        <f t="shared" si="14"/>
        <v>51.030692448091713</v>
      </c>
      <c r="R61" s="335">
        <f t="shared" si="15"/>
        <v>-89.465665949552999</v>
      </c>
      <c r="S61" s="337">
        <f t="shared" si="16"/>
        <v>90.534334050447001</v>
      </c>
      <c r="U61" s="310">
        <f t="shared" si="23"/>
        <v>1000000000</v>
      </c>
      <c r="V61" s="310">
        <f t="shared" si="24"/>
        <v>6918.2469760000004</v>
      </c>
      <c r="X61" s="336">
        <f t="shared" si="17"/>
        <v>35.450159301696971</v>
      </c>
      <c r="Y61" s="337">
        <f t="shared" si="18"/>
        <v>-88.365375350213398</v>
      </c>
      <c r="AA61" s="336">
        <f t="shared" si="19"/>
        <v>15.580533146394748</v>
      </c>
      <c r="AB61" s="337">
        <f t="shared" si="20"/>
        <v>-1.1002905993395995</v>
      </c>
      <c r="AD61">
        <f t="shared" si="25"/>
        <v>0</v>
      </c>
      <c r="AE61">
        <f t="shared" si="26"/>
        <v>0</v>
      </c>
    </row>
    <row r="62" spans="1:31" x14ac:dyDescent="0.25">
      <c r="A62" s="338">
        <v>91.201000000000008</v>
      </c>
      <c r="B62" s="355">
        <f t="shared" si="22"/>
        <v>9.1201000000000004E-2</v>
      </c>
      <c r="C62" s="328">
        <f t="shared" si="0"/>
        <v>1.0002094406550504</v>
      </c>
      <c r="D62" s="329">
        <f t="shared" si="1"/>
        <v>2.046480427916831E-2</v>
      </c>
      <c r="E62" s="329">
        <f t="shared" si="2"/>
        <v>1.0000000007151824</v>
      </c>
      <c r="F62" s="330">
        <f t="shared" si="3"/>
        <v>3.7820163629957593E-5</v>
      </c>
      <c r="G62" s="329">
        <f t="shared" si="4"/>
        <v>1</v>
      </c>
      <c r="H62" s="330">
        <f t="shared" si="5"/>
        <v>0</v>
      </c>
      <c r="I62" s="328">
        <f t="shared" si="6"/>
        <v>199.32897691242727</v>
      </c>
      <c r="J62" s="331">
        <f t="shared" si="7"/>
        <v>1.5657794736995529</v>
      </c>
      <c r="K62" s="339">
        <f t="shared" si="8"/>
        <v>1.0003293358050591</v>
      </c>
      <c r="L62" s="340">
        <f t="shared" si="9"/>
        <v>2.5661077350442513E-2</v>
      </c>
      <c r="M62" s="328">
        <f t="shared" si="10"/>
        <v>1.0000000846507211</v>
      </c>
      <c r="N62" s="331">
        <f t="shared" si="11"/>
        <v>4.1146255025717834E-4</v>
      </c>
      <c r="O62" s="332">
        <f t="shared" si="12"/>
        <v>1.0000000259956727</v>
      </c>
      <c r="P62" s="333">
        <f t="shared" si="13"/>
        <v>6.2904272791109459E-4</v>
      </c>
      <c r="Q62" s="334">
        <f t="shared" si="14"/>
        <v>50.230858091390601</v>
      </c>
      <c r="R62" s="335">
        <f t="shared" si="15"/>
        <v>-89.472280702498807</v>
      </c>
      <c r="S62" s="337">
        <f t="shared" si="16"/>
        <v>90.527719297501193</v>
      </c>
      <c r="U62" s="310">
        <f t="shared" si="23"/>
        <v>1000000000</v>
      </c>
      <c r="V62" s="310">
        <f t="shared" si="24"/>
        <v>8317.6224010000005</v>
      </c>
      <c r="X62" s="336">
        <f t="shared" si="17"/>
        <v>34.650630959243131</v>
      </c>
      <c r="Y62" s="337">
        <f t="shared" si="18"/>
        <v>-88.265859229676437</v>
      </c>
      <c r="AA62" s="336">
        <f t="shared" si="19"/>
        <v>15.580227132147462</v>
      </c>
      <c r="AB62" s="337">
        <f t="shared" si="20"/>
        <v>-1.2064214728223597</v>
      </c>
      <c r="AD62">
        <f t="shared" si="25"/>
        <v>0</v>
      </c>
      <c r="AE62">
        <f t="shared" si="26"/>
        <v>0</v>
      </c>
    </row>
    <row r="63" spans="1:31" x14ac:dyDescent="0.25">
      <c r="A63" s="338">
        <v>100</v>
      </c>
      <c r="B63" s="355">
        <f t="shared" si="22"/>
        <v>0.1</v>
      </c>
      <c r="C63" s="328">
        <f t="shared" si="0"/>
        <v>1.0002517981820016</v>
      </c>
      <c r="D63" s="329">
        <f t="shared" si="1"/>
        <v>2.2438598801227925E-2</v>
      </c>
      <c r="E63" s="329">
        <f t="shared" si="2"/>
        <v>1.00000000085984</v>
      </c>
      <c r="F63" s="330">
        <f t="shared" si="3"/>
        <v>4.1469022956228856E-5</v>
      </c>
      <c r="G63" s="329">
        <f t="shared" si="4"/>
        <v>1</v>
      </c>
      <c r="H63" s="330">
        <f t="shared" si="5"/>
        <v>0</v>
      </c>
      <c r="I63" s="328">
        <f t="shared" si="6"/>
        <v>218.55961546659302</v>
      </c>
      <c r="J63" s="331">
        <f t="shared" si="7"/>
        <v>1.566220900145459</v>
      </c>
      <c r="K63" s="339">
        <f t="shared" si="8"/>
        <v>1.0003959362716814</v>
      </c>
      <c r="L63" s="340">
        <f t="shared" si="9"/>
        <v>2.8135588775134997E-2</v>
      </c>
      <c r="M63" s="328">
        <f t="shared" si="10"/>
        <v>1.0000001017727378</v>
      </c>
      <c r="N63" s="331">
        <f t="shared" si="11"/>
        <v>4.511601249552814E-4</v>
      </c>
      <c r="O63" s="332">
        <f t="shared" si="12"/>
        <v>1.000000031253734</v>
      </c>
      <c r="P63" s="333">
        <f t="shared" si="13"/>
        <v>6.8973227595590567E-4</v>
      </c>
      <c r="Q63" s="334">
        <f t="shared" si="14"/>
        <v>49.431078740355609</v>
      </c>
      <c r="R63" s="335">
        <f t="shared" si="15"/>
        <v>-89.474426303776582</v>
      </c>
      <c r="S63" s="337">
        <f t="shared" si="16"/>
        <v>90.525573696223418</v>
      </c>
      <c r="U63" s="310">
        <f t="shared" si="23"/>
        <v>1000000000</v>
      </c>
      <c r="V63" s="310">
        <f t="shared" si="24"/>
        <v>10000</v>
      </c>
      <c r="X63" s="336">
        <f t="shared" si="17"/>
        <v>33.851219480598822</v>
      </c>
      <c r="Y63" s="337">
        <f t="shared" si="18"/>
        <v>-88.151646544357135</v>
      </c>
      <c r="AA63" s="336">
        <f t="shared" si="19"/>
        <v>15.57985925975678</v>
      </c>
      <c r="AB63" s="337">
        <f t="shared" si="20"/>
        <v>-1.3227797594194677</v>
      </c>
      <c r="AD63">
        <f t="shared" si="25"/>
        <v>0</v>
      </c>
      <c r="AE63">
        <f t="shared" si="26"/>
        <v>0</v>
      </c>
    </row>
    <row r="64" spans="1:31" x14ac:dyDescent="0.25">
      <c r="A64" s="338">
        <v>109.65</v>
      </c>
      <c r="B64" s="355">
        <f t="shared" si="22"/>
        <v>0.10965000000000001</v>
      </c>
      <c r="C64" s="328">
        <f t="shared" si="0"/>
        <v>1.000302732330012</v>
      </c>
      <c r="D64" s="329">
        <f t="shared" si="1"/>
        <v>2.4603088316300932E-2</v>
      </c>
      <c r="E64" s="329">
        <f t="shared" si="2"/>
        <v>1.0000000010337959</v>
      </c>
      <c r="F64" s="330">
        <f t="shared" si="3"/>
        <v>4.5470783666231663E-5</v>
      </c>
      <c r="G64" s="329">
        <f t="shared" si="4"/>
        <v>1</v>
      </c>
      <c r="H64" s="330">
        <f t="shared" si="5"/>
        <v>0</v>
      </c>
      <c r="I64" s="328">
        <f t="shared" si="6"/>
        <v>239.65019626042084</v>
      </c>
      <c r="J64" s="331">
        <f t="shared" si="7"/>
        <v>1.5666235661729617</v>
      </c>
      <c r="K64" s="339">
        <f t="shared" si="8"/>
        <v>1.0004760199727141</v>
      </c>
      <c r="L64" s="340">
        <f t="shared" si="9"/>
        <v>3.0849026571573717E-2</v>
      </c>
      <c r="M64" s="328">
        <f t="shared" si="10"/>
        <v>1.000000122362608</v>
      </c>
      <c r="N64" s="331">
        <f t="shared" si="11"/>
        <v>4.9469707022296763E-4</v>
      </c>
      <c r="O64" s="332">
        <f t="shared" si="12"/>
        <v>1.0000000375767524</v>
      </c>
      <c r="P64" s="333">
        <f t="shared" si="13"/>
        <v>7.5629144793529538E-4</v>
      </c>
      <c r="Q64" s="334">
        <f t="shared" si="14"/>
        <v>48.631174095676954</v>
      </c>
      <c r="R64" s="335">
        <f t="shared" si="15"/>
        <v>-89.472123706869681</v>
      </c>
      <c r="S64" s="337">
        <f t="shared" si="16"/>
        <v>90.527876293130319</v>
      </c>
      <c r="U64" s="310">
        <f t="shared" si="23"/>
        <v>1000000000</v>
      </c>
      <c r="V64" s="310">
        <f t="shared" si="24"/>
        <v>12023.122500000001</v>
      </c>
      <c r="X64" s="336">
        <f t="shared" si="17"/>
        <v>33.051757175088298</v>
      </c>
      <c r="Y64" s="337">
        <f t="shared" si="18"/>
        <v>-88.021743557647397</v>
      </c>
      <c r="AA64" s="336">
        <f t="shared" si="19"/>
        <v>15.579416920588658</v>
      </c>
      <c r="AB64" s="337">
        <f t="shared" si="20"/>
        <v>-1.4503801492222739</v>
      </c>
      <c r="AD64">
        <f t="shared" si="25"/>
        <v>0</v>
      </c>
      <c r="AE64">
        <f t="shared" si="26"/>
        <v>0</v>
      </c>
    </row>
    <row r="65" spans="1:31" x14ac:dyDescent="0.25">
      <c r="A65" s="338">
        <v>120.23</v>
      </c>
      <c r="B65" s="355">
        <f t="shared" si="22"/>
        <v>0.12023</v>
      </c>
      <c r="C65" s="328">
        <f t="shared" si="0"/>
        <v>1.0003639602313659</v>
      </c>
      <c r="D65" s="329">
        <f t="shared" si="1"/>
        <v>2.697591060302975E-2</v>
      </c>
      <c r="E65" s="329">
        <f t="shared" si="2"/>
        <v>1.0000000012429202</v>
      </c>
      <c r="F65" s="330">
        <f t="shared" si="3"/>
        <v>4.9858206287540817E-5</v>
      </c>
      <c r="G65" s="329">
        <f t="shared" si="4"/>
        <v>1</v>
      </c>
      <c r="H65" s="330">
        <f t="shared" si="5"/>
        <v>0</v>
      </c>
      <c r="I65" s="328">
        <f t="shared" si="6"/>
        <v>262.77337794011896</v>
      </c>
      <c r="J65" s="331">
        <f t="shared" si="7"/>
        <v>1.5669907570618822</v>
      </c>
      <c r="K65" s="339">
        <f t="shared" si="8"/>
        <v>1.0005722854429</v>
      </c>
      <c r="L65" s="340">
        <f t="shared" si="9"/>
        <v>3.3823443071141594E-2</v>
      </c>
      <c r="M65" s="328">
        <f t="shared" si="10"/>
        <v>1.000000147115063</v>
      </c>
      <c r="N65" s="331">
        <f t="shared" si="11"/>
        <v>5.4242980183705051E-4</v>
      </c>
      <c r="O65" s="332">
        <f t="shared" si="12"/>
        <v>1.0000000451780762</v>
      </c>
      <c r="P65" s="333">
        <f t="shared" si="13"/>
        <v>8.2926513312861277E-4</v>
      </c>
      <c r="Q65" s="334">
        <f t="shared" si="14"/>
        <v>47.8314063892497</v>
      </c>
      <c r="R65" s="335">
        <f t="shared" si="15"/>
        <v>-89.46535797314165</v>
      </c>
      <c r="S65" s="337">
        <f t="shared" si="16"/>
        <v>90.53464202685835</v>
      </c>
      <c r="U65" s="310">
        <f t="shared" si="23"/>
        <v>1000000000</v>
      </c>
      <c r="V65" s="310">
        <f t="shared" si="24"/>
        <v>14455.252900000001</v>
      </c>
      <c r="X65" s="336">
        <f t="shared" si="17"/>
        <v>32.252521174442222</v>
      </c>
      <c r="Y65" s="337">
        <f t="shared" si="18"/>
        <v>-87.875095417817448</v>
      </c>
      <c r="AA65" s="336">
        <f t="shared" si="19"/>
        <v>15.578885214807476</v>
      </c>
      <c r="AB65" s="337">
        <f t="shared" si="20"/>
        <v>-1.5902625553242069</v>
      </c>
      <c r="AD65">
        <f t="shared" si="25"/>
        <v>0</v>
      </c>
      <c r="AE65">
        <f t="shared" si="26"/>
        <v>0</v>
      </c>
    </row>
    <row r="66" spans="1:31" x14ac:dyDescent="0.25">
      <c r="A66" s="338">
        <v>131.83000000000001</v>
      </c>
      <c r="B66" s="355">
        <f t="shared" si="22"/>
        <v>0.13183</v>
      </c>
      <c r="C66" s="328">
        <f t="shared" si="0"/>
        <v>1.0004375631729321</v>
      </c>
      <c r="D66" s="329">
        <f t="shared" si="1"/>
        <v>2.9577142566804392E-2</v>
      </c>
      <c r="E66" s="329">
        <f t="shared" si="2"/>
        <v>1.0000000014943287</v>
      </c>
      <c r="F66" s="330">
        <f t="shared" si="3"/>
        <v>5.4668612940072096E-5</v>
      </c>
      <c r="G66" s="329">
        <f t="shared" si="4"/>
        <v>1</v>
      </c>
      <c r="H66" s="330">
        <f t="shared" si="5"/>
        <v>0</v>
      </c>
      <c r="I66" s="328">
        <f t="shared" si="6"/>
        <v>288.12586052983289</v>
      </c>
      <c r="J66" s="331">
        <f t="shared" si="7"/>
        <v>1.567325614357614</v>
      </c>
      <c r="K66" s="339">
        <f t="shared" si="8"/>
        <v>1.0006880030904957</v>
      </c>
      <c r="L66" s="340">
        <f t="shared" si="9"/>
        <v>3.7083928191712488E-2</v>
      </c>
      <c r="M66" s="328">
        <f t="shared" si="10"/>
        <v>1.0000001768723499</v>
      </c>
      <c r="N66" s="331">
        <f t="shared" si="11"/>
        <v>5.9476436295083455E-4</v>
      </c>
      <c r="O66" s="332">
        <f t="shared" si="12"/>
        <v>1.0000000543163563</v>
      </c>
      <c r="P66" s="333">
        <f t="shared" si="13"/>
        <v>9.0927409162235202E-4</v>
      </c>
      <c r="Q66" s="334">
        <f t="shared" si="14"/>
        <v>47.031753962720906</v>
      </c>
      <c r="R66" s="335">
        <f t="shared" si="15"/>
        <v>-89.454078568518739</v>
      </c>
      <c r="S66" s="337">
        <f t="shared" si="16"/>
        <v>90.545921431481261</v>
      </c>
      <c r="U66" s="310">
        <f t="shared" si="23"/>
        <v>1000000000</v>
      </c>
      <c r="V66" s="310">
        <f t="shared" si="24"/>
        <v>17379.148900000004</v>
      </c>
      <c r="X66" s="336">
        <f t="shared" si="17"/>
        <v>31.453507876024453</v>
      </c>
      <c r="Y66" s="337">
        <f t="shared" si="18"/>
        <v>-87.710467840314493</v>
      </c>
      <c r="AA66" s="336">
        <f t="shared" si="19"/>
        <v>15.578246086696462</v>
      </c>
      <c r="AB66" s="337">
        <f t="shared" si="20"/>
        <v>-1.7436107282042441</v>
      </c>
      <c r="AD66">
        <f t="shared" si="25"/>
        <v>0</v>
      </c>
      <c r="AE66">
        <f t="shared" si="26"/>
        <v>0</v>
      </c>
    </row>
    <row r="67" spans="1:31" x14ac:dyDescent="0.25">
      <c r="A67" s="338">
        <v>144.54</v>
      </c>
      <c r="B67" s="355">
        <f t="shared" si="22"/>
        <v>0.14454</v>
      </c>
      <c r="C67" s="328">
        <f t="shared" si="0"/>
        <v>1.0005259799199926</v>
      </c>
      <c r="D67" s="329">
        <f t="shared" si="1"/>
        <v>3.2426824626912709E-2</v>
      </c>
      <c r="E67" s="329">
        <f t="shared" si="2"/>
        <v>1.0000000017963613</v>
      </c>
      <c r="F67" s="330">
        <f t="shared" si="3"/>
        <v>5.9939325743510206E-5</v>
      </c>
      <c r="G67" s="329">
        <f t="shared" si="4"/>
        <v>1</v>
      </c>
      <c r="H67" s="330">
        <f t="shared" si="5"/>
        <v>0</v>
      </c>
      <c r="I67" s="328">
        <f t="shared" si="6"/>
        <v>315.90434429036463</v>
      </c>
      <c r="J67" s="331">
        <f t="shared" si="7"/>
        <v>1.5676308063195927</v>
      </c>
      <c r="K67" s="339">
        <f t="shared" si="8"/>
        <v>1.0008270043870269</v>
      </c>
      <c r="L67" s="340">
        <f t="shared" si="9"/>
        <v>4.0655500047960882E-2</v>
      </c>
      <c r="M67" s="328">
        <f t="shared" si="10"/>
        <v>1.0000002126216747</v>
      </c>
      <c r="N67" s="331">
        <f t="shared" si="11"/>
        <v>6.5210679642013747E-4</v>
      </c>
      <c r="O67" s="332">
        <f t="shared" si="12"/>
        <v>1.0000000652947596</v>
      </c>
      <c r="P67" s="333">
        <f t="shared" si="13"/>
        <v>9.9693908382498956E-4</v>
      </c>
      <c r="Q67" s="334">
        <f t="shared" si="14"/>
        <v>46.23272521704849</v>
      </c>
      <c r="R67" s="335">
        <f t="shared" si="15"/>
        <v>-89.438209865161298</v>
      </c>
      <c r="S67" s="337">
        <f t="shared" si="16"/>
        <v>90.561790134838702</v>
      </c>
      <c r="U67" s="310">
        <f t="shared" si="23"/>
        <v>1000000000</v>
      </c>
      <c r="V67" s="310">
        <f t="shared" si="24"/>
        <v>20891.811599999997</v>
      </c>
      <c r="X67" s="336">
        <f t="shared" si="17"/>
        <v>30.655246831381589</v>
      </c>
      <c r="Y67" s="337">
        <f t="shared" si="18"/>
        <v>-87.526603537301156</v>
      </c>
      <c r="AA67" s="336">
        <f t="shared" si="19"/>
        <v>15.5774783856669</v>
      </c>
      <c r="AB67" s="337">
        <f t="shared" si="20"/>
        <v>-1.9116063278601552</v>
      </c>
      <c r="AD67">
        <f t="shared" si="25"/>
        <v>0</v>
      </c>
      <c r="AE67">
        <f t="shared" si="26"/>
        <v>0</v>
      </c>
    </row>
    <row r="68" spans="1:31" x14ac:dyDescent="0.25">
      <c r="A68" s="338">
        <v>158.49</v>
      </c>
      <c r="B68" s="355">
        <f t="shared" si="22"/>
        <v>0.15849000000000002</v>
      </c>
      <c r="C68" s="328">
        <f t="shared" si="0"/>
        <v>1.0006323735525213</v>
      </c>
      <c r="D68" s="329">
        <f t="shared" si="1"/>
        <v>3.5553916389788179E-2</v>
      </c>
      <c r="E68" s="329">
        <f t="shared" si="2"/>
        <v>1.0000000021598388</v>
      </c>
      <c r="F68" s="330">
        <f t="shared" si="3"/>
        <v>6.5724254426366148E-5</v>
      </c>
      <c r="G68" s="329">
        <f t="shared" si="4"/>
        <v>1</v>
      </c>
      <c r="H68" s="330">
        <f t="shared" si="5"/>
        <v>0</v>
      </c>
      <c r="I68" s="328">
        <f t="shared" si="6"/>
        <v>346.39295220021904</v>
      </c>
      <c r="J68" s="331">
        <f t="shared" si="7"/>
        <v>1.5679094280208878</v>
      </c>
      <c r="K68" s="339">
        <f t="shared" si="8"/>
        <v>1.0009942581079907</v>
      </c>
      <c r="L68" s="340">
        <f t="shared" si="9"/>
        <v>4.4574320305090925E-2</v>
      </c>
      <c r="M68" s="328">
        <f t="shared" si="10"/>
        <v>1.0000002556437355</v>
      </c>
      <c r="N68" s="331">
        <f t="shared" si="11"/>
        <v>7.150436086919824E-4</v>
      </c>
      <c r="O68" s="332">
        <f t="shared" si="12"/>
        <v>1.0000000785065841</v>
      </c>
      <c r="P68" s="333">
        <f t="shared" si="13"/>
        <v>1.0931567635519383E-3</v>
      </c>
      <c r="Q68" s="334">
        <f t="shared" si="14"/>
        <v>45.432983592177258</v>
      </c>
      <c r="R68" s="335">
        <f t="shared" si="15"/>
        <v>-89.417598440145468</v>
      </c>
      <c r="S68" s="337">
        <f t="shared" si="16"/>
        <v>90.582401559854532</v>
      </c>
      <c r="U68" s="310">
        <f t="shared" si="23"/>
        <v>1000000000</v>
      </c>
      <c r="V68" s="310">
        <f t="shared" si="24"/>
        <v>25119.080100000003</v>
      </c>
      <c r="X68" s="336">
        <f t="shared" si="17"/>
        <v>29.85642890653995</v>
      </c>
      <c r="Y68" s="337">
        <f t="shared" si="18"/>
        <v>-87.321641536947183</v>
      </c>
      <c r="AA68" s="336">
        <f t="shared" si="19"/>
        <v>15.576554685637307</v>
      </c>
      <c r="AB68" s="337">
        <f t="shared" si="20"/>
        <v>-2.095956903198279</v>
      </c>
      <c r="AD68">
        <f t="shared" si="25"/>
        <v>0</v>
      </c>
      <c r="AE68">
        <f t="shared" si="26"/>
        <v>0</v>
      </c>
    </row>
    <row r="69" spans="1:31" x14ac:dyDescent="0.25">
      <c r="A69" s="338">
        <v>173.78</v>
      </c>
      <c r="B69" s="355">
        <f t="shared" si="22"/>
        <v>0.17377999999999999</v>
      </c>
      <c r="C69" s="328">
        <f t="shared" si="0"/>
        <v>1.0007602243929739</v>
      </c>
      <c r="D69" s="329">
        <f t="shared" si="1"/>
        <v>3.8980587158176365E-2</v>
      </c>
      <c r="E69" s="329">
        <f t="shared" si="2"/>
        <v>1.0000000025966727</v>
      </c>
      <c r="F69" s="330">
        <f t="shared" si="3"/>
        <v>7.2064868009891415E-5</v>
      </c>
      <c r="G69" s="329">
        <f t="shared" si="4"/>
        <v>1</v>
      </c>
      <c r="H69" s="330">
        <f t="shared" si="5"/>
        <v>0</v>
      </c>
      <c r="I69" s="328">
        <f t="shared" si="6"/>
        <v>379.81024061183905</v>
      </c>
      <c r="J69" s="331">
        <f t="shared" si="7"/>
        <v>1.568163430025848</v>
      </c>
      <c r="K69" s="339">
        <f t="shared" si="8"/>
        <v>1.0011952297092919</v>
      </c>
      <c r="L69" s="340">
        <f t="shared" si="9"/>
        <v>4.886799451280982E-2</v>
      </c>
      <c r="M69" s="328">
        <f t="shared" si="10"/>
        <v>1.0000003073484298</v>
      </c>
      <c r="N69" s="331">
        <f t="shared" si="11"/>
        <v>7.840259576961775E-4</v>
      </c>
      <c r="O69" s="332">
        <f t="shared" si="12"/>
        <v>1.0000000943848049</v>
      </c>
      <c r="P69" s="333">
        <f t="shared" si="13"/>
        <v>1.1986168654550525E-3</v>
      </c>
      <c r="Q69" s="334">
        <f t="shared" si="14"/>
        <v>44.633664530992789</v>
      </c>
      <c r="R69" s="335">
        <f t="shared" si="15"/>
        <v>-89.39210757089846</v>
      </c>
      <c r="S69" s="337">
        <f t="shared" si="16"/>
        <v>90.60789242910154</v>
      </c>
      <c r="U69" s="310">
        <f t="shared" si="23"/>
        <v>1000000000</v>
      </c>
      <c r="V69" s="310">
        <f t="shared" si="24"/>
        <v>30199.488400000002</v>
      </c>
      <c r="X69" s="336">
        <f t="shared" si="17"/>
        <v>29.05821970506868</v>
      </c>
      <c r="Y69" s="337">
        <f t="shared" si="18"/>
        <v>-87.094137766311661</v>
      </c>
      <c r="AA69" s="336">
        <f t="shared" si="19"/>
        <v>15.575444825924109</v>
      </c>
      <c r="AB69" s="337">
        <f t="shared" si="20"/>
        <v>-2.2979698045868151</v>
      </c>
      <c r="AD69">
        <f t="shared" si="25"/>
        <v>0</v>
      </c>
      <c r="AE69">
        <f t="shared" si="26"/>
        <v>0</v>
      </c>
    </row>
    <row r="70" spans="1:31" x14ac:dyDescent="0.25">
      <c r="A70" s="338">
        <v>190.55</v>
      </c>
      <c r="B70" s="355">
        <f t="shared" si="22"/>
        <v>0.19055000000000002</v>
      </c>
      <c r="C70" s="328">
        <f t="shared" si="0"/>
        <v>1.0009139590800333</v>
      </c>
      <c r="D70" s="329">
        <f t="shared" si="1"/>
        <v>4.2737887675900858E-2</v>
      </c>
      <c r="E70" s="329">
        <f t="shared" si="2"/>
        <v>1.0000000031220189</v>
      </c>
      <c r="F70" s="330">
        <f t="shared" si="3"/>
        <v>7.9019223123923672E-5</v>
      </c>
      <c r="G70" s="329">
        <f t="shared" si="4"/>
        <v>1</v>
      </c>
      <c r="H70" s="330">
        <f t="shared" si="5"/>
        <v>0</v>
      </c>
      <c r="I70" s="328">
        <f t="shared" si="6"/>
        <v>416.46218861716432</v>
      </c>
      <c r="J70" s="331">
        <f t="shared" si="7"/>
        <v>1.5683951461156473</v>
      </c>
      <c r="K70" s="339">
        <f t="shared" si="8"/>
        <v>1.0014368692915951</v>
      </c>
      <c r="L70" s="340">
        <f t="shared" si="9"/>
        <v>5.35751976951898E-2</v>
      </c>
      <c r="M70" s="328">
        <f t="shared" si="10"/>
        <v>1.0000003695296629</v>
      </c>
      <c r="N70" s="331">
        <f t="shared" si="11"/>
        <v>8.5968546464447731E-4</v>
      </c>
      <c r="O70" s="332">
        <f t="shared" si="12"/>
        <v>1.0000001134803276</v>
      </c>
      <c r="P70" s="333">
        <f t="shared" si="13"/>
        <v>1.3142850179278459E-3</v>
      </c>
      <c r="Q70" s="334">
        <f t="shared" si="14"/>
        <v>43.834247581636212</v>
      </c>
      <c r="R70" s="335">
        <f t="shared" si="15"/>
        <v>-89.361522323412999</v>
      </c>
      <c r="S70" s="337">
        <f t="shared" si="16"/>
        <v>90.638477676587001</v>
      </c>
      <c r="U70" s="310">
        <f t="shared" si="23"/>
        <v>1000000000</v>
      </c>
      <c r="V70" s="310">
        <f t="shared" si="24"/>
        <v>36309.302500000005</v>
      </c>
      <c r="X70" s="336">
        <f t="shared" si="17"/>
        <v>28.260137122686007</v>
      </c>
      <c r="Y70" s="337">
        <f t="shared" si="18"/>
        <v>-86.842046214781647</v>
      </c>
      <c r="AA70" s="336">
        <f t="shared" si="19"/>
        <v>15.574110458950203</v>
      </c>
      <c r="AB70" s="337">
        <f t="shared" si="20"/>
        <v>-2.5194761086313529</v>
      </c>
      <c r="AD70">
        <f t="shared" si="25"/>
        <v>0</v>
      </c>
      <c r="AE70">
        <f t="shared" si="26"/>
        <v>0</v>
      </c>
    </row>
    <row r="71" spans="1:31" x14ac:dyDescent="0.25">
      <c r="A71" s="338">
        <v>208.93</v>
      </c>
      <c r="B71" s="355">
        <f t="shared" si="22"/>
        <v>0.20893</v>
      </c>
      <c r="C71" s="328">
        <f t="shared" si="0"/>
        <v>1.001098677835313</v>
      </c>
      <c r="D71" s="329">
        <f t="shared" si="1"/>
        <v>4.6854516680263227E-2</v>
      </c>
      <c r="E71" s="329">
        <f t="shared" si="2"/>
        <v>1.0000000037533512</v>
      </c>
      <c r="F71" s="330">
        <f t="shared" si="3"/>
        <v>8.6641229495317362E-5</v>
      </c>
      <c r="G71" s="329">
        <f t="shared" si="4"/>
        <v>1</v>
      </c>
      <c r="H71" s="330">
        <f t="shared" si="5"/>
        <v>0</v>
      </c>
      <c r="I71" s="328">
        <f t="shared" si="6"/>
        <v>456.6329198393052</v>
      </c>
      <c r="J71" s="331">
        <f t="shared" si="7"/>
        <v>1.5686063821898035</v>
      </c>
      <c r="K71" s="339">
        <f t="shared" si="8"/>
        <v>1.0017271814893105</v>
      </c>
      <c r="L71" s="340">
        <f t="shared" si="9"/>
        <v>5.8731578976357272E-2</v>
      </c>
      <c r="M71" s="328">
        <f t="shared" si="10"/>
        <v>1.0000004442556829</v>
      </c>
      <c r="N71" s="331">
        <f t="shared" si="11"/>
        <v>9.4260863385083418E-4</v>
      </c>
      <c r="O71" s="332">
        <f t="shared" si="12"/>
        <v>1.0000001364283089</v>
      </c>
      <c r="P71" s="333">
        <f t="shared" si="13"/>
        <v>1.4410578770944395E-3</v>
      </c>
      <c r="Q71" s="334">
        <f t="shared" si="14"/>
        <v>43.035328730444562</v>
      </c>
      <c r="R71" s="335">
        <f t="shared" si="15"/>
        <v>-89.325629830311911</v>
      </c>
      <c r="S71" s="337">
        <f t="shared" si="16"/>
        <v>90.674370169688089</v>
      </c>
      <c r="U71" s="310">
        <f t="shared" si="23"/>
        <v>1000000000</v>
      </c>
      <c r="V71" s="310">
        <f t="shared" si="24"/>
        <v>43651.744900000005</v>
      </c>
      <c r="X71" s="336">
        <f t="shared" si="17"/>
        <v>27.462821299100071</v>
      </c>
      <c r="Y71" s="337">
        <f t="shared" si="18"/>
        <v>-86.563461412641601</v>
      </c>
      <c r="AA71" s="336">
        <f t="shared" si="19"/>
        <v>15.572507431344489</v>
      </c>
      <c r="AB71" s="337">
        <f t="shared" si="20"/>
        <v>-2.7621684176703245</v>
      </c>
      <c r="AD71">
        <f t="shared" si="25"/>
        <v>0</v>
      </c>
      <c r="AE71">
        <f t="shared" si="26"/>
        <v>0</v>
      </c>
    </row>
    <row r="72" spans="1:31" x14ac:dyDescent="0.25">
      <c r="A72" s="338">
        <v>229.09</v>
      </c>
      <c r="B72" s="355">
        <f t="shared" si="22"/>
        <v>0.22909000000000002</v>
      </c>
      <c r="C72" s="328">
        <f t="shared" si="0"/>
        <v>1.0013207870977807</v>
      </c>
      <c r="D72" s="329">
        <f t="shared" si="1"/>
        <v>5.1367986182600751E-2</v>
      </c>
      <c r="E72" s="329">
        <f t="shared" si="2"/>
        <v>1.0000000045126316</v>
      </c>
      <c r="F72" s="330">
        <f t="shared" si="3"/>
        <v>9.5001384459077849E-5</v>
      </c>
      <c r="G72" s="329">
        <f t="shared" si="4"/>
        <v>1</v>
      </c>
      <c r="H72" s="330">
        <f t="shared" si="5"/>
        <v>0</v>
      </c>
      <c r="I72" s="328">
        <f t="shared" si="6"/>
        <v>500.69398075577743</v>
      </c>
      <c r="J72" s="331">
        <f t="shared" si="7"/>
        <v>1.5687990975425865</v>
      </c>
      <c r="K72" s="339">
        <f t="shared" si="8"/>
        <v>1.0020762178023825</v>
      </c>
      <c r="L72" s="340">
        <f t="shared" si="9"/>
        <v>6.4383723434516912E-2</v>
      </c>
      <c r="M72" s="328">
        <f t="shared" si="10"/>
        <v>1.0000005341258886</v>
      </c>
      <c r="N72" s="331">
        <f t="shared" si="11"/>
        <v>1.0335624323507646E-3</v>
      </c>
      <c r="O72" s="332">
        <f t="shared" si="12"/>
        <v>1.0000001640270246</v>
      </c>
      <c r="P72" s="333">
        <f t="shared" si="13"/>
        <v>1.580107993427136E-3</v>
      </c>
      <c r="Q72" s="334">
        <f t="shared" si="14"/>
        <v>42.236323712869762</v>
      </c>
      <c r="R72" s="335">
        <f t="shared" si="15"/>
        <v>-89.284129589416395</v>
      </c>
      <c r="S72" s="337">
        <f t="shared" si="16"/>
        <v>90.715870410583605</v>
      </c>
      <c r="U72" s="310">
        <f t="shared" si="23"/>
        <v>1000000000</v>
      </c>
      <c r="V72" s="310">
        <f t="shared" si="24"/>
        <v>52482.2281</v>
      </c>
      <c r="X72" s="336">
        <f t="shared" si="17"/>
        <v>26.665743400182929</v>
      </c>
      <c r="Y72" s="337">
        <f t="shared" si="18"/>
        <v>-86.255870434785891</v>
      </c>
      <c r="AA72" s="336">
        <f t="shared" si="19"/>
        <v>15.570580312686843</v>
      </c>
      <c r="AB72" s="337">
        <f t="shared" si="20"/>
        <v>-3.0282591546304976</v>
      </c>
      <c r="AD72">
        <f t="shared" si="25"/>
        <v>0</v>
      </c>
      <c r="AE72">
        <f t="shared" si="26"/>
        <v>0</v>
      </c>
    </row>
    <row r="73" spans="1:31" x14ac:dyDescent="0.25">
      <c r="A73" s="338">
        <v>251.19</v>
      </c>
      <c r="B73" s="355">
        <f t="shared" si="22"/>
        <v>0.25119000000000002</v>
      </c>
      <c r="C73" s="328">
        <f t="shared" si="0"/>
        <v>1.0015876959202836</v>
      </c>
      <c r="D73" s="329">
        <f t="shared" si="1"/>
        <v>5.6313375210028264E-2</v>
      </c>
      <c r="E73" s="329">
        <f t="shared" si="2"/>
        <v>1.0000000054252818</v>
      </c>
      <c r="F73" s="330">
        <f t="shared" si="3"/>
        <v>1.0416603844670859E-4</v>
      </c>
      <c r="G73" s="329">
        <f t="shared" si="4"/>
        <v>1</v>
      </c>
      <c r="H73" s="330">
        <f t="shared" si="5"/>
        <v>0</v>
      </c>
      <c r="I73" s="328">
        <f t="shared" si="6"/>
        <v>548.99506232916872</v>
      </c>
      <c r="J73" s="331">
        <f t="shared" si="7"/>
        <v>1.5689748157803143</v>
      </c>
      <c r="K73" s="339">
        <f t="shared" si="8"/>
        <v>1.0024955965408224</v>
      </c>
      <c r="L73" s="340">
        <f t="shared" si="9"/>
        <v>7.057503195351808E-2</v>
      </c>
      <c r="M73" s="328">
        <f t="shared" si="10"/>
        <v>1.0000006421493277</v>
      </c>
      <c r="N73" s="331">
        <f t="shared" si="11"/>
        <v>1.1332687096139553E-3</v>
      </c>
      <c r="O73" s="332">
        <f t="shared" si="12"/>
        <v>1.0000001972005592</v>
      </c>
      <c r="P73" s="333">
        <f t="shared" si="13"/>
        <v>1.732538945851878E-3</v>
      </c>
      <c r="Q73" s="334">
        <f t="shared" si="14"/>
        <v>41.437720530217561</v>
      </c>
      <c r="R73" s="335">
        <f t="shared" si="15"/>
        <v>-89.23673287741228</v>
      </c>
      <c r="S73" s="337">
        <f t="shared" si="16"/>
        <v>90.76326712258772</v>
      </c>
      <c r="U73" s="310">
        <f t="shared" si="23"/>
        <v>1000000000</v>
      </c>
      <c r="V73" s="310">
        <f t="shared" si="24"/>
        <v>63096.416100000002</v>
      </c>
      <c r="X73" s="336">
        <f t="shared" si="17"/>
        <v>25.869455471803189</v>
      </c>
      <c r="Y73" s="337">
        <f t="shared" si="18"/>
        <v>-85.916915248879832</v>
      </c>
      <c r="AA73" s="336">
        <f t="shared" si="19"/>
        <v>15.568265058414372</v>
      </c>
      <c r="AB73" s="337">
        <f t="shared" si="20"/>
        <v>-3.319817628532463</v>
      </c>
      <c r="AD73">
        <f t="shared" si="25"/>
        <v>0</v>
      </c>
      <c r="AE73">
        <f t="shared" si="26"/>
        <v>0</v>
      </c>
    </row>
    <row r="74" spans="1:31" x14ac:dyDescent="0.25">
      <c r="A74" s="338">
        <v>275.42</v>
      </c>
      <c r="B74" s="355">
        <f t="shared" si="22"/>
        <v>0.27542</v>
      </c>
      <c r="C74" s="328">
        <f t="shared" si="0"/>
        <v>1.0019084640864213</v>
      </c>
      <c r="D74" s="329">
        <f t="shared" si="1"/>
        <v>6.1732225380840035E-2</v>
      </c>
      <c r="E74" s="329">
        <f t="shared" si="2"/>
        <v>1.0000000065224168</v>
      </c>
      <c r="F74" s="330">
        <f t="shared" si="3"/>
        <v>1.1421398259488187E-4</v>
      </c>
      <c r="G74" s="329">
        <f t="shared" si="4"/>
        <v>1</v>
      </c>
      <c r="H74" s="330">
        <f t="shared" si="5"/>
        <v>0</v>
      </c>
      <c r="I74" s="328">
        <f t="shared" si="6"/>
        <v>601.95142271944292</v>
      </c>
      <c r="J74" s="331">
        <f t="shared" si="7"/>
        <v>1.569135062410058</v>
      </c>
      <c r="K74" s="339">
        <f t="shared" si="8"/>
        <v>1.0029995171967663</v>
      </c>
      <c r="L74" s="340">
        <f t="shared" si="9"/>
        <v>7.7356819367681212E-2</v>
      </c>
      <c r="M74" s="328">
        <f t="shared" si="10"/>
        <v>1.0000007720088164</v>
      </c>
      <c r="N74" s="331">
        <f t="shared" si="11"/>
        <v>1.2425846609351763E-3</v>
      </c>
      <c r="O74" s="332">
        <f t="shared" si="12"/>
        <v>1.0000002370799177</v>
      </c>
      <c r="P74" s="333">
        <f t="shared" si="13"/>
        <v>1.8996612353719636E-3</v>
      </c>
      <c r="Q74" s="334">
        <f t="shared" si="14"/>
        <v>40.639442639916268</v>
      </c>
      <c r="R74" s="335">
        <f t="shared" si="15"/>
        <v>-89.18308682083503</v>
      </c>
      <c r="S74" s="337">
        <f t="shared" si="16"/>
        <v>90.81691317916497</v>
      </c>
      <c r="U74" s="310">
        <f t="shared" si="23"/>
        <v>1000000000</v>
      </c>
      <c r="V74" s="310">
        <f t="shared" si="24"/>
        <v>75856.176400000011</v>
      </c>
      <c r="X74" s="336">
        <f t="shared" si="17"/>
        <v>25.073959213348065</v>
      </c>
      <c r="Y74" s="337">
        <f t="shared" si="18"/>
        <v>-85.543792250276653</v>
      </c>
      <c r="AA74" s="336">
        <f t="shared" si="19"/>
        <v>15.565483426568203</v>
      </c>
      <c r="AB74" s="337">
        <f t="shared" si="20"/>
        <v>-3.639294570558369</v>
      </c>
      <c r="AD74">
        <f t="shared" si="25"/>
        <v>0</v>
      </c>
      <c r="AE74">
        <f t="shared" si="26"/>
        <v>0</v>
      </c>
    </row>
    <row r="75" spans="1:31" x14ac:dyDescent="0.25">
      <c r="A75" s="338">
        <v>302</v>
      </c>
      <c r="B75" s="355">
        <f t="shared" si="22"/>
        <v>0.30199999999999999</v>
      </c>
      <c r="C75" s="328">
        <f t="shared" si="0"/>
        <v>1.0022941576866609</v>
      </c>
      <c r="D75" s="329">
        <f t="shared" si="1"/>
        <v>6.7672450666849154E-2</v>
      </c>
      <c r="E75" s="329">
        <f t="shared" si="2"/>
        <v>1.0000000078420841</v>
      </c>
      <c r="F75" s="330">
        <f t="shared" si="3"/>
        <v>1.2523644874485682E-4</v>
      </c>
      <c r="G75" s="329">
        <f t="shared" si="4"/>
        <v>1</v>
      </c>
      <c r="H75" s="330">
        <f t="shared" si="5"/>
        <v>0</v>
      </c>
      <c r="I75" s="328">
        <f t="shared" si="6"/>
        <v>660.04388732863731</v>
      </c>
      <c r="J75" s="331">
        <f t="shared" si="7"/>
        <v>1.5692812754448859</v>
      </c>
      <c r="K75" s="339">
        <f t="shared" si="8"/>
        <v>1.0036053129138169</v>
      </c>
      <c r="L75" s="340">
        <f t="shared" si="9"/>
        <v>8.4788138713633457E-2</v>
      </c>
      <c r="M75" s="328">
        <f t="shared" si="10"/>
        <v>1.0000009282076943</v>
      </c>
      <c r="N75" s="331">
        <f t="shared" si="11"/>
        <v>1.3625028266850503E-3</v>
      </c>
      <c r="O75" s="332">
        <f t="shared" si="12"/>
        <v>1.0000002850481002</v>
      </c>
      <c r="P75" s="333">
        <f t="shared" si="13"/>
        <v>2.0829922858789651E-3</v>
      </c>
      <c r="Q75" s="334">
        <f t="shared" si="14"/>
        <v>39.841115002827181</v>
      </c>
      <c r="R75" s="335">
        <f t="shared" si="15"/>
        <v>-89.122774173521734</v>
      </c>
      <c r="S75" s="337">
        <f t="shared" si="16"/>
        <v>90.877225826478266</v>
      </c>
      <c r="U75" s="310">
        <f t="shared" si="23"/>
        <v>1000000000</v>
      </c>
      <c r="V75" s="310">
        <f t="shared" si="24"/>
        <v>91204</v>
      </c>
      <c r="X75" s="336">
        <f t="shared" si="17"/>
        <v>24.278975048706233</v>
      </c>
      <c r="Y75" s="337">
        <f t="shared" si="18"/>
        <v>-85.133257209660428</v>
      </c>
      <c r="AA75" s="336">
        <f t="shared" si="19"/>
        <v>15.562139954120946</v>
      </c>
      <c r="AB75" s="337">
        <f t="shared" si="20"/>
        <v>-3.9895169638613028</v>
      </c>
      <c r="AD75">
        <f t="shared" si="25"/>
        <v>0</v>
      </c>
      <c r="AE75">
        <f t="shared" si="26"/>
        <v>0</v>
      </c>
    </row>
    <row r="76" spans="1:31" x14ac:dyDescent="0.25">
      <c r="A76" s="338">
        <v>331.13</v>
      </c>
      <c r="B76" s="355">
        <f t="shared" si="22"/>
        <v>0.33112999999999998</v>
      </c>
      <c r="C76" s="328">
        <f t="shared" si="0"/>
        <v>1.0027574393206935</v>
      </c>
      <c r="D76" s="329">
        <f t="shared" si="1"/>
        <v>7.4177058015094152E-2</v>
      </c>
      <c r="E76" s="329">
        <f t="shared" si="2"/>
        <v>1.0000000094278936</v>
      </c>
      <c r="F76" s="330">
        <f t="shared" si="3"/>
        <v>1.3731637493060456E-4</v>
      </c>
      <c r="G76" s="329">
        <f t="shared" si="4"/>
        <v>1</v>
      </c>
      <c r="H76" s="330">
        <f t="shared" si="5"/>
        <v>0</v>
      </c>
      <c r="I76" s="328">
        <f t="shared" si="6"/>
        <v>723.70957026139217</v>
      </c>
      <c r="J76" s="331">
        <f t="shared" si="7"/>
        <v>1.5694145565941051</v>
      </c>
      <c r="K76" s="339">
        <f t="shared" si="8"/>
        <v>1.0043327983561723</v>
      </c>
      <c r="L76" s="340">
        <f t="shared" si="9"/>
        <v>9.2921598093424054E-2</v>
      </c>
      <c r="M76" s="328">
        <f t="shared" si="10"/>
        <v>1.0000011159077549</v>
      </c>
      <c r="N76" s="331">
        <f t="shared" si="11"/>
        <v>1.4939255117364166E-3</v>
      </c>
      <c r="O76" s="332">
        <f t="shared" si="12"/>
        <v>1.0000003426903363</v>
      </c>
      <c r="P76" s="333">
        <f t="shared" si="13"/>
        <v>2.2839115785679939E-3</v>
      </c>
      <c r="Q76" s="334">
        <f t="shared" si="14"/>
        <v>39.043562841943483</v>
      </c>
      <c r="R76" s="335">
        <f t="shared" si="15"/>
        <v>-89.055433937817114</v>
      </c>
      <c r="S76" s="337">
        <f t="shared" si="16"/>
        <v>90.944566062182886</v>
      </c>
      <c r="U76" s="310">
        <f t="shared" si="23"/>
        <v>1000000000</v>
      </c>
      <c r="V76" s="310">
        <f t="shared" si="24"/>
        <v>109647.0769</v>
      </c>
      <c r="X76" s="336">
        <f t="shared" si="17"/>
        <v>23.485437249699061</v>
      </c>
      <c r="Y76" s="337">
        <f t="shared" si="18"/>
        <v>-84.682410726366797</v>
      </c>
      <c r="AA76" s="336">
        <f t="shared" si="19"/>
        <v>15.558125592244419</v>
      </c>
      <c r="AB76" s="337">
        <f t="shared" si="20"/>
        <v>-4.373023211450306</v>
      </c>
      <c r="AD76">
        <f t="shared" si="25"/>
        <v>0</v>
      </c>
      <c r="AE76">
        <f t="shared" si="26"/>
        <v>0</v>
      </c>
    </row>
    <row r="77" spans="1:31" x14ac:dyDescent="0.25">
      <c r="A77" s="338">
        <v>363.08</v>
      </c>
      <c r="B77" s="355">
        <f t="shared" si="22"/>
        <v>0.36307999999999996</v>
      </c>
      <c r="C77" s="328">
        <f t="shared" ref="C77:C140" si="27">SQRT(1+(A77/pole1)^2)</f>
        <v>1.0033143076589637</v>
      </c>
      <c r="D77" s="329">
        <f t="shared" ref="D77:D140" si="28">ATAN(A77/pole1)</f>
        <v>8.1304115649947467E-2</v>
      </c>
      <c r="E77" s="329">
        <f t="shared" ref="E77:E140" si="29">SQRT(1+(A77/Zero1)^2)</f>
        <v>1.0000000113350194</v>
      </c>
      <c r="F77" s="330">
        <f t="shared" ref="F77:F140" si="30">ATAN(A77/Zero1)</f>
        <v>1.5056572749800706E-4</v>
      </c>
      <c r="G77" s="329">
        <f t="shared" ref="G77:G140" si="31">IF(VIN_nom&gt;Vout, 1, SQRT(1+(A77/z_RHP)^2))</f>
        <v>1</v>
      </c>
      <c r="H77" s="330">
        <f t="shared" ref="H77:H140" si="32">IF(VIN_nom&gt;Vout, 0, -ATAN(A77/z_RHP))</f>
        <v>0</v>
      </c>
      <c r="I77" s="328">
        <f t="shared" ref="I77:I140" si="33">SQRT(1+(A77/Pole2)^2)</f>
        <v>793.53857568141723</v>
      </c>
      <c r="J77" s="331">
        <f t="shared" ref="J77:J140" si="34">ATAN(A77/Pole2)</f>
        <v>1.5695361482789167</v>
      </c>
      <c r="K77" s="339">
        <f t="shared" ref="K77:K140" si="35">SQRT(1+(A77/Zero2)^2)</f>
        <v>1.005206989437248</v>
      </c>
      <c r="L77" s="340">
        <f t="shared" ref="L77:L140" si="36">ATAN(A77/Zero2)</f>
        <v>0.10182824192480354</v>
      </c>
      <c r="M77" s="328">
        <f t="shared" ref="M77:M140" si="37">SQRT(1+(A77/pole4)^2)</f>
        <v>1.0000013416395184</v>
      </c>
      <c r="N77" s="331">
        <f t="shared" ref="N77:N140" si="38">ATAN(A77/pole4)</f>
        <v>1.6380708276947239E-3</v>
      </c>
      <c r="O77" s="332">
        <f t="shared" ref="O77:O140" si="39">SQRT((1-(V77/pterm2))^2+(A77/pterm1)^2)</f>
        <v>1.0000004120122188</v>
      </c>
      <c r="P77" s="333">
        <f t="shared" ref="P77:P140" si="40">IF((ATAN((A77/pterm1)/(1-A77^2/pterm2))&gt;0),ATAN((A77/pterm1)/(1-A77^2/pterm2)),PI()+ATAN((A77/pterm1)/(1-A77^2/pterm2)))</f>
        <v>2.5042814130230863E-3</v>
      </c>
      <c r="Q77" s="334">
        <f t="shared" ref="Q77:Q140" si="41">20*LOG10(((E77*K77*G77)/(C77*I77*O77*M77))*Adc)</f>
        <v>38.246220561707162</v>
      </c>
      <c r="R77" s="335">
        <f t="shared" ref="R77:R140" si="42">((F77+L77+H77)-(D77+J77+P77+N77))*radconv</f>
        <v>-88.980563897458325</v>
      </c>
      <c r="S77" s="337">
        <f t="shared" ref="S77:S140" si="43">IF(R77&gt;0,R77,R77+180)</f>
        <v>91.019436102541675</v>
      </c>
      <c r="U77" s="310">
        <f t="shared" si="23"/>
        <v>1000000000</v>
      </c>
      <c r="V77" s="310">
        <f t="shared" si="24"/>
        <v>131827.0864</v>
      </c>
      <c r="X77" s="336">
        <f t="shared" ref="X77:X140" si="44">20*LOG10((K77/(I77*M77))*AEA*Afb)</f>
        <v>22.692917812309968</v>
      </c>
      <c r="Y77" s="337">
        <f t="shared" ref="Y77:Y140" si="45">(L77-(J77+N77))*radconv</f>
        <v>-84.187323233241386</v>
      </c>
      <c r="AA77" s="336">
        <f t="shared" ref="AA77:AA140" si="46">20*LOG10((E77*G77/(C77*O77))*Am)</f>
        <v>15.553302749397194</v>
      </c>
      <c r="AB77" s="337">
        <f t="shared" ref="AB77:AB140" si="47">(F77+H77-(D77+P77))*radconv</f>
        <v>-4.7932406642169392</v>
      </c>
      <c r="AD77">
        <f t="shared" si="25"/>
        <v>0</v>
      </c>
      <c r="AE77">
        <f t="shared" ref="AE77:AE89" si="48">IF(AD77&gt;0,S75,0)</f>
        <v>0</v>
      </c>
    </row>
    <row r="78" spans="1:31" x14ac:dyDescent="0.25">
      <c r="A78" s="338">
        <v>398.11</v>
      </c>
      <c r="B78" s="355">
        <f t="shared" ref="B78:B141" si="49">A78/1000</f>
        <v>0.39811000000000002</v>
      </c>
      <c r="C78" s="328">
        <f t="shared" si="27"/>
        <v>1.0039833578386028</v>
      </c>
      <c r="D78" s="329">
        <f t="shared" si="28"/>
        <v>8.9108697805792017E-2</v>
      </c>
      <c r="E78" s="329">
        <f t="shared" si="29"/>
        <v>1.0000000136277383</v>
      </c>
      <c r="F78" s="330">
        <f t="shared" si="30"/>
        <v>1.6509232588578801E-4</v>
      </c>
      <c r="G78" s="329">
        <f t="shared" si="31"/>
        <v>1</v>
      </c>
      <c r="H78" s="330">
        <f t="shared" si="32"/>
        <v>0</v>
      </c>
      <c r="I78" s="328">
        <f t="shared" si="33"/>
        <v>870.09915214998989</v>
      </c>
      <c r="J78" s="331">
        <f t="shared" si="34"/>
        <v>1.5696470322372875</v>
      </c>
      <c r="K78" s="339">
        <f t="shared" si="35"/>
        <v>1.0062569239670329</v>
      </c>
      <c r="L78" s="340">
        <f t="shared" si="36"/>
        <v>0.11157484451506458</v>
      </c>
      <c r="M78" s="328">
        <f t="shared" si="37"/>
        <v>1.0000016130109024</v>
      </c>
      <c r="N78" s="331">
        <f t="shared" si="38"/>
        <v>1.7961117638912668E-3</v>
      </c>
      <c r="O78" s="332">
        <f t="shared" si="39"/>
        <v>1.0000004953502519</v>
      </c>
      <c r="P78" s="333">
        <f t="shared" si="40"/>
        <v>2.7458951223778864E-3</v>
      </c>
      <c r="Q78" s="334">
        <f t="shared" si="41"/>
        <v>37.449480935960139</v>
      </c>
      <c r="R78" s="335">
        <f t="shared" si="42"/>
        <v>-88.897713717248365</v>
      </c>
      <c r="S78" s="337">
        <f t="shared" si="43"/>
        <v>91.102286282751635</v>
      </c>
      <c r="U78" s="310">
        <f t="shared" ref="U78:U141" si="50">IF(Q78&lt;0,A78,1000000000)</f>
        <v>1000000000</v>
      </c>
      <c r="V78" s="310">
        <f t="shared" ref="V78:V141" si="51">A78^2</f>
        <v>158491.57210000002</v>
      </c>
      <c r="X78" s="336">
        <f t="shared" si="44"/>
        <v>21.901969059393313</v>
      </c>
      <c r="Y78" s="337">
        <f t="shared" si="45"/>
        <v>-83.644292301072355</v>
      </c>
      <c r="AA78" s="336">
        <f t="shared" si="46"/>
        <v>15.547511876566819</v>
      </c>
      <c r="AB78" s="337">
        <f t="shared" si="47"/>
        <v>-5.2534214161760087</v>
      </c>
      <c r="AD78">
        <f t="shared" ref="AD78:AD141" si="52">SUM((Q79&lt;0)*(Q78&gt;0))*A78</f>
        <v>0</v>
      </c>
      <c r="AE78">
        <f t="shared" si="48"/>
        <v>0</v>
      </c>
    </row>
    <row r="79" spans="1:31" x14ac:dyDescent="0.25">
      <c r="A79" s="338">
        <v>436.52</v>
      </c>
      <c r="B79" s="355">
        <f t="shared" si="49"/>
        <v>0.43651999999999996</v>
      </c>
      <c r="C79" s="328">
        <f t="shared" si="27"/>
        <v>1.0047871527151326</v>
      </c>
      <c r="D79" s="329">
        <f t="shared" si="28"/>
        <v>9.765380735584267E-2</v>
      </c>
      <c r="E79" s="329">
        <f t="shared" si="29"/>
        <v>1.0000000163842249</v>
      </c>
      <c r="F79" s="330">
        <f t="shared" si="30"/>
        <v>1.8102057713504144E-4</v>
      </c>
      <c r="G79" s="329">
        <f t="shared" si="31"/>
        <v>1</v>
      </c>
      <c r="H79" s="330">
        <f t="shared" si="32"/>
        <v>0</v>
      </c>
      <c r="I79" s="328">
        <f t="shared" si="33"/>
        <v>954.04697117449996</v>
      </c>
      <c r="J79" s="331">
        <f t="shared" si="34"/>
        <v>1.5697481601811734</v>
      </c>
      <c r="K79" s="339">
        <f t="shared" si="35"/>
        <v>1.0075177891947189</v>
      </c>
      <c r="L79" s="340">
        <f t="shared" si="36"/>
        <v>0.12223740623522185</v>
      </c>
      <c r="M79" s="328">
        <f t="shared" si="37"/>
        <v>1.0000019392747899</v>
      </c>
      <c r="N79" s="331">
        <f t="shared" si="38"/>
        <v>1.9694017649352661E-3</v>
      </c>
      <c r="O79" s="332">
        <f t="shared" si="39"/>
        <v>1.0000005955461715</v>
      </c>
      <c r="P79" s="333">
        <f t="shared" si="40"/>
        <v>3.010821942170699E-3</v>
      </c>
      <c r="Q79" s="334">
        <f t="shared" si="41"/>
        <v>36.653382656629752</v>
      </c>
      <c r="R79" s="335">
        <f t="shared" si="42"/>
        <v>-88.806382201625553</v>
      </c>
      <c r="S79" s="337">
        <f t="shared" si="43"/>
        <v>91.193617798374447</v>
      </c>
      <c r="U79" s="310">
        <f t="shared" si="50"/>
        <v>1000000000</v>
      </c>
      <c r="V79" s="310">
        <f t="shared" si="51"/>
        <v>190549.71039999998</v>
      </c>
      <c r="X79" s="336">
        <f t="shared" si="44"/>
        <v>21.112822817624473</v>
      </c>
      <c r="Y79" s="337">
        <f t="shared" si="45"/>
        <v>-83.049095505096616</v>
      </c>
      <c r="AA79" s="336">
        <f t="shared" si="46"/>
        <v>15.540559839005281</v>
      </c>
      <c r="AB79" s="337">
        <f t="shared" si="47"/>
        <v>-5.75728669652894</v>
      </c>
      <c r="AD79">
        <f t="shared" si="52"/>
        <v>0</v>
      </c>
      <c r="AE79">
        <f t="shared" si="48"/>
        <v>0</v>
      </c>
    </row>
    <row r="80" spans="1:31" x14ac:dyDescent="0.25">
      <c r="A80" s="338">
        <v>478.63</v>
      </c>
      <c r="B80" s="355">
        <f t="shared" si="49"/>
        <v>0.47863</v>
      </c>
      <c r="C80" s="328">
        <f t="shared" si="27"/>
        <v>1.0057525412424366</v>
      </c>
      <c r="D80" s="329">
        <f t="shared" si="28"/>
        <v>0.1070056026000205</v>
      </c>
      <c r="E80" s="329">
        <f t="shared" si="29"/>
        <v>1.0000000196977872</v>
      </c>
      <c r="F80" s="330">
        <f t="shared" si="30"/>
        <v>1.9848318208272103E-4</v>
      </c>
      <c r="G80" s="329">
        <f t="shared" si="31"/>
        <v>1</v>
      </c>
      <c r="H80" s="330">
        <f t="shared" si="32"/>
        <v>0</v>
      </c>
      <c r="I80" s="328">
        <f t="shared" si="33"/>
        <v>1046.0814157807438</v>
      </c>
      <c r="J80" s="331">
        <f t="shared" si="34"/>
        <v>1.5698403781113421</v>
      </c>
      <c r="K80" s="339">
        <f t="shared" si="35"/>
        <v>1.0090313851601456</v>
      </c>
      <c r="L80" s="340">
        <f t="shared" si="36"/>
        <v>0.13389498361262184</v>
      </c>
      <c r="M80" s="328">
        <f t="shared" si="37"/>
        <v>1.0000023314752311</v>
      </c>
      <c r="N80" s="331">
        <f t="shared" si="38"/>
        <v>2.1593844962172781E-3</v>
      </c>
      <c r="O80" s="332">
        <f t="shared" si="39"/>
        <v>1.0000007159918738</v>
      </c>
      <c r="P80" s="333">
        <f t="shared" si="40"/>
        <v>3.3012690665643681E-3</v>
      </c>
      <c r="Q80" s="334">
        <f t="shared" si="41"/>
        <v>35.858161377173175</v>
      </c>
      <c r="R80" s="335">
        <f t="shared" si="42"/>
        <v>-88.706080384514252</v>
      </c>
      <c r="S80" s="337">
        <f t="shared" si="43"/>
        <v>91.293919615485748</v>
      </c>
      <c r="U80" s="310">
        <f t="shared" si="50"/>
        <v>1000000000</v>
      </c>
      <c r="V80" s="310">
        <f t="shared" si="51"/>
        <v>229086.67689999999</v>
      </c>
      <c r="X80" s="336">
        <f t="shared" si="44"/>
        <v>20.325943857032151</v>
      </c>
      <c r="Y80" s="337">
        <f t="shared" si="45"/>
        <v>-82.397334428156611</v>
      </c>
      <c r="AA80" s="336">
        <f t="shared" si="46"/>
        <v>15.532217520141023</v>
      </c>
      <c r="AB80" s="337">
        <f t="shared" si="47"/>
        <v>-6.3087459563576402</v>
      </c>
      <c r="AD80">
        <f t="shared" si="52"/>
        <v>0</v>
      </c>
      <c r="AE80">
        <f t="shared" si="48"/>
        <v>0</v>
      </c>
    </row>
    <row r="81" spans="1:31" x14ac:dyDescent="0.25">
      <c r="A81" s="338">
        <v>524.80999999999995</v>
      </c>
      <c r="B81" s="355">
        <f t="shared" si="49"/>
        <v>0.52481</v>
      </c>
      <c r="C81" s="328">
        <f t="shared" si="27"/>
        <v>1.0069121491546691</v>
      </c>
      <c r="D81" s="329">
        <f t="shared" si="28"/>
        <v>0.11723964990060964</v>
      </c>
      <c r="E81" s="329">
        <f t="shared" si="29"/>
        <v>1.0000000236821871</v>
      </c>
      <c r="F81" s="330">
        <f t="shared" si="30"/>
        <v>2.1763357606531192E-4</v>
      </c>
      <c r="G81" s="329">
        <f t="shared" si="31"/>
        <v>1</v>
      </c>
      <c r="H81" s="330">
        <f t="shared" si="32"/>
        <v>0</v>
      </c>
      <c r="I81" s="328">
        <f t="shared" si="33"/>
        <v>1147.0111476766187</v>
      </c>
      <c r="J81" s="331">
        <f t="shared" si="34"/>
        <v>1.5699244955762488</v>
      </c>
      <c r="K81" s="339">
        <f t="shared" si="35"/>
        <v>1.0108484108415638</v>
      </c>
      <c r="L81" s="340">
        <f t="shared" si="36"/>
        <v>0.14663721830618873</v>
      </c>
      <c r="M81" s="328">
        <f t="shared" si="37"/>
        <v>1.0000028030773012</v>
      </c>
      <c r="N81" s="331">
        <f t="shared" si="38"/>
        <v>2.3677291878067409E-3</v>
      </c>
      <c r="O81" s="332">
        <f t="shared" si="39"/>
        <v>1.000000860822891</v>
      </c>
      <c r="P81" s="333">
        <f t="shared" si="40"/>
        <v>3.6197885725098057E-3</v>
      </c>
      <c r="Q81" s="334">
        <f t="shared" si="41"/>
        <v>35.063731323955757</v>
      </c>
      <c r="R81" s="335">
        <f t="shared" si="42"/>
        <v>-88.596281266409804</v>
      </c>
      <c r="S81" s="337">
        <f t="shared" si="43"/>
        <v>91.403718733590196</v>
      </c>
      <c r="U81" s="310">
        <f t="shared" si="50"/>
        <v>1000000000</v>
      </c>
      <c r="V81" s="310">
        <f t="shared" si="51"/>
        <v>275425.53609999997</v>
      </c>
      <c r="X81" s="336">
        <f t="shared" si="44"/>
        <v>19.541523875175034</v>
      </c>
      <c r="Y81" s="337">
        <f t="shared" si="45"/>
        <v>-81.684015005069483</v>
      </c>
      <c r="AA81" s="336">
        <f t="shared" si="46"/>
        <v>15.522207448780723</v>
      </c>
      <c r="AB81" s="337">
        <f t="shared" si="47"/>
        <v>-6.9122662613403243</v>
      </c>
      <c r="AD81">
        <f t="shared" si="52"/>
        <v>0</v>
      </c>
      <c r="AE81">
        <f t="shared" si="48"/>
        <v>0</v>
      </c>
    </row>
    <row r="82" spans="1:31" x14ac:dyDescent="0.25">
      <c r="A82" s="338">
        <v>575.44000000000005</v>
      </c>
      <c r="B82" s="355">
        <f t="shared" si="49"/>
        <v>0.57544000000000006</v>
      </c>
      <c r="C82" s="328">
        <f t="shared" si="27"/>
        <v>1.008304391520354</v>
      </c>
      <c r="D82" s="329">
        <f t="shared" si="28"/>
        <v>0.128431512867972</v>
      </c>
      <c r="E82" s="329">
        <f t="shared" si="29"/>
        <v>1.0000000284719819</v>
      </c>
      <c r="F82" s="330">
        <f t="shared" si="30"/>
        <v>2.3862934130661185E-4</v>
      </c>
      <c r="G82" s="329">
        <f t="shared" si="31"/>
        <v>1</v>
      </c>
      <c r="H82" s="330">
        <f t="shared" si="32"/>
        <v>0</v>
      </c>
      <c r="I82" s="328">
        <f t="shared" si="33"/>
        <v>1257.6666843621203</v>
      </c>
      <c r="J82" s="331">
        <f t="shared" si="34"/>
        <v>1.5700012034781989</v>
      </c>
      <c r="K82" s="339">
        <f t="shared" si="35"/>
        <v>1.013028410777328</v>
      </c>
      <c r="L82" s="340">
        <f t="shared" si="36"/>
        <v>0.16055227278782963</v>
      </c>
      <c r="M82" s="328">
        <f t="shared" si="37"/>
        <v>1.0000033700073077</v>
      </c>
      <c r="N82" s="331">
        <f t="shared" si="38"/>
        <v>2.5961501664918951E-3</v>
      </c>
      <c r="O82" s="332">
        <f t="shared" si="39"/>
        <v>1.0000010349308019</v>
      </c>
      <c r="P82" s="333">
        <f t="shared" si="40"/>
        <v>3.9690015310675526E-3</v>
      </c>
      <c r="Q82" s="334">
        <f t="shared" si="41"/>
        <v>34.270476874773806</v>
      </c>
      <c r="R82" s="335">
        <f t="shared" si="42"/>
        <v>-88.476541942707613</v>
      </c>
      <c r="S82" s="337">
        <f t="shared" si="43"/>
        <v>91.523458057292387</v>
      </c>
      <c r="U82" s="310">
        <f t="shared" si="50"/>
        <v>1000000000</v>
      </c>
      <c r="V82" s="310">
        <f t="shared" si="51"/>
        <v>331131.19360000006</v>
      </c>
      <c r="X82" s="336">
        <f t="shared" si="44"/>
        <v>18.760272451061567</v>
      </c>
      <c r="Y82" s="337">
        <f t="shared" si="45"/>
        <v>-80.904223707753772</v>
      </c>
      <c r="AA82" s="336">
        <f t="shared" si="46"/>
        <v>15.510204423712235</v>
      </c>
      <c r="AB82" s="337">
        <f t="shared" si="47"/>
        <v>-7.5723182349538298</v>
      </c>
      <c r="AD82">
        <f t="shared" si="52"/>
        <v>0</v>
      </c>
      <c r="AE82">
        <f t="shared" si="48"/>
        <v>0</v>
      </c>
    </row>
    <row r="83" spans="1:31" x14ac:dyDescent="0.25">
      <c r="A83" s="338">
        <v>630.96</v>
      </c>
      <c r="B83" s="355">
        <f t="shared" si="49"/>
        <v>0.63096000000000008</v>
      </c>
      <c r="C83" s="328">
        <f t="shared" si="27"/>
        <v>1.0099758537847112</v>
      </c>
      <c r="D83" s="329">
        <f t="shared" si="28"/>
        <v>0.14066714113489973</v>
      </c>
      <c r="E83" s="329">
        <f t="shared" si="29"/>
        <v>1.0000000342311319</v>
      </c>
      <c r="F83" s="330">
        <f t="shared" si="30"/>
        <v>2.6165294142349051E-4</v>
      </c>
      <c r="G83" s="329">
        <f t="shared" si="31"/>
        <v>1</v>
      </c>
      <c r="H83" s="330">
        <f t="shared" si="32"/>
        <v>0</v>
      </c>
      <c r="I83" s="328">
        <f t="shared" si="33"/>
        <v>1379.0096777459239</v>
      </c>
      <c r="J83" s="331">
        <f t="shared" si="34"/>
        <v>1.5700711686587501</v>
      </c>
      <c r="K83" s="339">
        <f t="shared" si="35"/>
        <v>1.0156434020504657</v>
      </c>
      <c r="L83" s="340">
        <f t="shared" si="36"/>
        <v>0.17573933953810059</v>
      </c>
      <c r="M83" s="328">
        <f t="shared" si="37"/>
        <v>1.0000040516717714</v>
      </c>
      <c r="N83" s="331">
        <f t="shared" si="38"/>
        <v>2.8466324284789381E-3</v>
      </c>
      <c r="O83" s="332">
        <f t="shared" si="39"/>
        <v>1.0000012442762589</v>
      </c>
      <c r="P83" s="333">
        <f t="shared" si="40"/>
        <v>4.3519428815151674E-3</v>
      </c>
      <c r="Q83" s="334">
        <f t="shared" si="41"/>
        <v>33.478439913756588</v>
      </c>
      <c r="R83" s="335">
        <f t="shared" si="42"/>
        <v>-88.346419028049837</v>
      </c>
      <c r="S83" s="337">
        <f t="shared" si="43"/>
        <v>91.653580971950163</v>
      </c>
      <c r="U83" s="310">
        <f t="shared" si="50"/>
        <v>1000000000</v>
      </c>
      <c r="V83" s="310">
        <f t="shared" si="51"/>
        <v>398110.52160000004</v>
      </c>
      <c r="X83" s="336">
        <f t="shared" si="44"/>
        <v>17.982623902757716</v>
      </c>
      <c r="Y83" s="337">
        <f t="shared" si="45"/>
        <v>-80.052429164819671</v>
      </c>
      <c r="AA83" s="336">
        <f t="shared" si="46"/>
        <v>15.495816010998876</v>
      </c>
      <c r="AB83" s="337">
        <f t="shared" si="47"/>
        <v>-8.2939898632301823</v>
      </c>
      <c r="AD83">
        <f t="shared" si="52"/>
        <v>0</v>
      </c>
      <c r="AE83">
        <f t="shared" si="48"/>
        <v>0</v>
      </c>
    </row>
    <row r="84" spans="1:31" x14ac:dyDescent="0.25">
      <c r="A84" s="338">
        <v>691.83</v>
      </c>
      <c r="B84" s="355">
        <f t="shared" si="49"/>
        <v>0.69183000000000006</v>
      </c>
      <c r="C84" s="328">
        <f t="shared" si="27"/>
        <v>1.011981523735912</v>
      </c>
      <c r="D84" s="329">
        <f t="shared" si="28"/>
        <v>0.15403313595266005</v>
      </c>
      <c r="E84" s="329">
        <f t="shared" si="29"/>
        <v>1.0000000411544103</v>
      </c>
      <c r="F84" s="330">
        <f t="shared" si="30"/>
        <v>2.8689513381120068E-4</v>
      </c>
      <c r="G84" s="329">
        <f t="shared" si="31"/>
        <v>1</v>
      </c>
      <c r="H84" s="330">
        <f t="shared" si="32"/>
        <v>0</v>
      </c>
      <c r="I84" s="328">
        <f t="shared" si="33"/>
        <v>1512.0454912457428</v>
      </c>
      <c r="J84" s="331">
        <f t="shared" si="34"/>
        <v>1.5701349709833894</v>
      </c>
      <c r="K84" s="339">
        <f t="shared" si="35"/>
        <v>1.0187780915002176</v>
      </c>
      <c r="L84" s="340">
        <f t="shared" si="36"/>
        <v>0.19229600682330383</v>
      </c>
      <c r="M84" s="328">
        <f t="shared" si="37"/>
        <v>1.0000048711242009</v>
      </c>
      <c r="N84" s="331">
        <f t="shared" si="38"/>
        <v>3.1212511682512253E-3</v>
      </c>
      <c r="O84" s="332">
        <f t="shared" si="39"/>
        <v>1.0000014959403398</v>
      </c>
      <c r="P84" s="333">
        <f t="shared" si="40"/>
        <v>4.7717855461112237E-3</v>
      </c>
      <c r="Q84" s="334">
        <f t="shared" si="41"/>
        <v>32.688014859919015</v>
      </c>
      <c r="R84" s="335">
        <f t="shared" si="42"/>
        <v>-88.20560600203639</v>
      </c>
      <c r="S84" s="337">
        <f t="shared" si="43"/>
        <v>91.79439399796361</v>
      </c>
      <c r="U84" s="310">
        <f t="shared" si="50"/>
        <v>1000000000</v>
      </c>
      <c r="V84" s="310">
        <f t="shared" si="51"/>
        <v>478628.74890000006</v>
      </c>
      <c r="X84" s="336">
        <f t="shared" si="44"/>
        <v>17.209432825146379</v>
      </c>
      <c r="Y84" s="337">
        <f t="shared" si="45"/>
        <v>-79.123192104202502</v>
      </c>
      <c r="AA84" s="336">
        <f t="shared" si="46"/>
        <v>15.478582034772636</v>
      </c>
      <c r="AB84" s="337">
        <f t="shared" si="47"/>
        <v>-9.0824138978338933</v>
      </c>
      <c r="AD84">
        <f t="shared" si="52"/>
        <v>0</v>
      </c>
      <c r="AE84">
        <f t="shared" si="48"/>
        <v>0</v>
      </c>
    </row>
    <row r="85" spans="1:31" x14ac:dyDescent="0.25">
      <c r="A85" s="338">
        <v>758.58</v>
      </c>
      <c r="B85" s="355">
        <f t="shared" si="49"/>
        <v>0.75858000000000003</v>
      </c>
      <c r="C85" s="328">
        <f t="shared" si="27"/>
        <v>1.014387884261768</v>
      </c>
      <c r="D85" s="329">
        <f t="shared" si="28"/>
        <v>0.16862660960562867</v>
      </c>
      <c r="E85" s="329">
        <f t="shared" si="29"/>
        <v>1.0000000494789387</v>
      </c>
      <c r="F85" s="330">
        <f t="shared" si="30"/>
        <v>3.1457570414510273E-4</v>
      </c>
      <c r="G85" s="329">
        <f t="shared" si="31"/>
        <v>1</v>
      </c>
      <c r="H85" s="330">
        <f t="shared" si="32"/>
        <v>0</v>
      </c>
      <c r="I85" s="328">
        <f t="shared" si="33"/>
        <v>1657.9324784209311</v>
      </c>
      <c r="J85" s="331">
        <f t="shared" si="34"/>
        <v>1.5701931658859636</v>
      </c>
      <c r="K85" s="339">
        <f t="shared" si="35"/>
        <v>1.022534508454604</v>
      </c>
      <c r="L85" s="340">
        <f t="shared" si="36"/>
        <v>0.210329832461782</v>
      </c>
      <c r="M85" s="328">
        <f t="shared" si="37"/>
        <v>1.0000058564303784</v>
      </c>
      <c r="N85" s="331">
        <f t="shared" si="38"/>
        <v>3.4223973460725809E-3</v>
      </c>
      <c r="O85" s="332">
        <f t="shared" si="39"/>
        <v>1.0000017985440326</v>
      </c>
      <c r="P85" s="333">
        <f t="shared" si="40"/>
        <v>5.2321853098260592E-3</v>
      </c>
      <c r="Q85" s="334">
        <f t="shared" si="41"/>
        <v>31.899302238760061</v>
      </c>
      <c r="R85" s="335">
        <f t="shared" si="42"/>
        <v>-88.053870063861211</v>
      </c>
      <c r="S85" s="337">
        <f t="shared" si="43"/>
        <v>91.946129936138789</v>
      </c>
      <c r="U85" s="310">
        <f t="shared" si="50"/>
        <v>1000000000</v>
      </c>
      <c r="V85" s="310">
        <f t="shared" si="51"/>
        <v>575443.61640000006</v>
      </c>
      <c r="X85" s="336">
        <f t="shared" si="44"/>
        <v>16.441352159318644</v>
      </c>
      <c r="Y85" s="337">
        <f t="shared" si="45"/>
        <v>-78.11051873279807</v>
      </c>
      <c r="AA85" s="336">
        <f t="shared" si="46"/>
        <v>15.457950079441416</v>
      </c>
      <c r="AB85" s="337">
        <f t="shared" si="47"/>
        <v>-9.9433513310631554</v>
      </c>
      <c r="AD85">
        <f t="shared" si="52"/>
        <v>0</v>
      </c>
      <c r="AE85">
        <f t="shared" si="48"/>
        <v>0</v>
      </c>
    </row>
    <row r="86" spans="1:31" x14ac:dyDescent="0.25">
      <c r="A86" s="338">
        <v>831.76</v>
      </c>
      <c r="B86" s="355">
        <f t="shared" si="49"/>
        <v>0.83175999999999994</v>
      </c>
      <c r="C86" s="328">
        <f t="shared" si="27"/>
        <v>1.0172730344176431</v>
      </c>
      <c r="D86" s="329">
        <f t="shared" si="28"/>
        <v>0.18454275088146033</v>
      </c>
      <c r="E86" s="329">
        <f t="shared" si="29"/>
        <v>1.0000000594858485</v>
      </c>
      <c r="F86" s="330">
        <f t="shared" si="30"/>
        <v>3.4492273185976718E-4</v>
      </c>
      <c r="G86" s="329">
        <f t="shared" si="31"/>
        <v>1</v>
      </c>
      <c r="H86" s="330">
        <f t="shared" si="32"/>
        <v>0</v>
      </c>
      <c r="I86" s="328">
        <f t="shared" si="33"/>
        <v>1817.8727043341707</v>
      </c>
      <c r="J86" s="331">
        <f t="shared" si="34"/>
        <v>1.5702462332443143</v>
      </c>
      <c r="K86" s="339">
        <f t="shared" si="35"/>
        <v>1.027031909782564</v>
      </c>
      <c r="L86" s="340">
        <f t="shared" si="36"/>
        <v>0.22994215209434782</v>
      </c>
      <c r="M86" s="328">
        <f t="shared" si="37"/>
        <v>1.0000070408649271</v>
      </c>
      <c r="N86" s="331">
        <f t="shared" si="38"/>
        <v>3.7525520957967344E-3</v>
      </c>
      <c r="O86" s="332">
        <f t="shared" si="39"/>
        <v>1.0000021623088848</v>
      </c>
      <c r="P86" s="333">
        <f t="shared" si="40"/>
        <v>5.7369359673297253E-3</v>
      </c>
      <c r="Q86" s="334">
        <f t="shared" si="41"/>
        <v>31.112805985625194</v>
      </c>
      <c r="R86" s="335">
        <f t="shared" si="42"/>
        <v>-87.891232978688322</v>
      </c>
      <c r="S86" s="337">
        <f t="shared" si="43"/>
        <v>92.108767021311678</v>
      </c>
      <c r="U86" s="310">
        <f t="shared" si="50"/>
        <v>1000000000</v>
      </c>
      <c r="V86" s="310">
        <f t="shared" si="51"/>
        <v>691824.69759999996</v>
      </c>
      <c r="X86" s="336">
        <f t="shared" si="44"/>
        <v>15.67952856075631</v>
      </c>
      <c r="Y86" s="337">
        <f t="shared" si="45"/>
        <v>-77.00877259954035</v>
      </c>
      <c r="AA86" s="336">
        <f t="shared" si="46"/>
        <v>15.43327742486888</v>
      </c>
      <c r="AB86" s="337">
        <f t="shared" si="47"/>
        <v>-10.882460379147961</v>
      </c>
      <c r="AD86">
        <f t="shared" si="52"/>
        <v>0</v>
      </c>
      <c r="AE86">
        <f t="shared" si="48"/>
        <v>0</v>
      </c>
    </row>
    <row r="87" spans="1:31" x14ac:dyDescent="0.25">
      <c r="A87" s="338">
        <v>912.01</v>
      </c>
      <c r="B87" s="355">
        <f t="shared" si="49"/>
        <v>0.91200999999999999</v>
      </c>
      <c r="C87" s="328">
        <f t="shared" si="27"/>
        <v>1.0207313640468183</v>
      </c>
      <c r="D87" s="329">
        <f t="shared" si="28"/>
        <v>0.20188823623041696</v>
      </c>
      <c r="E87" s="329">
        <f t="shared" si="29"/>
        <v>1.0000000715182362</v>
      </c>
      <c r="F87" s="330">
        <f t="shared" si="30"/>
        <v>3.7820161844768959E-4</v>
      </c>
      <c r="G87" s="329">
        <f t="shared" si="31"/>
        <v>1</v>
      </c>
      <c r="H87" s="330">
        <f t="shared" si="32"/>
        <v>0</v>
      </c>
      <c r="I87" s="328">
        <f t="shared" si="33"/>
        <v>1993.2649356509271</v>
      </c>
      <c r="J87" s="331">
        <f t="shared" si="34"/>
        <v>1.5702946373184687</v>
      </c>
      <c r="K87" s="339">
        <f t="shared" si="35"/>
        <v>1.0324136802750563</v>
      </c>
      <c r="L87" s="340">
        <f t="shared" si="36"/>
        <v>0.25124368336220815</v>
      </c>
      <c r="M87" s="328">
        <f t="shared" si="37"/>
        <v>1.0000084650366403</v>
      </c>
      <c r="N87" s="331">
        <f t="shared" si="38"/>
        <v>4.1146025146083136E-3</v>
      </c>
      <c r="O87" s="332">
        <f t="shared" si="39"/>
        <v>1.0000025997101318</v>
      </c>
      <c r="P87" s="333">
        <f t="shared" si="40"/>
        <v>6.2904521597703343E-3</v>
      </c>
      <c r="Q87" s="334">
        <f t="shared" si="41"/>
        <v>30.32867648095479</v>
      </c>
      <c r="R87" s="335">
        <f t="shared" si="42"/>
        <v>-87.717892955876849</v>
      </c>
      <c r="S87" s="337">
        <f t="shared" si="43"/>
        <v>92.282107044123151</v>
      </c>
      <c r="U87" s="310">
        <f t="shared" si="50"/>
        <v>1000000000</v>
      </c>
      <c r="V87" s="310">
        <f t="shared" si="51"/>
        <v>831762.24009999994</v>
      </c>
      <c r="X87" s="336">
        <f t="shared" si="44"/>
        <v>14.924881291994279</v>
      </c>
      <c r="Y87" s="337">
        <f t="shared" si="45"/>
        <v>-75.811802069487385</v>
      </c>
      <c r="AA87" s="336">
        <f t="shared" si="46"/>
        <v>15.403795188960514</v>
      </c>
      <c r="AB87" s="337">
        <f t="shared" si="47"/>
        <v>-11.906090886389464</v>
      </c>
      <c r="AD87">
        <f t="shared" si="52"/>
        <v>0</v>
      </c>
      <c r="AE87">
        <f t="shared" si="48"/>
        <v>0</v>
      </c>
    </row>
    <row r="88" spans="1:31" x14ac:dyDescent="0.25">
      <c r="A88" s="338">
        <v>1000</v>
      </c>
      <c r="B88" s="355">
        <f t="shared" si="49"/>
        <v>1</v>
      </c>
      <c r="C88" s="328">
        <f t="shared" si="27"/>
        <v>1.0248736393491382</v>
      </c>
      <c r="D88" s="329">
        <f t="shared" si="28"/>
        <v>0.2207658005995761</v>
      </c>
      <c r="E88" s="329">
        <f t="shared" si="29"/>
        <v>1.0000000859839897</v>
      </c>
      <c r="F88" s="330">
        <f t="shared" si="30"/>
        <v>4.1469020602885452E-4</v>
      </c>
      <c r="G88" s="329">
        <f t="shared" si="31"/>
        <v>1</v>
      </c>
      <c r="H88" s="330">
        <f t="shared" si="32"/>
        <v>0</v>
      </c>
      <c r="I88" s="328">
        <f t="shared" si="33"/>
        <v>2185.57350626569</v>
      </c>
      <c r="J88" s="331">
        <f t="shared" si="34"/>
        <v>1.5703387809690414</v>
      </c>
      <c r="K88" s="339">
        <f t="shared" si="35"/>
        <v>1.0388469237040847</v>
      </c>
      <c r="L88" s="340">
        <f t="shared" si="36"/>
        <v>0.27433439028314316</v>
      </c>
      <c r="M88" s="328">
        <f t="shared" si="37"/>
        <v>1.0000101772225105</v>
      </c>
      <c r="N88" s="331">
        <f t="shared" si="38"/>
        <v>4.5115709454942813E-3</v>
      </c>
      <c r="O88" s="332">
        <f t="shared" si="39"/>
        <v>1.0000031255798718</v>
      </c>
      <c r="P88" s="333">
        <f t="shared" si="40"/>
        <v>6.897355558626553E-3</v>
      </c>
      <c r="Q88" s="334">
        <f t="shared" si="41"/>
        <v>29.547428239837444</v>
      </c>
      <c r="R88" s="335">
        <f t="shared" si="42"/>
        <v>-87.534453890781123</v>
      </c>
      <c r="S88" s="337">
        <f t="shared" si="43"/>
        <v>92.465546109218877</v>
      </c>
      <c r="U88" s="310">
        <f t="shared" si="50"/>
        <v>1000000000</v>
      </c>
      <c r="V88" s="310">
        <f t="shared" si="51"/>
        <v>1000000</v>
      </c>
      <c r="X88" s="336">
        <f t="shared" si="44"/>
        <v>14.17881475850691</v>
      </c>
      <c r="Y88" s="337">
        <f t="shared" si="45"/>
        <v>-74.514075876021238</v>
      </c>
      <c r="AA88" s="336">
        <f t="shared" si="46"/>
        <v>15.368613481330533</v>
      </c>
      <c r="AB88" s="337">
        <f t="shared" si="47"/>
        <v>-13.020378014759896</v>
      </c>
      <c r="AD88">
        <f t="shared" si="52"/>
        <v>0</v>
      </c>
      <c r="AE88">
        <f t="shared" si="48"/>
        <v>0</v>
      </c>
    </row>
    <row r="89" spans="1:31" x14ac:dyDescent="0.25">
      <c r="A89" s="338">
        <v>1096.5</v>
      </c>
      <c r="B89" s="355">
        <f t="shared" si="49"/>
        <v>1.0965</v>
      </c>
      <c r="C89" s="328">
        <f t="shared" si="27"/>
        <v>1.0298328168633808</v>
      </c>
      <c r="D89" s="329">
        <f t="shared" si="28"/>
        <v>0.24128636840248036</v>
      </c>
      <c r="E89" s="329">
        <f t="shared" si="29"/>
        <v>1.0000001033796031</v>
      </c>
      <c r="F89" s="330">
        <f t="shared" si="30"/>
        <v>4.5470780563735847E-4</v>
      </c>
      <c r="G89" s="329">
        <f t="shared" si="31"/>
        <v>1</v>
      </c>
      <c r="H89" s="330">
        <f t="shared" si="32"/>
        <v>0</v>
      </c>
      <c r="I89" s="328">
        <f t="shared" si="33"/>
        <v>2396.481307410058</v>
      </c>
      <c r="J89" s="331">
        <f t="shared" si="34"/>
        <v>1.5703790483350446</v>
      </c>
      <c r="K89" s="339">
        <f t="shared" si="35"/>
        <v>1.0465307707106739</v>
      </c>
      <c r="L89" s="340">
        <f t="shared" si="36"/>
        <v>0.29931710086864838</v>
      </c>
      <c r="M89" s="328">
        <f t="shared" si="37"/>
        <v>1.0000122361866985</v>
      </c>
      <c r="N89" s="331">
        <f t="shared" si="38"/>
        <v>4.9469307514167851E-3</v>
      </c>
      <c r="O89" s="332">
        <f t="shared" si="39"/>
        <v>1.0000037579736982</v>
      </c>
      <c r="P89" s="333">
        <f t="shared" si="40"/>
        <v>7.5629577193339495E-3</v>
      </c>
      <c r="Q89" s="334">
        <f t="shared" si="41"/>
        <v>28.769313246924536</v>
      </c>
      <c r="R89" s="335">
        <f t="shared" si="42"/>
        <v>-87.341886726185891</v>
      </c>
      <c r="S89" s="337">
        <f t="shared" si="43"/>
        <v>92.658113273814109</v>
      </c>
      <c r="U89" s="310">
        <f t="shared" si="50"/>
        <v>1000000000</v>
      </c>
      <c r="V89" s="310">
        <f t="shared" si="51"/>
        <v>1202312.25</v>
      </c>
      <c r="X89" s="336">
        <f t="shared" si="44"/>
        <v>13.442633191168047</v>
      </c>
      <c r="Y89" s="337">
        <f t="shared" si="45"/>
        <v>-73.10992342664359</v>
      </c>
      <c r="AA89" s="336">
        <f t="shared" si="46"/>
        <v>15.326680055756485</v>
      </c>
      <c r="AB89" s="337">
        <f t="shared" si="47"/>
        <v>-14.231963299542302</v>
      </c>
      <c r="AD89">
        <f t="shared" si="52"/>
        <v>0</v>
      </c>
      <c r="AE89">
        <f t="shared" si="48"/>
        <v>0</v>
      </c>
    </row>
    <row r="90" spans="1:31" x14ac:dyDescent="0.25">
      <c r="A90" s="338">
        <v>1202.3</v>
      </c>
      <c r="B90" s="355">
        <f t="shared" si="49"/>
        <v>1.2022999999999999</v>
      </c>
      <c r="C90" s="328">
        <f t="shared" si="27"/>
        <v>1.0357631452113873</v>
      </c>
      <c r="D90" s="329">
        <f t="shared" si="28"/>
        <v>0.26354830746346847</v>
      </c>
      <c r="E90" s="329">
        <f t="shared" si="29"/>
        <v>1.0000001242920291</v>
      </c>
      <c r="F90" s="330">
        <f t="shared" si="30"/>
        <v>4.9858202197535938E-4</v>
      </c>
      <c r="G90" s="329">
        <f t="shared" si="31"/>
        <v>1</v>
      </c>
      <c r="H90" s="330">
        <f t="shared" si="32"/>
        <v>0</v>
      </c>
      <c r="I90" s="328">
        <f t="shared" si="33"/>
        <v>2627.7149418089589</v>
      </c>
      <c r="J90" s="331">
        <f t="shared" si="34"/>
        <v>1.5704157680028348</v>
      </c>
      <c r="K90" s="339">
        <f t="shared" si="35"/>
        <v>1.0556940085284221</v>
      </c>
      <c r="L90" s="340">
        <f t="shared" si="36"/>
        <v>0.32627082769150201</v>
      </c>
      <c r="M90" s="328">
        <f t="shared" si="37"/>
        <v>1.0000147113991691</v>
      </c>
      <c r="N90" s="331">
        <f t="shared" si="38"/>
        <v>5.4242453515681802E-3</v>
      </c>
      <c r="O90" s="332">
        <f t="shared" si="39"/>
        <v>1.0000045182390647</v>
      </c>
      <c r="P90" s="333">
        <f t="shared" si="40"/>
        <v>8.2927083340391915E-3</v>
      </c>
      <c r="Q90" s="334">
        <f t="shared" si="41"/>
        <v>27.995047786796437</v>
      </c>
      <c r="R90" s="335">
        <f t="shared" si="42"/>
        <v>-87.141816905803481</v>
      </c>
      <c r="S90" s="337">
        <f t="shared" si="43"/>
        <v>92.858183094196519</v>
      </c>
      <c r="U90" s="310">
        <f t="shared" si="50"/>
        <v>1000000000</v>
      </c>
      <c r="V90" s="310">
        <f t="shared" si="51"/>
        <v>1445525.2899999998</v>
      </c>
      <c r="X90" s="336">
        <f t="shared" si="44"/>
        <v>12.718248687972512</v>
      </c>
      <c r="Y90" s="337">
        <f t="shared" si="45"/>
        <v>-71.595040629892665</v>
      </c>
      <c r="AA90" s="336">
        <f t="shared" si="46"/>
        <v>15.276799098823924</v>
      </c>
      <c r="AB90" s="337">
        <f t="shared" si="47"/>
        <v>-15.546776275910821</v>
      </c>
      <c r="AD90">
        <f t="shared" si="52"/>
        <v>0</v>
      </c>
      <c r="AE90">
        <f t="shared" ref="AE90:AE153" si="53">IF(AD90&gt;0,S90,0)</f>
        <v>0</v>
      </c>
    </row>
    <row r="91" spans="1:31" x14ac:dyDescent="0.25">
      <c r="A91" s="338">
        <v>1318.3</v>
      </c>
      <c r="B91" s="355">
        <f t="shared" si="49"/>
        <v>1.3183</v>
      </c>
      <c r="C91" s="328">
        <f t="shared" si="27"/>
        <v>1.042847918317644</v>
      </c>
      <c r="D91" s="329">
        <f t="shared" si="28"/>
        <v>0.28765220328102453</v>
      </c>
      <c r="E91" s="329">
        <f t="shared" si="29"/>
        <v>1.0000001494328512</v>
      </c>
      <c r="F91" s="330">
        <f t="shared" si="30"/>
        <v>5.4668607548343429E-4</v>
      </c>
      <c r="G91" s="329">
        <f t="shared" si="31"/>
        <v>1</v>
      </c>
      <c r="H91" s="330">
        <f t="shared" si="32"/>
        <v>0</v>
      </c>
      <c r="I91" s="328">
        <f t="shared" si="33"/>
        <v>2881.2414252550357</v>
      </c>
      <c r="J91" s="331">
        <f t="shared" si="34"/>
        <v>1.5704492541715089</v>
      </c>
      <c r="K91" s="339">
        <f t="shared" si="35"/>
        <v>1.066605809530587</v>
      </c>
      <c r="L91" s="340">
        <f t="shared" si="36"/>
        <v>0.35526745423608752</v>
      </c>
      <c r="M91" s="328">
        <f t="shared" si="37"/>
        <v>1.0000176870801265</v>
      </c>
      <c r="N91" s="331">
        <f t="shared" si="38"/>
        <v>5.9475742007178587E-3</v>
      </c>
      <c r="O91" s="332">
        <f t="shared" si="39"/>
        <v>1.0000054322592584</v>
      </c>
      <c r="P91" s="333">
        <f t="shared" si="40"/>
        <v>9.0928160607384803E-3</v>
      </c>
      <c r="Q91" s="334">
        <f t="shared" si="41"/>
        <v>27.225093492369815</v>
      </c>
      <c r="R91" s="335">
        <f t="shared" si="42"/>
        <v>-86.936473871759077</v>
      </c>
      <c r="S91" s="337">
        <f t="shared" si="43"/>
        <v>93.063526128240923</v>
      </c>
      <c r="U91" s="310">
        <f t="shared" si="50"/>
        <v>1000000000</v>
      </c>
      <c r="V91" s="310">
        <f t="shared" si="51"/>
        <v>1737914.89</v>
      </c>
      <c r="X91" s="336">
        <f t="shared" si="44"/>
        <v>12.007512609812569</v>
      </c>
      <c r="Y91" s="337">
        <f t="shared" si="45"/>
        <v>-69.965559457399749</v>
      </c>
      <c r="AA91" s="336">
        <f t="shared" si="46"/>
        <v>15.217580882557245</v>
      </c>
      <c r="AB91" s="337">
        <f t="shared" si="47"/>
        <v>-16.970914414359328</v>
      </c>
      <c r="AD91">
        <f t="shared" si="52"/>
        <v>0</v>
      </c>
      <c r="AE91">
        <f t="shared" si="53"/>
        <v>0</v>
      </c>
    </row>
    <row r="92" spans="1:31" x14ac:dyDescent="0.25">
      <c r="A92" s="338">
        <v>1445.4</v>
      </c>
      <c r="B92" s="355">
        <f t="shared" si="49"/>
        <v>1.4454</v>
      </c>
      <c r="C92" s="328">
        <f t="shared" si="27"/>
        <v>1.0512961759114965</v>
      </c>
      <c r="D92" s="329">
        <f t="shared" si="28"/>
        <v>0.31367279247881447</v>
      </c>
      <c r="E92" s="329">
        <f t="shared" si="29"/>
        <v>1.0000001796361229</v>
      </c>
      <c r="F92" s="330">
        <f t="shared" si="30"/>
        <v>5.9939318637114187E-4</v>
      </c>
      <c r="G92" s="329">
        <f t="shared" si="31"/>
        <v>1</v>
      </c>
      <c r="H92" s="330">
        <f t="shared" si="32"/>
        <v>0</v>
      </c>
      <c r="I92" s="328">
        <f t="shared" si="33"/>
        <v>3159.0277735646023</v>
      </c>
      <c r="J92" s="331">
        <f t="shared" si="34"/>
        <v>1.5704797737005969</v>
      </c>
      <c r="K92" s="339">
        <f t="shared" si="35"/>
        <v>1.0795690209667006</v>
      </c>
      <c r="L92" s="340">
        <f t="shared" si="36"/>
        <v>0.38633677019374191</v>
      </c>
      <c r="M92" s="328">
        <f t="shared" si="37"/>
        <v>1.0000212619436895</v>
      </c>
      <c r="N92" s="331">
        <f t="shared" si="38"/>
        <v>6.5209764561909968E-3</v>
      </c>
      <c r="O92" s="332">
        <f t="shared" si="39"/>
        <v>1.0000065303771504</v>
      </c>
      <c r="P92" s="333">
        <f t="shared" si="40"/>
        <v>9.969489879329059E-3</v>
      </c>
      <c r="Q92" s="334">
        <f t="shared" si="41"/>
        <v>26.460424542351674</v>
      </c>
      <c r="R92" s="335">
        <f t="shared" si="42"/>
        <v>-86.729015120489052</v>
      </c>
      <c r="S92" s="337">
        <f t="shared" si="43"/>
        <v>93.270984879510948</v>
      </c>
      <c r="U92" s="310">
        <f t="shared" si="50"/>
        <v>1000000000</v>
      </c>
      <c r="V92" s="310">
        <f t="shared" si="51"/>
        <v>2089181.1600000001</v>
      </c>
      <c r="X92" s="336">
        <f t="shared" si="44"/>
        <v>11.312935057754645</v>
      </c>
      <c r="Y92" s="337">
        <f t="shared" si="45"/>
        <v>-68.220020948084496</v>
      </c>
      <c r="AA92" s="336">
        <f t="shared" si="46"/>
        <v>15.147489484597026</v>
      </c>
      <c r="AB92" s="337">
        <f t="shared" si="47"/>
        <v>-18.508994172404567</v>
      </c>
      <c r="AD92">
        <f t="shared" si="52"/>
        <v>0</v>
      </c>
      <c r="AE92">
        <f t="shared" si="53"/>
        <v>0</v>
      </c>
    </row>
    <row r="93" spans="1:31" x14ac:dyDescent="0.25">
      <c r="A93" s="338">
        <v>1584.9</v>
      </c>
      <c r="B93" s="355">
        <f t="shared" si="49"/>
        <v>1.5849000000000002</v>
      </c>
      <c r="C93" s="328">
        <f t="shared" si="27"/>
        <v>1.0613739680881904</v>
      </c>
      <c r="D93" s="329">
        <f t="shared" si="28"/>
        <v>0.34173399762639717</v>
      </c>
      <c r="E93" s="329">
        <f t="shared" si="29"/>
        <v>1.0000002159838584</v>
      </c>
      <c r="F93" s="330">
        <f t="shared" si="30"/>
        <v>6.5724245057418055E-4</v>
      </c>
      <c r="G93" s="329">
        <f t="shared" si="31"/>
        <v>1</v>
      </c>
      <c r="H93" s="330">
        <f t="shared" si="32"/>
        <v>0</v>
      </c>
      <c r="I93" s="328">
        <f t="shared" si="33"/>
        <v>3463.9152318436322</v>
      </c>
      <c r="J93" s="331">
        <f t="shared" si="34"/>
        <v>1.5705076361235148</v>
      </c>
      <c r="K93" s="339">
        <f t="shared" si="35"/>
        <v>1.0949659704834034</v>
      </c>
      <c r="L93" s="340">
        <f t="shared" si="36"/>
        <v>0.41955478469883989</v>
      </c>
      <c r="M93" s="328">
        <f t="shared" si="37"/>
        <v>1.0000255640500701</v>
      </c>
      <c r="N93" s="331">
        <f t="shared" si="38"/>
        <v>7.15031544498508E-3</v>
      </c>
      <c r="O93" s="332">
        <f t="shared" si="39"/>
        <v>1.0000078519611626</v>
      </c>
      <c r="P93" s="333">
        <f t="shared" si="40"/>
        <v>1.093169820834953E-2</v>
      </c>
      <c r="Q93" s="334">
        <f t="shared" si="41"/>
        <v>25.700237018546357</v>
      </c>
      <c r="R93" s="335">
        <f t="shared" si="42"/>
        <v>-86.523022533074055</v>
      </c>
      <c r="S93" s="337">
        <f t="shared" si="43"/>
        <v>93.476977466925945</v>
      </c>
      <c r="U93" s="310">
        <f t="shared" si="50"/>
        <v>1000000000</v>
      </c>
      <c r="V93" s="310">
        <f t="shared" si="51"/>
        <v>2511908.0100000002</v>
      </c>
      <c r="X93" s="336">
        <f t="shared" si="44"/>
        <v>10.635625636866344</v>
      </c>
      <c r="Y93" s="337">
        <f t="shared" si="45"/>
        <v>-66.354423778187396</v>
      </c>
      <c r="AA93" s="336">
        <f t="shared" si="46"/>
        <v>15.064611381680011</v>
      </c>
      <c r="AB93" s="337">
        <f t="shared" si="47"/>
        <v>-20.168598754886649</v>
      </c>
      <c r="AD93">
        <f t="shared" si="52"/>
        <v>0</v>
      </c>
      <c r="AE93">
        <f t="shared" si="53"/>
        <v>0</v>
      </c>
    </row>
    <row r="94" spans="1:31" x14ac:dyDescent="0.25">
      <c r="A94" s="338">
        <v>1737.8</v>
      </c>
      <c r="B94" s="355">
        <f t="shared" si="49"/>
        <v>1.7378</v>
      </c>
      <c r="C94" s="328">
        <f t="shared" si="27"/>
        <v>1.0733604579578717</v>
      </c>
      <c r="D94" s="329">
        <f t="shared" si="28"/>
        <v>0.3718590480080215</v>
      </c>
      <c r="E94" s="329">
        <f t="shared" si="29"/>
        <v>1.0000002596672273</v>
      </c>
      <c r="F94" s="330">
        <f t="shared" si="30"/>
        <v>7.206485565938995E-4</v>
      </c>
      <c r="G94" s="329">
        <f t="shared" si="31"/>
        <v>1</v>
      </c>
      <c r="H94" s="330">
        <f t="shared" si="32"/>
        <v>0</v>
      </c>
      <c r="I94" s="328">
        <f t="shared" si="33"/>
        <v>3798.0893732720806</v>
      </c>
      <c r="J94" s="331">
        <f t="shared" si="34"/>
        <v>1.5705330365156867</v>
      </c>
      <c r="K94" s="339">
        <f t="shared" si="35"/>
        <v>1.1131885730927016</v>
      </c>
      <c r="L94" s="340">
        <f t="shared" si="36"/>
        <v>0.45486488898976063</v>
      </c>
      <c r="M94" s="328">
        <f t="shared" si="37"/>
        <v>1.0000307343754111</v>
      </c>
      <c r="N94" s="331">
        <f t="shared" si="38"/>
        <v>7.8401005431917373E-3</v>
      </c>
      <c r="O94" s="332">
        <f t="shared" si="39"/>
        <v>1.0000094403635242</v>
      </c>
      <c r="P94" s="333">
        <f t="shared" si="40"/>
        <v>1.1986340778698267E-2</v>
      </c>
      <c r="Q94" s="334">
        <f t="shared" si="41"/>
        <v>24.946039343327943</v>
      </c>
      <c r="R94" s="335">
        <f t="shared" si="42"/>
        <v>-86.32371160336902</v>
      </c>
      <c r="S94" s="337">
        <f t="shared" si="43"/>
        <v>93.67628839663098</v>
      </c>
      <c r="U94" s="310">
        <f t="shared" si="50"/>
        <v>1000000000</v>
      </c>
      <c r="V94" s="310">
        <f t="shared" si="51"/>
        <v>3019948.84</v>
      </c>
      <c r="X94" s="336">
        <f t="shared" si="44"/>
        <v>9.9789845870363649</v>
      </c>
      <c r="Y94" s="337">
        <f t="shared" si="45"/>
        <v>-64.372280936053627</v>
      </c>
      <c r="AA94" s="336">
        <f t="shared" si="46"/>
        <v>14.967054756291578</v>
      </c>
      <c r="AB94" s="337">
        <f t="shared" si="47"/>
        <v>-21.9514306673154</v>
      </c>
      <c r="AD94">
        <f t="shared" si="52"/>
        <v>0</v>
      </c>
      <c r="AE94">
        <f t="shared" si="53"/>
        <v>0</v>
      </c>
    </row>
    <row r="95" spans="1:31" x14ac:dyDescent="0.25">
      <c r="A95" s="338">
        <v>1905.5</v>
      </c>
      <c r="B95" s="355">
        <f t="shared" si="49"/>
        <v>1.9055</v>
      </c>
      <c r="C95" s="328">
        <f t="shared" si="27"/>
        <v>1.0876007301057844</v>
      </c>
      <c r="D95" s="329">
        <f t="shared" si="28"/>
        <v>0.40410401013946257</v>
      </c>
      <c r="E95" s="329">
        <f t="shared" si="29"/>
        <v>1.0000003122018337</v>
      </c>
      <c r="F95" s="330">
        <f t="shared" si="30"/>
        <v>7.901920684176266E-4</v>
      </c>
      <c r="G95" s="329">
        <f t="shared" si="31"/>
        <v>1</v>
      </c>
      <c r="H95" s="330">
        <f t="shared" si="32"/>
        <v>0</v>
      </c>
      <c r="I95" s="328">
        <f t="shared" si="33"/>
        <v>4164.6100003217416</v>
      </c>
      <c r="J95" s="331">
        <f t="shared" si="34"/>
        <v>1.570556208270105</v>
      </c>
      <c r="K95" s="339">
        <f t="shared" si="35"/>
        <v>1.1347159634265871</v>
      </c>
      <c r="L95" s="340">
        <f t="shared" si="36"/>
        <v>0.49223710795429654</v>
      </c>
      <c r="M95" s="328">
        <f t="shared" si="37"/>
        <v>1.0000369522903771</v>
      </c>
      <c r="N95" s="331">
        <f t="shared" si="38"/>
        <v>8.596644987419565E-3</v>
      </c>
      <c r="O95" s="332">
        <f t="shared" si="39"/>
        <v>1.0000113507547714</v>
      </c>
      <c r="P95" s="333">
        <f t="shared" si="40"/>
        <v>1.3143077094439917E-2</v>
      </c>
      <c r="Q95" s="334">
        <f t="shared" si="41"/>
        <v>24.197676578637882</v>
      </c>
      <c r="R95" s="335">
        <f t="shared" si="42"/>
        <v>-86.136907432721515</v>
      </c>
      <c r="S95" s="337">
        <f t="shared" si="43"/>
        <v>93.863092567278485</v>
      </c>
      <c r="U95" s="310">
        <f t="shared" si="50"/>
        <v>1000000000</v>
      </c>
      <c r="V95" s="310">
        <f t="shared" si="51"/>
        <v>3630930.25</v>
      </c>
      <c r="X95" s="336">
        <f t="shared" si="44"/>
        <v>9.3451159272074502</v>
      </c>
      <c r="Y95" s="337">
        <f t="shared" si="45"/>
        <v>-62.27568496335163</v>
      </c>
      <c r="AA95" s="336">
        <f t="shared" si="46"/>
        <v>14.852560651430428</v>
      </c>
      <c r="AB95" s="337">
        <f t="shared" si="47"/>
        <v>-23.861222469369878</v>
      </c>
      <c r="AD95">
        <f t="shared" si="52"/>
        <v>0</v>
      </c>
      <c r="AE95">
        <f t="shared" si="53"/>
        <v>0</v>
      </c>
    </row>
    <row r="96" spans="1:31" x14ac:dyDescent="0.25">
      <c r="A96" s="338">
        <v>2089.3000000000002</v>
      </c>
      <c r="B96" s="355">
        <f t="shared" si="49"/>
        <v>2.0893000000000002</v>
      </c>
      <c r="C96" s="328">
        <f t="shared" si="27"/>
        <v>1.1044710391681642</v>
      </c>
      <c r="D96" s="329">
        <f t="shared" si="28"/>
        <v>0.43844997354173559</v>
      </c>
      <c r="E96" s="329">
        <f t="shared" si="29"/>
        <v>1.0000003753350639</v>
      </c>
      <c r="F96" s="330">
        <f t="shared" si="30"/>
        <v>8.6641208032458715E-4</v>
      </c>
      <c r="G96" s="329">
        <f t="shared" si="31"/>
        <v>1</v>
      </c>
      <c r="H96" s="330">
        <f t="shared" si="32"/>
        <v>0</v>
      </c>
      <c r="I96" s="328">
        <f t="shared" si="33"/>
        <v>4566.3183581630547</v>
      </c>
      <c r="J96" s="331">
        <f t="shared" si="34"/>
        <v>1.5705773319877987</v>
      </c>
      <c r="K96" s="339">
        <f t="shared" si="35"/>
        <v>1.1600580215884968</v>
      </c>
      <c r="L96" s="340">
        <f t="shared" si="36"/>
        <v>0.53154331091261853</v>
      </c>
      <c r="M96" s="328">
        <f t="shared" si="37"/>
        <v>1.0000444245913733</v>
      </c>
      <c r="N96" s="331">
        <f t="shared" si="38"/>
        <v>9.425809972145701E-3</v>
      </c>
      <c r="O96" s="332">
        <f t="shared" si="39"/>
        <v>1.000013646765096</v>
      </c>
      <c r="P96" s="333">
        <f t="shared" si="40"/>
        <v>1.4410877881772234E-2</v>
      </c>
      <c r="Q96" s="334">
        <f t="shared" si="41"/>
        <v>23.455909397777685</v>
      </c>
      <c r="R96" s="335">
        <f t="shared" si="42"/>
        <v>-85.969697143992107</v>
      </c>
      <c r="S96" s="337">
        <f t="shared" si="43"/>
        <v>94.030302856007893</v>
      </c>
      <c r="U96" s="310">
        <f t="shared" si="50"/>
        <v>1000000000</v>
      </c>
      <c r="V96" s="310">
        <f t="shared" si="51"/>
        <v>4365174.4900000012</v>
      </c>
      <c r="X96" s="336">
        <f t="shared" si="44"/>
        <v>8.7370649819945037</v>
      </c>
      <c r="Y96" s="337">
        <f t="shared" si="45"/>
        <v>-60.072323376653763</v>
      </c>
      <c r="AA96" s="336">
        <f t="shared" si="46"/>
        <v>14.718844415783183</v>
      </c>
      <c r="AB96" s="337">
        <f t="shared" si="47"/>
        <v>-25.897373767338355</v>
      </c>
      <c r="AD96">
        <f t="shared" si="52"/>
        <v>0</v>
      </c>
      <c r="AE96">
        <f t="shared" si="53"/>
        <v>0</v>
      </c>
    </row>
    <row r="97" spans="1:31" x14ac:dyDescent="0.25">
      <c r="A97" s="338">
        <v>2290.9</v>
      </c>
      <c r="B97" s="355">
        <f t="shared" si="49"/>
        <v>2.2909000000000002</v>
      </c>
      <c r="C97" s="328">
        <f t="shared" si="27"/>
        <v>1.1244251275260222</v>
      </c>
      <c r="D97" s="329">
        <f t="shared" si="28"/>
        <v>0.47488930481329206</v>
      </c>
      <c r="E97" s="329">
        <f t="shared" si="29"/>
        <v>1.0000004512630534</v>
      </c>
      <c r="F97" s="330">
        <f t="shared" si="30"/>
        <v>9.5001356164481072E-4</v>
      </c>
      <c r="G97" s="329">
        <f t="shared" si="31"/>
        <v>1</v>
      </c>
      <c r="H97" s="330">
        <f t="shared" si="32"/>
        <v>0</v>
      </c>
      <c r="I97" s="328">
        <f t="shared" si="33"/>
        <v>5006.929921269787</v>
      </c>
      <c r="J97" s="331">
        <f t="shared" si="34"/>
        <v>1.5705966036067609</v>
      </c>
      <c r="K97" s="339">
        <f t="shared" si="35"/>
        <v>1.18982125906071</v>
      </c>
      <c r="L97" s="340">
        <f t="shared" si="36"/>
        <v>0.57266037490850541</v>
      </c>
      <c r="M97" s="328">
        <f t="shared" si="37"/>
        <v>1.0000534111767403</v>
      </c>
      <c r="N97" s="331">
        <f t="shared" si="38"/>
        <v>1.0335259992247036E-2</v>
      </c>
      <c r="O97" s="332">
        <f t="shared" si="39"/>
        <v>1.0000164083894112</v>
      </c>
      <c r="P97" s="333">
        <f t="shared" si="40"/>
        <v>1.5801474246077286E-2</v>
      </c>
      <c r="Q97" s="334">
        <f t="shared" si="41"/>
        <v>22.720217557621108</v>
      </c>
      <c r="R97" s="335">
        <f t="shared" si="42"/>
        <v>-85.829779921938908</v>
      </c>
      <c r="S97" s="337">
        <f t="shared" si="43"/>
        <v>94.170220078061092</v>
      </c>
      <c r="U97" s="310">
        <f t="shared" si="50"/>
        <v>1000000000</v>
      </c>
      <c r="V97" s="310">
        <f t="shared" si="51"/>
        <v>5248222.8100000005</v>
      </c>
      <c r="X97" s="336">
        <f t="shared" si="44"/>
        <v>8.1569206630579405</v>
      </c>
      <c r="Y97" s="337">
        <f t="shared" si="45"/>
        <v>-57.769700971349806</v>
      </c>
      <c r="AA97" s="336">
        <f t="shared" si="46"/>
        <v>14.563296894563164</v>
      </c>
      <c r="AB97" s="337">
        <f t="shared" si="47"/>
        <v>-28.060078950589094</v>
      </c>
      <c r="AD97">
        <f t="shared" si="52"/>
        <v>0</v>
      </c>
      <c r="AE97">
        <f t="shared" si="53"/>
        <v>0</v>
      </c>
    </row>
    <row r="98" spans="1:31" x14ac:dyDescent="0.25">
      <c r="A98" s="338">
        <v>2511.9</v>
      </c>
      <c r="B98" s="355">
        <f t="shared" si="49"/>
        <v>2.5119000000000002</v>
      </c>
      <c r="C98" s="328">
        <f t="shared" si="27"/>
        <v>1.1479508969856986</v>
      </c>
      <c r="D98" s="329">
        <f t="shared" si="28"/>
        <v>0.51332316229028885</v>
      </c>
      <c r="E98" s="329">
        <f t="shared" si="29"/>
        <v>1.0000005425280349</v>
      </c>
      <c r="F98" s="330">
        <f t="shared" si="30"/>
        <v>1.0416600114814541E-3</v>
      </c>
      <c r="G98" s="329">
        <f t="shared" si="31"/>
        <v>1</v>
      </c>
      <c r="H98" s="330">
        <f t="shared" si="32"/>
        <v>0</v>
      </c>
      <c r="I98" s="328">
        <f t="shared" si="33"/>
        <v>5489.9416068097462</v>
      </c>
      <c r="J98" s="331">
        <f t="shared" si="34"/>
        <v>1.5706141754939995</v>
      </c>
      <c r="K98" s="339">
        <f t="shared" si="35"/>
        <v>1.2246395830504442</v>
      </c>
      <c r="L98" s="340">
        <f t="shared" si="36"/>
        <v>0.61535811125811557</v>
      </c>
      <c r="M98" s="328">
        <f t="shared" si="37"/>
        <v>1.0000642128917425</v>
      </c>
      <c r="N98" s="331">
        <f t="shared" si="38"/>
        <v>1.1332206832848982E-2</v>
      </c>
      <c r="O98" s="332">
        <f t="shared" si="39"/>
        <v>1.0000197282757433</v>
      </c>
      <c r="P98" s="333">
        <f t="shared" si="40"/>
        <v>1.7325909237122791E-2</v>
      </c>
      <c r="Q98" s="334">
        <f t="shared" si="41"/>
        <v>21.990847428467276</v>
      </c>
      <c r="R98" s="335">
        <f t="shared" si="42"/>
        <v>-85.725698035752458</v>
      </c>
      <c r="S98" s="337">
        <f t="shared" si="43"/>
        <v>94.274301964247542</v>
      </c>
      <c r="U98" s="310">
        <f t="shared" si="50"/>
        <v>1000000000</v>
      </c>
      <c r="V98" s="310">
        <f t="shared" si="51"/>
        <v>6309641.6100000003</v>
      </c>
      <c r="X98" s="336">
        <f t="shared" si="44"/>
        <v>7.6074339670818247</v>
      </c>
      <c r="Y98" s="337">
        <f t="shared" si="45"/>
        <v>-55.381428522368076</v>
      </c>
      <c r="AA98" s="336">
        <f t="shared" si="46"/>
        <v>14.383413461385452</v>
      </c>
      <c r="AB98" s="337">
        <f t="shared" si="47"/>
        <v>-30.344269513384372</v>
      </c>
      <c r="AD98">
        <f t="shared" si="52"/>
        <v>0</v>
      </c>
      <c r="AE98">
        <f t="shared" si="53"/>
        <v>0</v>
      </c>
    </row>
    <row r="99" spans="1:31" x14ac:dyDescent="0.25">
      <c r="A99" s="338">
        <v>2754.2</v>
      </c>
      <c r="B99" s="355">
        <f t="shared" si="49"/>
        <v>2.7542</v>
      </c>
      <c r="C99" s="328">
        <f t="shared" si="27"/>
        <v>1.1756092211280056</v>
      </c>
      <c r="D99" s="329">
        <f t="shared" si="28"/>
        <v>0.55362764359498384</v>
      </c>
      <c r="E99" s="329">
        <f t="shared" si="29"/>
        <v>1.0000006522414839</v>
      </c>
      <c r="F99" s="330">
        <f t="shared" si="30"/>
        <v>1.1421393342814013E-3</v>
      </c>
      <c r="G99" s="329">
        <f t="shared" si="31"/>
        <v>1</v>
      </c>
      <c r="H99" s="330">
        <f t="shared" si="32"/>
        <v>0</v>
      </c>
      <c r="I99" s="328">
        <f t="shared" si="33"/>
        <v>6019.5060039338896</v>
      </c>
      <c r="J99" s="331">
        <f t="shared" si="34"/>
        <v>1.5706302002051156</v>
      </c>
      <c r="K99" s="339">
        <f t="shared" si="35"/>
        <v>1.2652284970291485</v>
      </c>
      <c r="L99" s="340">
        <f t="shared" si="36"/>
        <v>0.65938186551859601</v>
      </c>
      <c r="M99" s="328">
        <f t="shared" si="37"/>
        <v>1.0000771979316856</v>
      </c>
      <c r="N99" s="331">
        <f t="shared" si="38"/>
        <v>1.2425213539048465E-2</v>
      </c>
      <c r="O99" s="332">
        <f t="shared" si="39"/>
        <v>1.0000237198722373</v>
      </c>
      <c r="P99" s="333">
        <f t="shared" si="40"/>
        <v>1.8997297503831473E-2</v>
      </c>
      <c r="Q99" s="334">
        <f t="shared" si="41"/>
        <v>21.267258401278131</v>
      </c>
      <c r="R99" s="335">
        <f t="shared" si="42"/>
        <v>-85.66614866450567</v>
      </c>
      <c r="S99" s="337">
        <f t="shared" si="43"/>
        <v>94.33385133549433</v>
      </c>
      <c r="U99" s="310">
        <f t="shared" si="50"/>
        <v>1000000000</v>
      </c>
      <c r="V99" s="310">
        <f t="shared" si="51"/>
        <v>7585617.6399999987</v>
      </c>
      <c r="X99" s="336">
        <f t="shared" si="44"/>
        <v>7.0906720998690487</v>
      </c>
      <c r="Y99" s="337">
        <f t="shared" si="45"/>
        <v>-52.922596021671445</v>
      </c>
      <c r="AA99" s="336">
        <f t="shared" si="46"/>
        <v>14.176586301409085</v>
      </c>
      <c r="AB99" s="337">
        <f t="shared" si="47"/>
        <v>-32.743552642834231</v>
      </c>
      <c r="AD99">
        <f t="shared" si="52"/>
        <v>0</v>
      </c>
      <c r="AE99">
        <f t="shared" si="53"/>
        <v>0</v>
      </c>
    </row>
    <row r="100" spans="1:31" x14ac:dyDescent="0.25">
      <c r="A100" s="338">
        <v>3020</v>
      </c>
      <c r="B100" s="355">
        <f t="shared" si="49"/>
        <v>3.02</v>
      </c>
      <c r="C100" s="328">
        <f t="shared" si="27"/>
        <v>1.2080388459322442</v>
      </c>
      <c r="D100" s="329">
        <f t="shared" si="28"/>
        <v>0.59564294718157418</v>
      </c>
      <c r="E100" s="329">
        <f t="shared" si="29"/>
        <v>1.0000007842081053</v>
      </c>
      <c r="F100" s="330">
        <f t="shared" si="30"/>
        <v>1.2523638392534348E-3</v>
      </c>
      <c r="G100" s="329">
        <f t="shared" si="31"/>
        <v>1</v>
      </c>
      <c r="H100" s="330">
        <f t="shared" si="32"/>
        <v>0</v>
      </c>
      <c r="I100" s="328">
        <f t="shared" si="33"/>
        <v>6600.4313737807979</v>
      </c>
      <c r="J100" s="331">
        <f t="shared" si="34"/>
        <v>1.5706448215451341</v>
      </c>
      <c r="K100" s="339">
        <f t="shared" si="35"/>
        <v>1.3123880565153165</v>
      </c>
      <c r="L100" s="340">
        <f t="shared" si="36"/>
        <v>0.70444707332177203</v>
      </c>
      <c r="M100" s="328">
        <f t="shared" si="37"/>
        <v>1.0000928165050604</v>
      </c>
      <c r="N100" s="331">
        <f t="shared" si="38"/>
        <v>1.3624193667335376E-2</v>
      </c>
      <c r="O100" s="332">
        <f t="shared" si="39"/>
        <v>1.0000285219842309</v>
      </c>
      <c r="P100" s="333">
        <f t="shared" si="40"/>
        <v>2.0830826103955372E-2</v>
      </c>
      <c r="Q100" s="334">
        <f t="shared" si="41"/>
        <v>20.54836059759743</v>
      </c>
      <c r="R100" s="335">
        <f t="shared" si="42"/>
        <v>-85.65967431858337</v>
      </c>
      <c r="S100" s="337">
        <f t="shared" si="43"/>
        <v>94.34032568141663</v>
      </c>
      <c r="U100" s="310">
        <f t="shared" si="50"/>
        <v>1000000000</v>
      </c>
      <c r="V100" s="310">
        <f t="shared" si="51"/>
        <v>9120400</v>
      </c>
      <c r="X100" s="336">
        <f t="shared" si="44"/>
        <v>6.6081731770120031</v>
      </c>
      <c r="Y100" s="337">
        <f t="shared" si="45"/>
        <v>-50.41008405094324</v>
      </c>
      <c r="AA100" s="336">
        <f t="shared" si="46"/>
        <v>13.940187420585424</v>
      </c>
      <c r="AB100" s="337">
        <f t="shared" si="47"/>
        <v>-35.249590267640109</v>
      </c>
      <c r="AD100">
        <f t="shared" si="52"/>
        <v>0</v>
      </c>
      <c r="AE100">
        <f t="shared" si="53"/>
        <v>0</v>
      </c>
    </row>
    <row r="101" spans="1:31" x14ac:dyDescent="0.25">
      <c r="A101" s="338">
        <v>3311.3</v>
      </c>
      <c r="B101" s="355">
        <f t="shared" si="49"/>
        <v>3.3113000000000001</v>
      </c>
      <c r="C101" s="328">
        <f t="shared" si="27"/>
        <v>1.2458925360156248</v>
      </c>
      <c r="D101" s="329">
        <f t="shared" si="28"/>
        <v>0.63909239752007752</v>
      </c>
      <c r="E101" s="329">
        <f t="shared" si="29"/>
        <v>1.0000009427889085</v>
      </c>
      <c r="F101" s="330">
        <f t="shared" si="30"/>
        <v>1.3731628948682694E-3</v>
      </c>
      <c r="G101" s="329">
        <f t="shared" si="31"/>
        <v>1</v>
      </c>
      <c r="H101" s="330">
        <f t="shared" si="32"/>
        <v>0</v>
      </c>
      <c r="I101" s="328">
        <f t="shared" si="33"/>
        <v>7237.0888628503717</v>
      </c>
      <c r="J101" s="331">
        <f t="shared" si="34"/>
        <v>1.5706581496877567</v>
      </c>
      <c r="K101" s="339">
        <f t="shared" si="35"/>
        <v>1.3669078189087891</v>
      </c>
      <c r="L101" s="340">
        <f t="shared" si="36"/>
        <v>0.75016230185444244</v>
      </c>
      <c r="M101" s="328">
        <f t="shared" si="37"/>
        <v>1.0001115846122013</v>
      </c>
      <c r="N101" s="331">
        <f t="shared" si="38"/>
        <v>1.4938154989896058E-2</v>
      </c>
      <c r="O101" s="332">
        <f t="shared" si="39"/>
        <v>1.0000342938558449</v>
      </c>
      <c r="P101" s="333">
        <f t="shared" si="40"/>
        <v>2.2840306377751796E-2</v>
      </c>
      <c r="Q101" s="334">
        <f t="shared" si="41"/>
        <v>19.833862616708409</v>
      </c>
      <c r="R101" s="335">
        <f t="shared" si="42"/>
        <v>-85.714116338001602</v>
      </c>
      <c r="S101" s="337">
        <f t="shared" si="43"/>
        <v>94.285883661998398</v>
      </c>
      <c r="U101" s="310">
        <f t="shared" si="50"/>
        <v>1000000000</v>
      </c>
      <c r="V101" s="310">
        <f t="shared" si="51"/>
        <v>10964707.690000001</v>
      </c>
      <c r="X101" s="336">
        <f t="shared" si="44"/>
        <v>6.1617176363054105</v>
      </c>
      <c r="Y101" s="337">
        <f t="shared" si="45"/>
        <v>-47.8668424781863</v>
      </c>
      <c r="AA101" s="336">
        <f t="shared" si="46"/>
        <v>13.672144980403001</v>
      </c>
      <c r="AB101" s="337">
        <f t="shared" si="47"/>
        <v>-37.847273859815331</v>
      </c>
      <c r="AD101">
        <f t="shared" si="52"/>
        <v>0</v>
      </c>
      <c r="AE101">
        <f t="shared" si="53"/>
        <v>0</v>
      </c>
    </row>
    <row r="102" spans="1:31" x14ac:dyDescent="0.25">
      <c r="A102" s="338">
        <v>3630.8</v>
      </c>
      <c r="B102" s="355">
        <f t="shared" si="49"/>
        <v>3.6308000000000002</v>
      </c>
      <c r="C102" s="328">
        <f t="shared" si="27"/>
        <v>1.2899457334781785</v>
      </c>
      <c r="D102" s="329">
        <f t="shared" si="28"/>
        <v>0.6837228874755632</v>
      </c>
      <c r="E102" s="329">
        <f t="shared" si="29"/>
        <v>1.0000011335012895</v>
      </c>
      <c r="F102" s="330">
        <f t="shared" si="30"/>
        <v>1.5056561485824256E-3</v>
      </c>
      <c r="G102" s="329">
        <f t="shared" si="31"/>
        <v>1</v>
      </c>
      <c r="H102" s="330">
        <f t="shared" si="32"/>
        <v>0</v>
      </c>
      <c r="I102" s="328">
        <f t="shared" si="33"/>
        <v>7935.379518929718</v>
      </c>
      <c r="J102" s="331">
        <f t="shared" si="34"/>
        <v>1.5706703088772582</v>
      </c>
      <c r="K102" s="339">
        <f t="shared" si="35"/>
        <v>1.4297234562493357</v>
      </c>
      <c r="L102" s="340">
        <f t="shared" si="36"/>
        <v>0.79618833695065361</v>
      </c>
      <c r="M102" s="328">
        <f t="shared" si="37"/>
        <v>1.0001341550430389</v>
      </c>
      <c r="N102" s="331">
        <f t="shared" si="38"/>
        <v>1.6379258028123303E-2</v>
      </c>
      <c r="O102" s="332">
        <f t="shared" si="39"/>
        <v>1.0000412371018979</v>
      </c>
      <c r="P102" s="333">
        <f t="shared" si="40"/>
        <v>2.504438360171957E-2</v>
      </c>
      <c r="Q102" s="334">
        <f t="shared" si="41"/>
        <v>19.121971172002098</v>
      </c>
      <c r="R102" s="335">
        <f t="shared" si="42"/>
        <v>-85.836116302034611</v>
      </c>
      <c r="S102" s="337">
        <f t="shared" si="43"/>
        <v>94.163883697965389</v>
      </c>
      <c r="U102" s="310">
        <f t="shared" si="50"/>
        <v>1000000000</v>
      </c>
      <c r="V102" s="310">
        <f t="shared" si="51"/>
        <v>13182708.640000001</v>
      </c>
      <c r="X102" s="336">
        <f t="shared" si="44"/>
        <v>5.7517019687652047</v>
      </c>
      <c r="Y102" s="337">
        <f t="shared" si="45"/>
        <v>-45.313010708708845</v>
      </c>
      <c r="AA102" s="336">
        <f t="shared" si="46"/>
        <v>13.370269203236891</v>
      </c>
      <c r="AB102" s="337">
        <f t="shared" si="47"/>
        <v>-40.523105593325745</v>
      </c>
      <c r="AD102">
        <f t="shared" si="52"/>
        <v>0</v>
      </c>
      <c r="AE102">
        <f t="shared" si="53"/>
        <v>0</v>
      </c>
    </row>
    <row r="103" spans="1:31" x14ac:dyDescent="0.25">
      <c r="A103" s="338">
        <v>3981.1</v>
      </c>
      <c r="B103" s="355">
        <f t="shared" si="49"/>
        <v>3.9811000000000001</v>
      </c>
      <c r="C103" s="328">
        <f t="shared" si="27"/>
        <v>1.340991529312396</v>
      </c>
      <c r="D103" s="329">
        <f t="shared" si="28"/>
        <v>0.72918618268934476</v>
      </c>
      <c r="E103" s="329">
        <f t="shared" si="29"/>
        <v>1.0000013627728996</v>
      </c>
      <c r="F103" s="330">
        <f t="shared" si="30"/>
        <v>1.650921773969213E-3</v>
      </c>
      <c r="G103" s="329">
        <f t="shared" si="31"/>
        <v>1</v>
      </c>
      <c r="H103" s="330">
        <f t="shared" si="32"/>
        <v>0</v>
      </c>
      <c r="I103" s="328">
        <f t="shared" si="33"/>
        <v>8700.9858324912293</v>
      </c>
      <c r="J103" s="331">
        <f t="shared" si="34"/>
        <v>1.570681397289039</v>
      </c>
      <c r="K103" s="339">
        <f t="shared" si="35"/>
        <v>1.5017655286893163</v>
      </c>
      <c r="L103" s="340">
        <f t="shared" si="36"/>
        <v>0.84211969699541411</v>
      </c>
      <c r="M103" s="328">
        <f t="shared" si="37"/>
        <v>1.0001612882133823</v>
      </c>
      <c r="N103" s="331">
        <f t="shared" si="38"/>
        <v>1.7959205891456703E-2</v>
      </c>
      <c r="O103" s="332">
        <f t="shared" si="39"/>
        <v>1.0000495868875348</v>
      </c>
      <c r="P103" s="333">
        <f t="shared" si="40"/>
        <v>2.7461020081022469E-2</v>
      </c>
      <c r="Q103" s="334">
        <f t="shared" si="41"/>
        <v>18.41155971343052</v>
      </c>
      <c r="R103" s="335">
        <f t="shared" si="42"/>
        <v>-86.030597790157884</v>
      </c>
      <c r="S103" s="337">
        <f t="shared" si="43"/>
        <v>93.969402209842116</v>
      </c>
      <c r="U103" s="310">
        <f t="shared" si="50"/>
        <v>1000000000</v>
      </c>
      <c r="V103" s="310">
        <f t="shared" si="51"/>
        <v>15849157.209999999</v>
      </c>
      <c r="X103" s="336">
        <f t="shared" si="44"/>
        <v>5.3784529231753018</v>
      </c>
      <c r="Y103" s="337">
        <f t="shared" si="45"/>
        <v>-42.772497291561542</v>
      </c>
      <c r="AA103" s="336">
        <f t="shared" si="46"/>
        <v>13.033106790255218</v>
      </c>
      <c r="AB103" s="337">
        <f t="shared" si="47"/>
        <v>-43.258100498596349</v>
      </c>
      <c r="AD103">
        <f t="shared" si="52"/>
        <v>0</v>
      </c>
      <c r="AE103">
        <f t="shared" si="53"/>
        <v>0</v>
      </c>
    </row>
    <row r="104" spans="1:31" x14ac:dyDescent="0.25">
      <c r="A104" s="338">
        <v>4365.2</v>
      </c>
      <c r="B104" s="355">
        <f t="shared" si="49"/>
        <v>4.3651999999999997</v>
      </c>
      <c r="C104" s="328">
        <f t="shared" si="27"/>
        <v>1.3999007915342847</v>
      </c>
      <c r="D104" s="329">
        <f t="shared" si="28"/>
        <v>0.77512104107464674</v>
      </c>
      <c r="E104" s="329">
        <f t="shared" si="29"/>
        <v>1.000001638421161</v>
      </c>
      <c r="F104" s="330">
        <f t="shared" si="30"/>
        <v>1.8102038138722452E-3</v>
      </c>
      <c r="G104" s="329">
        <f t="shared" si="31"/>
        <v>1</v>
      </c>
      <c r="H104" s="330">
        <f t="shared" si="32"/>
        <v>0</v>
      </c>
      <c r="I104" s="328">
        <f t="shared" si="33"/>
        <v>9540.4645233198007</v>
      </c>
      <c r="J104" s="331">
        <f t="shared" si="34"/>
        <v>1.5706915100955223</v>
      </c>
      <c r="K104" s="339">
        <f t="shared" si="35"/>
        <v>1.5840484697070993</v>
      </c>
      <c r="L104" s="340">
        <f t="shared" si="36"/>
        <v>0.88757597873152927</v>
      </c>
      <c r="M104" s="328">
        <f t="shared" si="37"/>
        <v>1.0001939088667</v>
      </c>
      <c r="N104" s="331">
        <f t="shared" si="38"/>
        <v>1.969149755656029E-2</v>
      </c>
      <c r="O104" s="332">
        <f t="shared" si="39"/>
        <v>1.0000596295810082</v>
      </c>
      <c r="P104" s="333">
        <f t="shared" si="40"/>
        <v>3.0110946536510523E-2</v>
      </c>
      <c r="Q104" s="334">
        <f t="shared" si="41"/>
        <v>17.701072612018145</v>
      </c>
      <c r="R104" s="335">
        <f t="shared" si="42"/>
        <v>-86.300554048345788</v>
      </c>
      <c r="S104" s="337">
        <f t="shared" si="43"/>
        <v>93.699445951654212</v>
      </c>
      <c r="U104" s="310">
        <f t="shared" si="50"/>
        <v>1000000000</v>
      </c>
      <c r="V104" s="310">
        <f t="shared" si="51"/>
        <v>19054971.039999999</v>
      </c>
      <c r="X104" s="336">
        <f t="shared" si="44"/>
        <v>5.0414751436438054</v>
      </c>
      <c r="Y104" s="337">
        <f t="shared" si="45"/>
        <v>-40.267876615289254</v>
      </c>
      <c r="AA104" s="336">
        <f t="shared" si="46"/>
        <v>12.659597468374342</v>
      </c>
      <c r="AB104" s="337">
        <f t="shared" si="47"/>
        <v>-46.032677433056534</v>
      </c>
      <c r="AD104">
        <f t="shared" si="52"/>
        <v>0</v>
      </c>
      <c r="AE104">
        <f t="shared" si="53"/>
        <v>0</v>
      </c>
    </row>
    <row r="105" spans="1:31" x14ac:dyDescent="0.25">
      <c r="A105" s="338">
        <v>4786.3</v>
      </c>
      <c r="B105" s="355">
        <f t="shared" si="49"/>
        <v>4.7862999999999998</v>
      </c>
      <c r="C105" s="328">
        <f t="shared" si="27"/>
        <v>1.4675889825022241</v>
      </c>
      <c r="D105" s="329">
        <f t="shared" si="28"/>
        <v>0.82113667883313024</v>
      </c>
      <c r="E105" s="329">
        <f t="shared" si="29"/>
        <v>1.0000019697767901</v>
      </c>
      <c r="F105" s="330">
        <f t="shared" si="30"/>
        <v>1.9848292404448646E-3</v>
      </c>
      <c r="G105" s="329">
        <f t="shared" si="31"/>
        <v>1</v>
      </c>
      <c r="H105" s="330">
        <f t="shared" si="32"/>
        <v>0</v>
      </c>
      <c r="I105" s="328">
        <f t="shared" si="33"/>
        <v>10460.809425861105</v>
      </c>
      <c r="J105" s="331">
        <f t="shared" si="34"/>
        <v>1.5707007318977129</v>
      </c>
      <c r="K105" s="339">
        <f t="shared" si="35"/>
        <v>1.6776273793128855</v>
      </c>
      <c r="L105" s="340">
        <f t="shared" si="36"/>
        <v>0.93218636185556802</v>
      </c>
      <c r="M105" s="328">
        <f t="shared" si="37"/>
        <v>1.0002331206222823</v>
      </c>
      <c r="N105" s="331">
        <f t="shared" si="38"/>
        <v>2.1590523087797839E-2</v>
      </c>
      <c r="O105" s="332">
        <f t="shared" si="39"/>
        <v>1.000071707537586</v>
      </c>
      <c r="P105" s="333">
        <f t="shared" si="40"/>
        <v>3.3016285296706041E-2</v>
      </c>
      <c r="Q105" s="334">
        <f t="shared" si="41"/>
        <v>16.989111794629792</v>
      </c>
      <c r="R105" s="335">
        <f t="shared" si="42"/>
        <v>-86.646862075985595</v>
      </c>
      <c r="S105" s="337">
        <f t="shared" si="43"/>
        <v>93.353137924014405</v>
      </c>
      <c r="U105" s="310">
        <f t="shared" si="50"/>
        <v>1000000000</v>
      </c>
      <c r="V105" s="310">
        <f t="shared" si="51"/>
        <v>22908667.690000001</v>
      </c>
      <c r="X105" s="336">
        <f t="shared" si="44"/>
        <v>4.7397600222729555</v>
      </c>
      <c r="Y105" s="337">
        <f t="shared" si="45"/>
        <v>-37.82122445549701</v>
      </c>
      <c r="AA105" s="336">
        <f t="shared" si="46"/>
        <v>12.249351772356839</v>
      </c>
      <c r="AB105" s="337">
        <f t="shared" si="47"/>
        <v>-48.825637620488592</v>
      </c>
      <c r="AD105">
        <f t="shared" si="52"/>
        <v>0</v>
      </c>
      <c r="AE105">
        <f t="shared" si="53"/>
        <v>0</v>
      </c>
    </row>
    <row r="106" spans="1:31" x14ac:dyDescent="0.25">
      <c r="A106" s="338">
        <v>5248.1</v>
      </c>
      <c r="B106" s="355">
        <f t="shared" si="49"/>
        <v>5.2481</v>
      </c>
      <c r="C106" s="328">
        <f t="shared" si="27"/>
        <v>1.5450590964514757</v>
      </c>
      <c r="D106" s="329">
        <f t="shared" si="28"/>
        <v>0.8668585868760168</v>
      </c>
      <c r="E106" s="329">
        <f t="shared" si="29"/>
        <v>1.000002368215942</v>
      </c>
      <c r="F106" s="330">
        <f t="shared" si="30"/>
        <v>2.1763323589969932E-3</v>
      </c>
      <c r="G106" s="329">
        <f t="shared" si="31"/>
        <v>1</v>
      </c>
      <c r="H106" s="330">
        <f t="shared" si="32"/>
        <v>0</v>
      </c>
      <c r="I106" s="328">
        <f t="shared" si="33"/>
        <v>11470.107161201393</v>
      </c>
      <c r="J106" s="331">
        <f t="shared" si="34"/>
        <v>1.5707091436511638</v>
      </c>
      <c r="K106" s="339">
        <f t="shared" si="35"/>
        <v>1.7836622354278657</v>
      </c>
      <c r="L106" s="340">
        <f t="shared" si="36"/>
        <v>0.9756326890773358</v>
      </c>
      <c r="M106" s="328">
        <f t="shared" si="37"/>
        <v>1.0002802688476569</v>
      </c>
      <c r="N106" s="331">
        <f t="shared" si="38"/>
        <v>2.3672912978869271E-2</v>
      </c>
      <c r="O106" s="332">
        <f t="shared" si="39"/>
        <v>1.0000862389036402</v>
      </c>
      <c r="P106" s="333">
        <f t="shared" si="40"/>
        <v>3.6202623965548908E-2</v>
      </c>
      <c r="Q106" s="334">
        <f t="shared" si="41"/>
        <v>16.274065115206341</v>
      </c>
      <c r="R106" s="335">
        <f t="shared" si="42"/>
        <v>-87.068628800856089</v>
      </c>
      <c r="S106" s="337">
        <f t="shared" si="43"/>
        <v>92.931371199143911</v>
      </c>
      <c r="U106" s="310">
        <f t="shared" si="50"/>
        <v>1000000000</v>
      </c>
      <c r="V106" s="310">
        <f t="shared" si="51"/>
        <v>27542553.610000003</v>
      </c>
      <c r="X106" s="336">
        <f t="shared" si="44"/>
        <v>4.4716491400770364</v>
      </c>
      <c r="Y106" s="337">
        <f t="shared" si="45"/>
        <v>-35.451727377667979</v>
      </c>
      <c r="AA106" s="336">
        <f t="shared" si="46"/>
        <v>11.802415975129305</v>
      </c>
      <c r="AB106" s="337">
        <f t="shared" si="47"/>
        <v>-51.616901423188125</v>
      </c>
      <c r="AD106">
        <f t="shared" si="52"/>
        <v>0</v>
      </c>
      <c r="AE106">
        <f t="shared" si="53"/>
        <v>0</v>
      </c>
    </row>
    <row r="107" spans="1:31" x14ac:dyDescent="0.25">
      <c r="A107" s="338">
        <v>5370.3</v>
      </c>
      <c r="B107" s="355">
        <f t="shared" si="49"/>
        <v>5.3703000000000003</v>
      </c>
      <c r="C107" s="328">
        <f t="shared" si="27"/>
        <v>1.5660654249649086</v>
      </c>
      <c r="D107" s="329">
        <f t="shared" si="28"/>
        <v>0.87819287211002006</v>
      </c>
      <c r="E107" s="329">
        <f t="shared" si="29"/>
        <v>1.0000024797857912</v>
      </c>
      <c r="F107" s="330">
        <f t="shared" si="30"/>
        <v>2.2270072594279384E-3</v>
      </c>
      <c r="G107" s="329">
        <f t="shared" si="31"/>
        <v>1</v>
      </c>
      <c r="H107" s="330">
        <f t="shared" si="32"/>
        <v>0</v>
      </c>
      <c r="I107" s="328">
        <f t="shared" si="33"/>
        <v>11737.184214719093</v>
      </c>
      <c r="J107" s="331">
        <f t="shared" si="34"/>
        <v>1.57071112748449</v>
      </c>
      <c r="K107" s="339">
        <f t="shared" si="35"/>
        <v>1.8122423118162996</v>
      </c>
      <c r="L107" s="340">
        <f t="shared" si="36"/>
        <v>0.98627218720978749</v>
      </c>
      <c r="M107" s="328">
        <f t="shared" si="37"/>
        <v>1.0002934707707658</v>
      </c>
      <c r="N107" s="331">
        <f t="shared" si="38"/>
        <v>2.4223914540121849E-2</v>
      </c>
      <c r="O107" s="332">
        <f t="shared" si="39"/>
        <v>1.0000903095430911</v>
      </c>
      <c r="P107" s="333">
        <f t="shared" si="40"/>
        <v>3.7045818797697673E-2</v>
      </c>
      <c r="Q107" s="334">
        <f t="shared" si="41"/>
        <v>16.094764032333941</v>
      </c>
      <c r="R107" s="335">
        <f t="shared" si="42"/>
        <v>-87.185528946077881</v>
      </c>
      <c r="S107" s="337">
        <f t="shared" si="43"/>
        <v>92.814471053922119</v>
      </c>
      <c r="U107" s="310">
        <f t="shared" si="50"/>
        <v>1000000000</v>
      </c>
      <c r="V107" s="310">
        <f t="shared" si="51"/>
        <v>28840122.090000004</v>
      </c>
      <c r="X107" s="336">
        <f t="shared" si="44"/>
        <v>4.4096785662306308</v>
      </c>
      <c r="Y107" s="337">
        <f t="shared" si="45"/>
        <v>-34.873812767122551</v>
      </c>
      <c r="AA107" s="336">
        <f t="shared" si="46"/>
        <v>11.685085466103313</v>
      </c>
      <c r="AB107" s="337">
        <f t="shared" si="47"/>
        <v>-52.311716178955329</v>
      </c>
      <c r="AD107">
        <f t="shared" si="52"/>
        <v>0</v>
      </c>
      <c r="AE107">
        <f t="shared" si="53"/>
        <v>0</v>
      </c>
    </row>
    <row r="108" spans="1:31" x14ac:dyDescent="0.25">
      <c r="A108" s="338">
        <v>5432.85</v>
      </c>
      <c r="B108" s="355">
        <f t="shared" si="49"/>
        <v>5.4328500000000002</v>
      </c>
      <c r="C108" s="328">
        <f t="shared" si="27"/>
        <v>1.5768941216388932</v>
      </c>
      <c r="D108" s="329">
        <f t="shared" si="28"/>
        <v>0.8838772880295428</v>
      </c>
      <c r="E108" s="329">
        <f t="shared" si="29"/>
        <v>1.0000025378882138</v>
      </c>
      <c r="F108" s="330">
        <f t="shared" si="30"/>
        <v>2.2529460031525139E-3</v>
      </c>
      <c r="G108" s="329">
        <f t="shared" si="31"/>
        <v>1</v>
      </c>
      <c r="H108" s="330">
        <f t="shared" si="32"/>
        <v>0</v>
      </c>
      <c r="I108" s="328">
        <f t="shared" si="33"/>
        <v>11873.891822735804</v>
      </c>
      <c r="J108" s="331">
        <f t="shared" si="34"/>
        <v>1.5707121084092055</v>
      </c>
      <c r="K108" s="339">
        <f t="shared" si="35"/>
        <v>1.8269489730755535</v>
      </c>
      <c r="L108" s="340">
        <f t="shared" si="36"/>
        <v>0.99158907265149276</v>
      </c>
      <c r="M108" s="328">
        <f t="shared" si="37"/>
        <v>1.0003003458906188</v>
      </c>
      <c r="N108" s="331">
        <f t="shared" si="38"/>
        <v>2.4505947720308799E-2</v>
      </c>
      <c r="O108" s="332">
        <f t="shared" si="39"/>
        <v>1.0000924296952214</v>
      </c>
      <c r="P108" s="333">
        <f t="shared" si="40"/>
        <v>3.7477427522627726E-2</v>
      </c>
      <c r="Q108" s="334">
        <f t="shared" si="41"/>
        <v>16.004453460407444</v>
      </c>
      <c r="R108" s="335">
        <f t="shared" si="42"/>
        <v>-87.246045582920203</v>
      </c>
      <c r="S108" s="337">
        <f t="shared" si="43"/>
        <v>92.753954417079797</v>
      </c>
      <c r="U108" s="310">
        <f t="shared" si="50"/>
        <v>1000000000</v>
      </c>
      <c r="V108" s="310">
        <f t="shared" si="51"/>
        <v>29515859.122500002</v>
      </c>
      <c r="X108" s="336">
        <f t="shared" si="44"/>
        <v>4.3792385581671711</v>
      </c>
      <c r="Y108" s="337">
        <f t="shared" si="45"/>
        <v>-34.585393184582308</v>
      </c>
      <c r="AA108" s="336">
        <f t="shared" si="46"/>
        <v>11.625214902240273</v>
      </c>
      <c r="AB108" s="337">
        <f t="shared" si="47"/>
        <v>-52.660652398337902</v>
      </c>
      <c r="AD108">
        <f t="shared" si="52"/>
        <v>0</v>
      </c>
      <c r="AE108">
        <f t="shared" si="53"/>
        <v>0</v>
      </c>
    </row>
    <row r="109" spans="1:31" x14ac:dyDescent="0.25">
      <c r="A109" s="338">
        <v>5495.4</v>
      </c>
      <c r="B109" s="355">
        <f t="shared" si="49"/>
        <v>5.4954000000000001</v>
      </c>
      <c r="C109" s="328">
        <f t="shared" si="27"/>
        <v>1.5877730758729518</v>
      </c>
      <c r="D109" s="329">
        <f t="shared" si="28"/>
        <v>0.88948398716432442</v>
      </c>
      <c r="E109" s="329">
        <f t="shared" si="29"/>
        <v>1.0000025966634567</v>
      </c>
      <c r="F109" s="330">
        <f t="shared" si="30"/>
        <v>2.2788847438454372E-3</v>
      </c>
      <c r="G109" s="329">
        <f t="shared" si="31"/>
        <v>1</v>
      </c>
      <c r="H109" s="330">
        <f t="shared" si="32"/>
        <v>0</v>
      </c>
      <c r="I109" s="328">
        <f t="shared" si="33"/>
        <v>12010.599430763677</v>
      </c>
      <c r="J109" s="331">
        <f t="shared" si="34"/>
        <v>1.5707130670036664</v>
      </c>
      <c r="K109" s="339">
        <f t="shared" si="35"/>
        <v>1.841706455175899</v>
      </c>
      <c r="L109" s="340">
        <f t="shared" si="36"/>
        <v>0.99682089626620707</v>
      </c>
      <c r="M109" s="328">
        <f t="shared" si="37"/>
        <v>1.0003073005759795</v>
      </c>
      <c r="N109" s="331">
        <f t="shared" si="38"/>
        <v>2.4787977001229946E-2</v>
      </c>
      <c r="O109" s="332">
        <f t="shared" si="39"/>
        <v>1.0000945745923508</v>
      </c>
      <c r="P109" s="333">
        <f t="shared" si="40"/>
        <v>3.7909040464021458E-2</v>
      </c>
      <c r="Q109" s="334">
        <f t="shared" si="41"/>
        <v>15.915104926338078</v>
      </c>
      <c r="R109" s="335">
        <f t="shared" si="42"/>
        <v>-87.306981798602749</v>
      </c>
      <c r="S109" s="337">
        <f t="shared" si="43"/>
        <v>92.693018201397251</v>
      </c>
      <c r="U109" s="310">
        <f t="shared" si="50"/>
        <v>1000000000</v>
      </c>
      <c r="V109" s="310">
        <f t="shared" si="51"/>
        <v>30199421.159999996</v>
      </c>
      <c r="X109" s="336">
        <f t="shared" si="44"/>
        <v>4.3496261233650237</v>
      </c>
      <c r="Y109" s="337">
        <f t="shared" si="45"/>
        <v>-34.301845782891071</v>
      </c>
      <c r="AA109" s="336">
        <f t="shared" si="46"/>
        <v>11.565478802973052</v>
      </c>
      <c r="AB109" s="337">
        <f t="shared" si="47"/>
        <v>-53.00513601571167</v>
      </c>
      <c r="AD109">
        <f t="shared" si="52"/>
        <v>0</v>
      </c>
      <c r="AE109">
        <f t="shared" si="53"/>
        <v>0</v>
      </c>
    </row>
    <row r="110" spans="1:31" x14ac:dyDescent="0.25">
      <c r="A110" s="338">
        <v>5559.4</v>
      </c>
      <c r="B110" s="355">
        <f t="shared" si="49"/>
        <v>5.5593999999999992</v>
      </c>
      <c r="C110" s="328">
        <f t="shared" si="27"/>
        <v>1.5989551687179209</v>
      </c>
      <c r="D110" s="329">
        <f t="shared" si="28"/>
        <v>0.89514150849551277</v>
      </c>
      <c r="E110" s="329">
        <f t="shared" si="29"/>
        <v>1.0000026574975913</v>
      </c>
      <c r="F110" s="330">
        <f t="shared" si="30"/>
        <v>2.3054247791099501E-3</v>
      </c>
      <c r="G110" s="329">
        <f t="shared" si="31"/>
        <v>1</v>
      </c>
      <c r="H110" s="330">
        <f t="shared" si="32"/>
        <v>0</v>
      </c>
      <c r="I110" s="328">
        <f t="shared" si="33"/>
        <v>12150.476120043972</v>
      </c>
      <c r="J110" s="331">
        <f t="shared" si="34"/>
        <v>1.5707140254931822</v>
      </c>
      <c r="K110" s="339">
        <f t="shared" si="35"/>
        <v>1.8568573749488564</v>
      </c>
      <c r="L110" s="340">
        <f t="shared" si="36"/>
        <v>1.0020877790258851</v>
      </c>
      <c r="M110" s="328">
        <f t="shared" si="37"/>
        <v>1.0003144988328863</v>
      </c>
      <c r="N110" s="331">
        <f t="shared" si="38"/>
        <v>2.5076540048578632E-2</v>
      </c>
      <c r="O110" s="332">
        <f t="shared" si="39"/>
        <v>1.0000967948303801</v>
      </c>
      <c r="P110" s="333">
        <f t="shared" si="40"/>
        <v>3.835066323595096E-2</v>
      </c>
      <c r="Q110" s="334">
        <f t="shared" si="41"/>
        <v>15.824657054612672</v>
      </c>
      <c r="R110" s="335">
        <f t="shared" si="42"/>
        <v>-87.369734591237119</v>
      </c>
      <c r="S110" s="337">
        <f t="shared" si="43"/>
        <v>92.630265408762881</v>
      </c>
      <c r="U110" s="310">
        <f t="shared" si="50"/>
        <v>1000000000</v>
      </c>
      <c r="V110" s="310">
        <f t="shared" si="51"/>
        <v>30906928.359999996</v>
      </c>
      <c r="X110" s="336">
        <f t="shared" si="44"/>
        <v>4.3201540853472755</v>
      </c>
      <c r="Y110" s="337">
        <f t="shared" si="45"/>
        <v>-34.016663991385904</v>
      </c>
      <c r="AA110" s="336">
        <f t="shared" si="46"/>
        <v>11.504502969265394</v>
      </c>
      <c r="AB110" s="337">
        <f t="shared" si="47"/>
        <v>-53.353070599851208</v>
      </c>
      <c r="AD110">
        <f t="shared" si="52"/>
        <v>0</v>
      </c>
      <c r="AE110">
        <f t="shared" si="53"/>
        <v>0</v>
      </c>
    </row>
    <row r="111" spans="1:31" x14ac:dyDescent="0.25">
      <c r="A111" s="338">
        <v>5623.4</v>
      </c>
      <c r="B111" s="355">
        <f t="shared" si="49"/>
        <v>5.6233999999999993</v>
      </c>
      <c r="C111" s="328">
        <f t="shared" si="27"/>
        <v>1.6101877284195876</v>
      </c>
      <c r="D111" s="329">
        <f t="shared" si="28"/>
        <v>0.90072027335778404</v>
      </c>
      <c r="E111" s="329">
        <f t="shared" si="29"/>
        <v>1.0000027190361012</v>
      </c>
      <c r="F111" s="330">
        <f t="shared" si="30"/>
        <v>2.3319648111266981E-3</v>
      </c>
      <c r="G111" s="329">
        <f t="shared" si="31"/>
        <v>1</v>
      </c>
      <c r="H111" s="330">
        <f t="shared" si="32"/>
        <v>0</v>
      </c>
      <c r="I111" s="328">
        <f t="shared" si="33"/>
        <v>12290.352809335172</v>
      </c>
      <c r="J111" s="331">
        <f t="shared" si="34"/>
        <v>1.570714962165531</v>
      </c>
      <c r="K111" s="339">
        <f t="shared" si="35"/>
        <v>1.872058969471097</v>
      </c>
      <c r="L111" s="340">
        <f t="shared" si="36"/>
        <v>1.0072692667316012</v>
      </c>
      <c r="M111" s="328">
        <f t="shared" si="37"/>
        <v>1.0003217803834101</v>
      </c>
      <c r="N111" s="331">
        <f t="shared" si="38"/>
        <v>2.5365098918933921E-2</v>
      </c>
      <c r="O111" s="332">
        <f t="shared" si="39"/>
        <v>1.0000990409882091</v>
      </c>
      <c r="P111" s="333">
        <f t="shared" si="40"/>
        <v>3.8792290524467955E-2</v>
      </c>
      <c r="Q111" s="334">
        <f t="shared" si="41"/>
        <v>15.735168832148187</v>
      </c>
      <c r="R111" s="335">
        <f t="shared" si="42"/>
        <v>-87.432866516388742</v>
      </c>
      <c r="S111" s="337">
        <f t="shared" si="43"/>
        <v>92.567133483611258</v>
      </c>
      <c r="U111" s="310">
        <f t="shared" si="50"/>
        <v>1000000000</v>
      </c>
      <c r="V111" s="310">
        <f t="shared" si="51"/>
        <v>31622627.559999995</v>
      </c>
      <c r="X111" s="336">
        <f t="shared" si="44"/>
        <v>4.291489341140923</v>
      </c>
      <c r="Y111" s="337">
        <f t="shared" si="45"/>
        <v>-33.736373486713966</v>
      </c>
      <c r="AA111" s="336">
        <f t="shared" si="46"/>
        <v>11.443679491007261</v>
      </c>
      <c r="AB111" s="337">
        <f t="shared" si="47"/>
        <v>-53.696493029674784</v>
      </c>
      <c r="AD111">
        <f t="shared" si="52"/>
        <v>0</v>
      </c>
      <c r="AE111">
        <f t="shared" si="53"/>
        <v>0</v>
      </c>
    </row>
    <row r="112" spans="1:31" x14ac:dyDescent="0.25">
      <c r="A112" s="338">
        <v>5688.9</v>
      </c>
      <c r="B112" s="355">
        <f t="shared" si="49"/>
        <v>5.6888999999999994</v>
      </c>
      <c r="C112" s="328">
        <f t="shared" si="27"/>
        <v>1.6217347118770176</v>
      </c>
      <c r="D112" s="329">
        <f t="shared" si="28"/>
        <v>0.90634959286060501</v>
      </c>
      <c r="E112" s="329">
        <f t="shared" si="29"/>
        <v>1.0000027827462514</v>
      </c>
      <c r="F112" s="330">
        <f t="shared" si="30"/>
        <v>2.3591268717419863E-3</v>
      </c>
      <c r="G112" s="329">
        <f t="shared" si="31"/>
        <v>1</v>
      </c>
      <c r="H112" s="330">
        <f t="shared" si="32"/>
        <v>0</v>
      </c>
      <c r="I112" s="328">
        <f t="shared" si="33"/>
        <v>12433.507858542545</v>
      </c>
      <c r="J112" s="331">
        <f t="shared" si="34"/>
        <v>1.5707158989693422</v>
      </c>
      <c r="K112" s="339">
        <f t="shared" si="35"/>
        <v>1.8876680439940376</v>
      </c>
      <c r="L112" s="340">
        <f t="shared" si="36"/>
        <v>1.0124856410416823</v>
      </c>
      <c r="M112" s="328">
        <f t="shared" si="37"/>
        <v>1.0003293188381621</v>
      </c>
      <c r="N112" s="331">
        <f t="shared" si="38"/>
        <v>2.5660416512775109E-2</v>
      </c>
      <c r="O112" s="332">
        <f t="shared" si="39"/>
        <v>1.0001013666361773</v>
      </c>
      <c r="P112" s="333">
        <f t="shared" si="40"/>
        <v>3.9244273183186261E-2</v>
      </c>
      <c r="Q112" s="334">
        <f t="shared" si="41"/>
        <v>15.644553245499345</v>
      </c>
      <c r="R112" s="335">
        <f t="shared" si="42"/>
        <v>-87.497841087146398</v>
      </c>
      <c r="S112" s="337">
        <f t="shared" si="43"/>
        <v>92.502158912853602</v>
      </c>
      <c r="U112" s="310">
        <f t="shared" si="50"/>
        <v>1000000000</v>
      </c>
      <c r="V112" s="310">
        <f t="shared" si="51"/>
        <v>32363583.209999997</v>
      </c>
      <c r="X112" s="336">
        <f t="shared" si="44"/>
        <v>4.2629594004209626</v>
      </c>
      <c r="Y112" s="337">
        <f t="shared" si="45"/>
        <v>-33.454471380711404</v>
      </c>
      <c r="AA112" s="336">
        <f t="shared" si="46"/>
        <v>11.381593845078385</v>
      </c>
      <c r="AB112" s="337">
        <f t="shared" si="47"/>
        <v>-54.043369706434994</v>
      </c>
      <c r="AD112">
        <f t="shared" si="52"/>
        <v>0</v>
      </c>
      <c r="AE112">
        <f t="shared" si="53"/>
        <v>0</v>
      </c>
    </row>
    <row r="113" spans="1:31" x14ac:dyDescent="0.25">
      <c r="A113" s="338">
        <v>5754.4</v>
      </c>
      <c r="B113" s="355">
        <f t="shared" si="49"/>
        <v>5.7543999999999995</v>
      </c>
      <c r="C113" s="328">
        <f t="shared" si="27"/>
        <v>1.6333323592959066</v>
      </c>
      <c r="D113" s="329">
        <f t="shared" si="28"/>
        <v>0.91189914300822617</v>
      </c>
      <c r="E113" s="329">
        <f t="shared" si="29"/>
        <v>1.0000028471941815</v>
      </c>
      <c r="F113" s="330">
        <f t="shared" si="30"/>
        <v>2.3862889288762475E-3</v>
      </c>
      <c r="G113" s="329">
        <f t="shared" si="31"/>
        <v>1</v>
      </c>
      <c r="H113" s="330">
        <f t="shared" si="32"/>
        <v>0</v>
      </c>
      <c r="I113" s="328">
        <f t="shared" si="33"/>
        <v>12576.662907760585</v>
      </c>
      <c r="J113" s="331">
        <f t="shared" si="34"/>
        <v>1.5707168144466379</v>
      </c>
      <c r="K113" s="339">
        <f t="shared" si="35"/>
        <v>1.9033276397414773</v>
      </c>
      <c r="L113" s="340">
        <f t="shared" si="36"/>
        <v>1.0176163177933975</v>
      </c>
      <c r="M113" s="328">
        <f t="shared" si="37"/>
        <v>1.0003369445327968</v>
      </c>
      <c r="N113" s="331">
        <f t="shared" si="38"/>
        <v>2.5955729629884464E-2</v>
      </c>
      <c r="O113" s="332">
        <f t="shared" si="39"/>
        <v>1.0001037194488072</v>
      </c>
      <c r="P113" s="333">
        <f t="shared" si="40"/>
        <v>3.9696260682379067E-2</v>
      </c>
      <c r="Q113" s="334">
        <f t="shared" si="41"/>
        <v>15.554895743328586</v>
      </c>
      <c r="R113" s="335">
        <f t="shared" si="42"/>
        <v>-87.563154118046995</v>
      </c>
      <c r="S113" s="337">
        <f t="shared" si="43"/>
        <v>92.436845881953005</v>
      </c>
      <c r="U113" s="310">
        <f t="shared" si="50"/>
        <v>1000000000</v>
      </c>
      <c r="V113" s="310">
        <f t="shared" si="51"/>
        <v>33113119.359999996</v>
      </c>
      <c r="X113" s="336">
        <f t="shared" si="44"/>
        <v>4.2352168485999249</v>
      </c>
      <c r="Y113" s="337">
        <f t="shared" si="45"/>
        <v>-33.177477904706222</v>
      </c>
      <c r="AA113" s="336">
        <f t="shared" si="46"/>
        <v>11.319678894728664</v>
      </c>
      <c r="AB113" s="337">
        <f t="shared" si="47"/>
        <v>-54.385676213340773</v>
      </c>
      <c r="AD113">
        <f t="shared" si="52"/>
        <v>0</v>
      </c>
      <c r="AE113">
        <f t="shared" si="53"/>
        <v>0</v>
      </c>
    </row>
    <row r="114" spans="1:31" x14ac:dyDescent="0.25">
      <c r="A114" s="338">
        <v>5821.4</v>
      </c>
      <c r="B114" s="355">
        <f t="shared" si="49"/>
        <v>5.8213999999999997</v>
      </c>
      <c r="C114" s="328">
        <f t="shared" si="27"/>
        <v>1.6452469023121092</v>
      </c>
      <c r="D114" s="329">
        <f t="shared" si="28"/>
        <v>0.91749465783316497</v>
      </c>
      <c r="E114" s="329">
        <f t="shared" si="29"/>
        <v>1.0000029138813347</v>
      </c>
      <c r="F114" s="330">
        <f t="shared" si="30"/>
        <v>2.4140730142099783E-3</v>
      </c>
      <c r="G114" s="329">
        <f t="shared" si="31"/>
        <v>1</v>
      </c>
      <c r="H114" s="330">
        <f t="shared" si="32"/>
        <v>0</v>
      </c>
      <c r="I114" s="328">
        <f t="shared" si="33"/>
        <v>12723.096316895035</v>
      </c>
      <c r="J114" s="331">
        <f t="shared" si="34"/>
        <v>1.5707177295748393</v>
      </c>
      <c r="K114" s="339">
        <f t="shared" si="35"/>
        <v>1.9193968329813904</v>
      </c>
      <c r="L114" s="340">
        <f t="shared" si="36"/>
        <v>1.0227777357590557</v>
      </c>
      <c r="M114" s="328">
        <f t="shared" si="37"/>
        <v>1.0003448351191286</v>
      </c>
      <c r="N114" s="331">
        <f t="shared" si="38"/>
        <v>2.6257800957528169E-2</v>
      </c>
      <c r="O114" s="332">
        <f t="shared" si="39"/>
        <v>1.0001061542559506</v>
      </c>
      <c r="P114" s="333">
        <f t="shared" si="40"/>
        <v>4.0158604106177019E-2</v>
      </c>
      <c r="Q114" s="334">
        <f t="shared" si="41"/>
        <v>15.464152859064953</v>
      </c>
      <c r="R114" s="335">
        <f t="shared" si="42"/>
        <v>-87.630284297271899</v>
      </c>
      <c r="S114" s="337">
        <f t="shared" si="43"/>
        <v>92.369715702728101</v>
      </c>
      <c r="U114" s="310">
        <f t="shared" si="50"/>
        <v>1000000000</v>
      </c>
      <c r="V114" s="310">
        <f t="shared" si="51"/>
        <v>33888697.959999993</v>
      </c>
      <c r="X114" s="336">
        <f t="shared" si="44"/>
        <v>4.207624840570988</v>
      </c>
      <c r="Y114" s="337">
        <f t="shared" si="45"/>
        <v>-32.89911028382248</v>
      </c>
      <c r="AA114" s="336">
        <f t="shared" si="46"/>
        <v>11.256528018493963</v>
      </c>
      <c r="AB114" s="337">
        <f t="shared" si="47"/>
        <v>-54.731174013449433</v>
      </c>
      <c r="AD114">
        <f t="shared" si="52"/>
        <v>0</v>
      </c>
      <c r="AE114">
        <f t="shared" si="53"/>
        <v>0</v>
      </c>
    </row>
    <row r="115" spans="1:31" x14ac:dyDescent="0.25">
      <c r="A115" s="338">
        <v>5888.4</v>
      </c>
      <c r="B115" s="355">
        <f t="shared" si="49"/>
        <v>5.8883999999999999</v>
      </c>
      <c r="C115" s="328">
        <f t="shared" si="27"/>
        <v>1.6572122160273437</v>
      </c>
      <c r="D115" s="329">
        <f t="shared" si="28"/>
        <v>0.92300954239504895</v>
      </c>
      <c r="E115" s="329">
        <f t="shared" si="29"/>
        <v>1.0000029813404452</v>
      </c>
      <c r="F115" s="330">
        <f t="shared" si="30"/>
        <v>2.4418570958165881E-3</v>
      </c>
      <c r="G115" s="329">
        <f t="shared" si="31"/>
        <v>1</v>
      </c>
      <c r="H115" s="330">
        <f t="shared" si="32"/>
        <v>0</v>
      </c>
      <c r="I115" s="328">
        <f t="shared" si="33"/>
        <v>12869.5297260399</v>
      </c>
      <c r="J115" s="331">
        <f t="shared" si="34"/>
        <v>1.5707186238778286</v>
      </c>
      <c r="K115" s="339">
        <f t="shared" si="35"/>
        <v>1.9355163095741781</v>
      </c>
      <c r="L115" s="340">
        <f t="shared" si="36"/>
        <v>1.0278533158443057</v>
      </c>
      <c r="M115" s="328">
        <f t="shared" si="37"/>
        <v>1.0003528169825675</v>
      </c>
      <c r="N115" s="331">
        <f t="shared" si="38"/>
        <v>2.6559867492250779E-2</v>
      </c>
      <c r="O115" s="332">
        <f t="shared" si="39"/>
        <v>1.0001086175033107</v>
      </c>
      <c r="P115" s="333">
        <f t="shared" si="40"/>
        <v>4.0620952712082478E-2</v>
      </c>
      <c r="Q115" s="334">
        <f t="shared" si="41"/>
        <v>15.37436584002652</v>
      </c>
      <c r="R115" s="335">
        <f t="shared" si="42"/>
        <v>-87.697711680308359</v>
      </c>
      <c r="S115" s="337">
        <f t="shared" si="43"/>
        <v>92.302288319691641</v>
      </c>
      <c r="U115" s="310">
        <f t="shared" si="50"/>
        <v>1000000000</v>
      </c>
      <c r="V115" s="310">
        <f t="shared" si="51"/>
        <v>34673254.559999995</v>
      </c>
      <c r="X115" s="336">
        <f t="shared" si="44"/>
        <v>4.1807995134230049</v>
      </c>
      <c r="Y115" s="337">
        <f t="shared" si="45"/>
        <v>-32.625659343403171</v>
      </c>
      <c r="AA115" s="336">
        <f t="shared" si="46"/>
        <v>11.193566326603516</v>
      </c>
      <c r="AB115" s="337">
        <f t="shared" si="47"/>
        <v>-55.07205233690518</v>
      </c>
      <c r="AD115">
        <f t="shared" si="52"/>
        <v>0</v>
      </c>
      <c r="AE115">
        <f t="shared" si="53"/>
        <v>0</v>
      </c>
    </row>
    <row r="116" spans="1:31" x14ac:dyDescent="0.25">
      <c r="A116" s="338">
        <v>5957</v>
      </c>
      <c r="B116" s="355">
        <f t="shared" si="49"/>
        <v>5.9569999999999999</v>
      </c>
      <c r="C116" s="328">
        <f t="shared" si="27"/>
        <v>1.6695147323480555</v>
      </c>
      <c r="D116" s="329">
        <f t="shared" si="28"/>
        <v>0.92857404826637069</v>
      </c>
      <c r="E116" s="329">
        <f t="shared" si="29"/>
        <v>1.0000030512103495</v>
      </c>
      <c r="F116" s="330">
        <f t="shared" si="30"/>
        <v>2.4703046739729864E-3</v>
      </c>
      <c r="G116" s="329">
        <f t="shared" si="31"/>
        <v>1</v>
      </c>
      <c r="H116" s="330">
        <f t="shared" si="32"/>
        <v>0</v>
      </c>
      <c r="I116" s="328">
        <f t="shared" si="33"/>
        <v>13019.460052428498</v>
      </c>
      <c r="J116" s="331">
        <f t="shared" si="34"/>
        <v>1.5707195186940264</v>
      </c>
      <c r="K116" s="339">
        <f t="shared" si="35"/>
        <v>1.9520715268401692</v>
      </c>
      <c r="L116" s="340">
        <f t="shared" si="36"/>
        <v>1.0329631178211043</v>
      </c>
      <c r="M116" s="328">
        <f t="shared" si="37"/>
        <v>1.0003610840281507</v>
      </c>
      <c r="N116" s="331">
        <f t="shared" si="38"/>
        <v>2.6869142532738286E-2</v>
      </c>
      <c r="O116" s="332">
        <f t="shared" si="39"/>
        <v>1.0001111690507694</v>
      </c>
      <c r="P116" s="333">
        <f t="shared" si="40"/>
        <v>4.1094347909917284E-2</v>
      </c>
      <c r="Q116" s="334">
        <f t="shared" si="41"/>
        <v>15.28340182166809</v>
      </c>
      <c r="R116" s="335">
        <f t="shared" si="42"/>
        <v>-87.767029338904123</v>
      </c>
      <c r="S116" s="337">
        <f t="shared" si="43"/>
        <v>92.232970661095877</v>
      </c>
      <c r="U116" s="310">
        <f t="shared" si="50"/>
        <v>1000000000</v>
      </c>
      <c r="V116" s="310">
        <f t="shared" si="51"/>
        <v>35485849</v>
      </c>
      <c r="X116" s="336">
        <f t="shared" si="44"/>
        <v>4.1540996432995119</v>
      </c>
      <c r="Y116" s="337">
        <f t="shared" si="45"/>
        <v>-32.350660679391027</v>
      </c>
      <c r="AA116" s="336">
        <f t="shared" si="46"/>
        <v>11.129302178368579</v>
      </c>
      <c r="AB116" s="337">
        <f t="shared" si="47"/>
        <v>-55.41636865951309</v>
      </c>
      <c r="AD116">
        <f t="shared" si="52"/>
        <v>0</v>
      </c>
      <c r="AE116">
        <f t="shared" si="53"/>
        <v>0</v>
      </c>
    </row>
    <row r="117" spans="1:31" x14ac:dyDescent="0.25">
      <c r="A117" s="338">
        <v>6025.6</v>
      </c>
      <c r="B117" s="355">
        <f t="shared" si="49"/>
        <v>6.0256000000000007</v>
      </c>
      <c r="C117" s="328">
        <f t="shared" si="27"/>
        <v>1.6818681858715712</v>
      </c>
      <c r="D117" s="329">
        <f t="shared" si="28"/>
        <v>0.9340569783785454</v>
      </c>
      <c r="E117" s="329">
        <f t="shared" si="29"/>
        <v>1.0000031218895207</v>
      </c>
      <c r="F117" s="330">
        <f t="shared" si="30"/>
        <v>2.4987522481311163E-3</v>
      </c>
      <c r="G117" s="329">
        <f t="shared" si="31"/>
        <v>1</v>
      </c>
      <c r="H117" s="330">
        <f t="shared" si="32"/>
        <v>0</v>
      </c>
      <c r="I117" s="328">
        <f t="shared" si="33"/>
        <v>13169.39037882728</v>
      </c>
      <c r="J117" s="331">
        <f t="shared" si="34"/>
        <v>1.5707203931356919</v>
      </c>
      <c r="K117" s="339">
        <f t="shared" si="35"/>
        <v>1.9686768548499445</v>
      </c>
      <c r="L117" s="340">
        <f t="shared" si="36"/>
        <v>1.0379868491677342</v>
      </c>
      <c r="M117" s="328">
        <f t="shared" si="37"/>
        <v>1.0003694467577358</v>
      </c>
      <c r="N117" s="331">
        <f t="shared" si="38"/>
        <v>2.7178412431950672E-2</v>
      </c>
      <c r="O117" s="332">
        <f t="shared" si="39"/>
        <v>1.000113750431803</v>
      </c>
      <c r="P117" s="333">
        <f t="shared" si="40"/>
        <v>4.1567748666222246E-2</v>
      </c>
      <c r="Q117" s="334">
        <f t="shared" si="41"/>
        <v>15.193393617766514</v>
      </c>
      <c r="R117" s="335">
        <f t="shared" si="42"/>
        <v>-87.836603391397048</v>
      </c>
      <c r="S117" s="337">
        <f t="shared" si="43"/>
        <v>92.163396608602952</v>
      </c>
      <c r="U117" s="310">
        <f t="shared" si="50"/>
        <v>1000000000</v>
      </c>
      <c r="V117" s="310">
        <f t="shared" si="51"/>
        <v>36307855.360000007</v>
      </c>
      <c r="X117" s="336">
        <f t="shared" si="44"/>
        <v>4.1281472404021446</v>
      </c>
      <c r="Y117" s="337">
        <f t="shared" si="45"/>
        <v>-32.080592037285136</v>
      </c>
      <c r="AA117" s="336">
        <f t="shared" si="46"/>
        <v>11.065246377364371</v>
      </c>
      <c r="AB117" s="337">
        <f t="shared" si="47"/>
        <v>-55.756011354111919</v>
      </c>
      <c r="AD117">
        <f t="shared" si="52"/>
        <v>0</v>
      </c>
      <c r="AE117">
        <f t="shared" si="53"/>
        <v>0</v>
      </c>
    </row>
    <row r="118" spans="1:31" x14ac:dyDescent="0.25">
      <c r="A118" s="338">
        <v>6095.8</v>
      </c>
      <c r="B118" s="355">
        <f t="shared" si="49"/>
        <v>6.0958000000000006</v>
      </c>
      <c r="C118" s="328">
        <f t="shared" si="27"/>
        <v>1.6945613374315176</v>
      </c>
      <c r="D118" s="329">
        <f t="shared" si="28"/>
        <v>0.93958485962621352</v>
      </c>
      <c r="E118" s="329">
        <f t="shared" si="29"/>
        <v>1.0000031950549852</v>
      </c>
      <c r="F118" s="330">
        <f t="shared" si="30"/>
        <v>2.5278633183738824E-3</v>
      </c>
      <c r="G118" s="329">
        <f t="shared" si="31"/>
        <v>1</v>
      </c>
      <c r="H118" s="330">
        <f t="shared" si="32"/>
        <v>0</v>
      </c>
      <c r="I118" s="328">
        <f t="shared" si="33"/>
        <v>13322.817622470042</v>
      </c>
      <c r="J118" s="331">
        <f t="shared" si="34"/>
        <v>1.5707212675972646</v>
      </c>
      <c r="K118" s="339">
        <f t="shared" si="35"/>
        <v>1.9857200450609835</v>
      </c>
      <c r="L118" s="340">
        <f t="shared" si="36"/>
        <v>1.0430406384721636</v>
      </c>
      <c r="M118" s="328">
        <f t="shared" si="37"/>
        <v>1.0003781035914767</v>
      </c>
      <c r="N118" s="331">
        <f t="shared" si="38"/>
        <v>2.7494890239141E-2</v>
      </c>
      <c r="O118" s="332">
        <f t="shared" si="39"/>
        <v>1.0001164229154997</v>
      </c>
      <c r="P118" s="333">
        <f t="shared" si="40"/>
        <v>4.2052196660466876E-2</v>
      </c>
      <c r="Q118" s="334">
        <f t="shared" si="41"/>
        <v>15.102252584466989</v>
      </c>
      <c r="R118" s="335">
        <f t="shared" si="42"/>
        <v>-87.908038688548203</v>
      </c>
      <c r="S118" s="337">
        <f t="shared" si="43"/>
        <v>92.091961311451797</v>
      </c>
      <c r="U118" s="310">
        <f t="shared" si="50"/>
        <v>1000000000</v>
      </c>
      <c r="V118" s="310">
        <f t="shared" si="51"/>
        <v>37158777.640000001</v>
      </c>
      <c r="X118" s="336">
        <f t="shared" si="44"/>
        <v>4.1023355398858312</v>
      </c>
      <c r="Y118" s="337">
        <f t="shared" si="45"/>
        <v>-31.809214184901901</v>
      </c>
      <c r="AA118" s="336">
        <f t="shared" si="46"/>
        <v>10.999917044581156</v>
      </c>
      <c r="AB118" s="337">
        <f t="shared" si="47"/>
        <v>-56.098824503646313</v>
      </c>
      <c r="AD118">
        <f t="shared" si="52"/>
        <v>0</v>
      </c>
      <c r="AE118">
        <f t="shared" si="53"/>
        <v>0</v>
      </c>
    </row>
    <row r="119" spans="1:31" x14ac:dyDescent="0.25">
      <c r="A119" s="338">
        <v>6166</v>
      </c>
      <c r="B119" s="355">
        <f t="shared" si="49"/>
        <v>6.1660000000000004</v>
      </c>
      <c r="C119" s="328">
        <f t="shared" si="27"/>
        <v>1.7073054996348567</v>
      </c>
      <c r="D119" s="329">
        <f t="shared" si="28"/>
        <v>0.94503037960332192</v>
      </c>
      <c r="E119" s="329">
        <f t="shared" si="29"/>
        <v>1.0000032690679066</v>
      </c>
      <c r="F119" s="330">
        <f t="shared" si="30"/>
        <v>2.5569743843321417E-3</v>
      </c>
      <c r="G119" s="329">
        <f t="shared" si="31"/>
        <v>1</v>
      </c>
      <c r="H119" s="330">
        <f t="shared" si="32"/>
        <v>0</v>
      </c>
      <c r="I119" s="328">
        <f t="shared" si="33"/>
        <v>13476.244866122759</v>
      </c>
      <c r="J119" s="331">
        <f t="shared" si="34"/>
        <v>1.5707221221473222</v>
      </c>
      <c r="K119" s="339">
        <f t="shared" si="35"/>
        <v>2.0028130882124771</v>
      </c>
      <c r="L119" s="340">
        <f t="shared" si="36"/>
        <v>1.0480082895525635</v>
      </c>
      <c r="M119" s="328">
        <f t="shared" si="37"/>
        <v>1.0003868606195501</v>
      </c>
      <c r="N119" s="331">
        <f t="shared" si="38"/>
        <v>2.7811362537361547E-2</v>
      </c>
      <c r="O119" s="332">
        <f t="shared" si="39"/>
        <v>1.0001191266612759</v>
      </c>
      <c r="P119" s="333">
        <f t="shared" si="40"/>
        <v>4.2536650610401475E-2</v>
      </c>
      <c r="Q119" s="334">
        <f t="shared" si="41"/>
        <v>15.012066599062774</v>
      </c>
      <c r="R119" s="335">
        <f t="shared" si="42"/>
        <v>-87.979689274187763</v>
      </c>
      <c r="S119" s="337">
        <f t="shared" si="43"/>
        <v>92.020310725812237</v>
      </c>
      <c r="U119" s="310">
        <f t="shared" si="50"/>
        <v>1000000000</v>
      </c>
      <c r="V119" s="310">
        <f t="shared" si="51"/>
        <v>38019556</v>
      </c>
      <c r="X119" s="336">
        <f t="shared" si="44"/>
        <v>4.0772513099941285</v>
      </c>
      <c r="Y119" s="337">
        <f t="shared" si="45"/>
        <v>-31.542770232729445</v>
      </c>
      <c r="AA119" s="336">
        <f t="shared" si="46"/>
        <v>10.934815289068647</v>
      </c>
      <c r="AB119" s="337">
        <f t="shared" si="47"/>
        <v>-56.436919041458289</v>
      </c>
      <c r="AD119">
        <f t="shared" si="52"/>
        <v>0</v>
      </c>
      <c r="AE119">
        <f t="shared" si="53"/>
        <v>0</v>
      </c>
    </row>
    <row r="120" spans="1:31" x14ac:dyDescent="0.25">
      <c r="A120" s="338">
        <v>6237.8</v>
      </c>
      <c r="B120" s="355">
        <f t="shared" si="49"/>
        <v>6.2378</v>
      </c>
      <c r="C120" s="328">
        <f t="shared" si="27"/>
        <v>1.7203917133176851</v>
      </c>
      <c r="D120" s="329">
        <f t="shared" si="28"/>
        <v>0.95051639056723825</v>
      </c>
      <c r="E120" s="329">
        <f t="shared" si="29"/>
        <v>1.0000033456443822</v>
      </c>
      <c r="F120" s="330">
        <f t="shared" si="30"/>
        <v>2.5867489458856973E-3</v>
      </c>
      <c r="G120" s="329">
        <f t="shared" si="31"/>
        <v>1</v>
      </c>
      <c r="H120" s="330">
        <f t="shared" si="32"/>
        <v>0</v>
      </c>
      <c r="I120" s="328">
        <f t="shared" si="33"/>
        <v>13633.169027019678</v>
      </c>
      <c r="J120" s="331">
        <f t="shared" si="34"/>
        <v>1.5707229762775727</v>
      </c>
      <c r="K120" s="339">
        <f t="shared" si="35"/>
        <v>2.0203459677669935</v>
      </c>
      <c r="L120" s="340">
        <f t="shared" si="36"/>
        <v>1.0530020845474226</v>
      </c>
      <c r="M120" s="328">
        <f t="shared" si="37"/>
        <v>1.0003959208810684</v>
      </c>
      <c r="N120" s="331">
        <f t="shared" si="38"/>
        <v>2.8135042114752051E-2</v>
      </c>
      <c r="O120" s="332">
        <f t="shared" si="39"/>
        <v>1.0001219243809356</v>
      </c>
      <c r="P120" s="333">
        <f t="shared" si="40"/>
        <v>4.3032152477753882E-2</v>
      </c>
      <c r="Q120" s="334">
        <f t="shared" si="41"/>
        <v>14.920790221984346</v>
      </c>
      <c r="R120" s="335">
        <f t="shared" si="42"/>
        <v>-88.053169792691435</v>
      </c>
      <c r="S120" s="337">
        <f t="shared" si="43"/>
        <v>91.946830207308565</v>
      </c>
      <c r="U120" s="310">
        <f t="shared" si="50"/>
        <v>1000000000</v>
      </c>
      <c r="V120" s="310">
        <f t="shared" si="51"/>
        <v>38910148.840000004</v>
      </c>
      <c r="X120" s="336">
        <f t="shared" si="44"/>
        <v>4.0523206196848953</v>
      </c>
      <c r="Y120" s="337">
        <f t="shared" si="45"/>
        <v>-31.275241267222341</v>
      </c>
      <c r="AA120" s="336">
        <f t="shared" si="46"/>
        <v>10.868469602299449</v>
      </c>
      <c r="AB120" s="337">
        <f t="shared" si="47"/>
        <v>-56.777928525469122</v>
      </c>
      <c r="AD120">
        <f t="shared" si="52"/>
        <v>0</v>
      </c>
      <c r="AE120">
        <f t="shared" si="53"/>
        <v>0</v>
      </c>
    </row>
    <row r="121" spans="1:31" x14ac:dyDescent="0.25">
      <c r="A121" s="338">
        <v>6309.6</v>
      </c>
      <c r="B121" s="355">
        <f t="shared" si="49"/>
        <v>6.3096000000000005</v>
      </c>
      <c r="C121" s="328">
        <f t="shared" si="27"/>
        <v>1.7335289218284315</v>
      </c>
      <c r="D121" s="329">
        <f t="shared" si="28"/>
        <v>0.9559194127846008</v>
      </c>
      <c r="E121" s="329">
        <f t="shared" si="29"/>
        <v>1.0000034231073851</v>
      </c>
      <c r="F121" s="330">
        <f t="shared" si="30"/>
        <v>2.6165235028528105E-3</v>
      </c>
      <c r="G121" s="329">
        <f t="shared" si="31"/>
        <v>1</v>
      </c>
      <c r="H121" s="330">
        <f t="shared" si="32"/>
        <v>0</v>
      </c>
      <c r="I121" s="328">
        <f t="shared" si="33"/>
        <v>13790.093187926313</v>
      </c>
      <c r="J121" s="331">
        <f t="shared" si="34"/>
        <v>1.5707238109686981</v>
      </c>
      <c r="K121" s="339">
        <f t="shared" si="35"/>
        <v>2.0379283630354572</v>
      </c>
      <c r="L121" s="340">
        <f t="shared" si="36"/>
        <v>1.0579098314224924</v>
      </c>
      <c r="M121" s="328">
        <f t="shared" si="37"/>
        <v>1.0004050859506308</v>
      </c>
      <c r="N121" s="331">
        <f t="shared" si="38"/>
        <v>2.845871579536359E-2</v>
      </c>
      <c r="O121" s="332">
        <f t="shared" si="39"/>
        <v>1.0001247548265499</v>
      </c>
      <c r="P121" s="333">
        <f t="shared" si="40"/>
        <v>4.3527660719703126E-2</v>
      </c>
      <c r="Q121" s="334">
        <f t="shared" si="41"/>
        <v>14.83046747801369</v>
      </c>
      <c r="R121" s="335">
        <f t="shared" si="42"/>
        <v>-88.126824514229625</v>
      </c>
      <c r="S121" s="337">
        <f t="shared" si="43"/>
        <v>91.873175485770375</v>
      </c>
      <c r="U121" s="310">
        <f t="shared" si="50"/>
        <v>1000000000</v>
      </c>
      <c r="V121" s="310">
        <f t="shared" si="51"/>
        <v>39811052.160000004</v>
      </c>
      <c r="X121" s="336">
        <f t="shared" si="44"/>
        <v>4.0280967793272691</v>
      </c>
      <c r="Y121" s="337">
        <f t="shared" si="45"/>
        <v>-31.012641044179436</v>
      </c>
      <c r="AA121" s="336">
        <f t="shared" si="46"/>
        <v>10.802370698686421</v>
      </c>
      <c r="AB121" s="337">
        <f t="shared" si="47"/>
        <v>-57.114183470050193</v>
      </c>
      <c r="AD121">
        <f t="shared" si="52"/>
        <v>0</v>
      </c>
      <c r="AE121">
        <f t="shared" si="53"/>
        <v>0</v>
      </c>
    </row>
    <row r="122" spans="1:31" x14ac:dyDescent="0.25">
      <c r="A122" s="338">
        <v>6383.05</v>
      </c>
      <c r="B122" s="355">
        <f t="shared" si="49"/>
        <v>6.3830499999999999</v>
      </c>
      <c r="C122" s="328">
        <f t="shared" si="27"/>
        <v>1.7470195965867386</v>
      </c>
      <c r="D122" s="329">
        <f t="shared" si="28"/>
        <v>0.96136235477885823</v>
      </c>
      <c r="E122" s="329">
        <f t="shared" si="29"/>
        <v>1.0000035032678471</v>
      </c>
      <c r="F122" s="330">
        <f t="shared" si="30"/>
        <v>2.6469822892669814E-3</v>
      </c>
      <c r="G122" s="329">
        <f t="shared" si="31"/>
        <v>1</v>
      </c>
      <c r="H122" s="330">
        <f t="shared" si="32"/>
        <v>0</v>
      </c>
      <c r="I122" s="328">
        <f t="shared" si="33"/>
        <v>13950.623544740934</v>
      </c>
      <c r="J122" s="331">
        <f t="shared" si="34"/>
        <v>1.5707246454110753</v>
      </c>
      <c r="K122" s="339">
        <f t="shared" si="35"/>
        <v>2.0559647216199379</v>
      </c>
      <c r="L122" s="340">
        <f t="shared" si="36"/>
        <v>1.0628433823580157</v>
      </c>
      <c r="M122" s="328">
        <f t="shared" si="37"/>
        <v>1.0004145700836142</v>
      </c>
      <c r="N122" s="331">
        <f t="shared" si="38"/>
        <v>2.8789821487298445E-2</v>
      </c>
      <c r="O122" s="332">
        <f t="shared" si="39"/>
        <v>1.0001276841920204</v>
      </c>
      <c r="P122" s="333">
        <f t="shared" si="40"/>
        <v>4.4034562661582469E-2</v>
      </c>
      <c r="Q122" s="334">
        <f t="shared" si="41"/>
        <v>14.739033214288815</v>
      </c>
      <c r="R122" s="335">
        <f t="shared" si="42"/>
        <v>-88.20232742283622</v>
      </c>
      <c r="S122" s="337">
        <f t="shared" si="43"/>
        <v>91.79767257716378</v>
      </c>
      <c r="U122" s="310">
        <f t="shared" si="50"/>
        <v>1000000000</v>
      </c>
      <c r="V122" s="310">
        <f t="shared" si="51"/>
        <v>40743327.302500002</v>
      </c>
      <c r="X122" s="336">
        <f t="shared" si="44"/>
        <v>4.0040209568396126</v>
      </c>
      <c r="Y122" s="337">
        <f t="shared" si="45"/>
        <v>-30.748988166006953</v>
      </c>
      <c r="AA122" s="336">
        <f t="shared" si="46"/>
        <v>10.735012257449201</v>
      </c>
      <c r="AB122" s="337">
        <f t="shared" si="47"/>
        <v>-57.453339256829253</v>
      </c>
      <c r="AD122">
        <f t="shared" si="52"/>
        <v>0</v>
      </c>
      <c r="AE122">
        <f t="shared" si="53"/>
        <v>0</v>
      </c>
    </row>
    <row r="123" spans="1:31" x14ac:dyDescent="0.25">
      <c r="A123" s="338">
        <v>6456.5</v>
      </c>
      <c r="B123" s="355">
        <f t="shared" si="49"/>
        <v>6.4565000000000001</v>
      </c>
      <c r="C123" s="328">
        <f t="shared" si="27"/>
        <v>1.7605612338021754</v>
      </c>
      <c r="D123" s="329">
        <f t="shared" si="28"/>
        <v>0.9667217230109918</v>
      </c>
      <c r="E123" s="329">
        <f t="shared" si="29"/>
        <v>1.00000358435605</v>
      </c>
      <c r="F123" s="330">
        <f t="shared" si="30"/>
        <v>2.6774410707697308E-3</v>
      </c>
      <c r="G123" s="329">
        <f t="shared" si="31"/>
        <v>1</v>
      </c>
      <c r="H123" s="330">
        <f t="shared" si="32"/>
        <v>0</v>
      </c>
      <c r="I123" s="328">
        <f t="shared" si="33"/>
        <v>14111.153901565049</v>
      </c>
      <c r="J123" s="331">
        <f t="shared" si="34"/>
        <v>1.5707254608679984</v>
      </c>
      <c r="K123" s="339">
        <f t="shared" si="35"/>
        <v>2.0740502511768715</v>
      </c>
      <c r="L123" s="340">
        <f t="shared" si="36"/>
        <v>1.0676910093467789</v>
      </c>
      <c r="M123" s="328">
        <f t="shared" si="37"/>
        <v>1.0004241638909404</v>
      </c>
      <c r="N123" s="331">
        <f t="shared" si="38"/>
        <v>2.9120920865096669E-2</v>
      </c>
      <c r="O123" s="332">
        <f t="shared" si="39"/>
        <v>1.0001306478295819</v>
      </c>
      <c r="P123" s="333">
        <f t="shared" si="40"/>
        <v>4.4541471428842933E-2</v>
      </c>
      <c r="Q123" s="334">
        <f t="shared" si="41"/>
        <v>14.648551864024235</v>
      </c>
      <c r="R123" s="335">
        <f t="shared" si="42"/>
        <v>-88.277963928890841</v>
      </c>
      <c r="S123" s="337">
        <f t="shared" si="43"/>
        <v>91.722036071109159</v>
      </c>
      <c r="U123" s="310">
        <f t="shared" si="50"/>
        <v>1000000000</v>
      </c>
      <c r="V123" s="310">
        <f t="shared" si="51"/>
        <v>41686392.25</v>
      </c>
      <c r="X123" s="336">
        <f t="shared" si="44"/>
        <v>3.9806318055307384</v>
      </c>
      <c r="Y123" s="337">
        <f t="shared" si="45"/>
        <v>-30.490256917788784</v>
      </c>
      <c r="AA123" s="336">
        <f t="shared" si="46"/>
        <v>10.667920058493499</v>
      </c>
      <c r="AB123" s="337">
        <f t="shared" si="47"/>
        <v>-57.78770701110205</v>
      </c>
      <c r="AD123">
        <f t="shared" si="52"/>
        <v>0</v>
      </c>
      <c r="AE123">
        <f t="shared" si="53"/>
        <v>0</v>
      </c>
    </row>
    <row r="124" spans="1:31" x14ac:dyDescent="0.25">
      <c r="A124" s="338">
        <v>6531.7</v>
      </c>
      <c r="B124" s="355">
        <f t="shared" si="49"/>
        <v>6.5316999999999998</v>
      </c>
      <c r="C124" s="328">
        <f t="shared" si="27"/>
        <v>1.7744770902917251</v>
      </c>
      <c r="D124" s="329">
        <f t="shared" si="28"/>
        <v>0.97212387814010892</v>
      </c>
      <c r="E124" s="329">
        <f t="shared" si="29"/>
        <v>1.0000036683373987</v>
      </c>
      <c r="F124" s="330">
        <f t="shared" si="30"/>
        <v>2.7086255498838677E-3</v>
      </c>
      <c r="G124" s="329">
        <f t="shared" si="31"/>
        <v>1</v>
      </c>
      <c r="H124" s="330">
        <f t="shared" si="32"/>
        <v>0</v>
      </c>
      <c r="I124" s="328">
        <f t="shared" si="33"/>
        <v>14275.509011624565</v>
      </c>
      <c r="J124" s="331">
        <f t="shared" si="34"/>
        <v>1.5707262767532482</v>
      </c>
      <c r="K124" s="339">
        <f t="shared" si="35"/>
        <v>2.0926162926183114</v>
      </c>
      <c r="L124" s="340">
        <f t="shared" si="36"/>
        <v>1.0725672071140628</v>
      </c>
      <c r="M124" s="328">
        <f t="shared" si="37"/>
        <v>1.00043409989953</v>
      </c>
      <c r="N124" s="331">
        <f t="shared" si="38"/>
        <v>2.9459902310662846E-2</v>
      </c>
      <c r="O124" s="332">
        <f t="shared" si="39"/>
        <v>1.0001337175979215</v>
      </c>
      <c r="P124" s="333">
        <f t="shared" si="40"/>
        <v>4.5060464821207916E-2</v>
      </c>
      <c r="Q124" s="334">
        <f t="shared" si="41"/>
        <v>14.556879504787029</v>
      </c>
      <c r="R124" s="335">
        <f t="shared" si="42"/>
        <v>-88.355517410900049</v>
      </c>
      <c r="S124" s="337">
        <f t="shared" si="43"/>
        <v>91.644482589099951</v>
      </c>
      <c r="U124" s="310">
        <f t="shared" si="50"/>
        <v>1000000000</v>
      </c>
      <c r="V124" s="310">
        <f t="shared" si="51"/>
        <v>42663104.890000001</v>
      </c>
      <c r="X124" s="336">
        <f t="shared" si="44"/>
        <v>3.957370614697874</v>
      </c>
      <c r="Y124" s="337">
        <f t="shared" si="45"/>
        <v>-30.230340318300861</v>
      </c>
      <c r="AA124" s="336">
        <f t="shared" si="46"/>
        <v>10.599508890089155</v>
      </c>
      <c r="AB124" s="337">
        <f t="shared" si="47"/>
        <v>-58.125177092599166</v>
      </c>
      <c r="AD124">
        <f t="shared" si="52"/>
        <v>0</v>
      </c>
      <c r="AE124">
        <f t="shared" si="53"/>
        <v>0</v>
      </c>
    </row>
    <row r="125" spans="1:31" x14ac:dyDescent="0.25">
      <c r="A125" s="338">
        <v>6606.9</v>
      </c>
      <c r="B125" s="355">
        <f t="shared" si="49"/>
        <v>6.6068999999999996</v>
      </c>
      <c r="C125" s="328">
        <f t="shared" si="27"/>
        <v>1.7884439250919586</v>
      </c>
      <c r="D125" s="329">
        <f t="shared" si="28"/>
        <v>0.97744181030151689</v>
      </c>
      <c r="E125" s="329">
        <f t="shared" si="29"/>
        <v>1.0000037532912223</v>
      </c>
      <c r="F125" s="330">
        <f t="shared" si="30"/>
        <v>2.7398100237298688E-3</v>
      </c>
      <c r="G125" s="329">
        <f t="shared" si="31"/>
        <v>1</v>
      </c>
      <c r="H125" s="330">
        <f t="shared" si="32"/>
        <v>0</v>
      </c>
      <c r="I125" s="328">
        <f t="shared" si="33"/>
        <v>14439.864121693365</v>
      </c>
      <c r="J125" s="331">
        <f t="shared" si="34"/>
        <v>1.5707270740656207</v>
      </c>
      <c r="K125" s="339">
        <f t="shared" si="35"/>
        <v>2.1112312150356631</v>
      </c>
      <c r="L125" s="340">
        <f t="shared" si="36"/>
        <v>1.0773575293358857</v>
      </c>
      <c r="M125" s="328">
        <f t="shared" si="37"/>
        <v>1.0004441508641311</v>
      </c>
      <c r="N125" s="331">
        <f t="shared" si="38"/>
        <v>2.9798876984023587E-2</v>
      </c>
      <c r="O125" s="332">
        <f t="shared" si="39"/>
        <v>1.0001368233180756</v>
      </c>
      <c r="P125" s="333">
        <f t="shared" si="40"/>
        <v>4.5579465533671405E-2</v>
      </c>
      <c r="Q125" s="334">
        <f t="shared" si="41"/>
        <v>14.466161225319849</v>
      </c>
      <c r="R125" s="335">
        <f t="shared" si="42"/>
        <v>-88.433164546186163</v>
      </c>
      <c r="S125" s="337">
        <f t="shared" si="43"/>
        <v>91.566835453813837</v>
      </c>
      <c r="U125" s="310">
        <f t="shared" si="50"/>
        <v>1000000000</v>
      </c>
      <c r="V125" s="310">
        <f t="shared" si="51"/>
        <v>43651127.609999992</v>
      </c>
      <c r="X125" s="336">
        <f t="shared" si="44"/>
        <v>3.9347771923897366</v>
      </c>
      <c r="Y125" s="337">
        <f t="shared" si="45"/>
        <v>-29.975342572970607</v>
      </c>
      <c r="AA125" s="336">
        <f t="shared" si="46"/>
        <v>10.531384032930111</v>
      </c>
      <c r="AB125" s="337">
        <f t="shared" si="47"/>
        <v>-58.457821973215552</v>
      </c>
      <c r="AD125">
        <f t="shared" si="52"/>
        <v>0</v>
      </c>
      <c r="AE125">
        <f t="shared" si="53"/>
        <v>0</v>
      </c>
    </row>
    <row r="126" spans="1:31" x14ac:dyDescent="0.25">
      <c r="A126" s="338">
        <v>6683.85</v>
      </c>
      <c r="B126" s="355">
        <f t="shared" si="49"/>
        <v>6.6838500000000005</v>
      </c>
      <c r="C126" s="328">
        <f t="shared" si="27"/>
        <v>1.802787321516566</v>
      </c>
      <c r="D126" s="329">
        <f t="shared" si="28"/>
        <v>0.98279804387816738</v>
      </c>
      <c r="E126" s="329">
        <f t="shared" si="29"/>
        <v>1.0000038412287144</v>
      </c>
      <c r="F126" s="330">
        <f t="shared" si="30"/>
        <v>2.7717201945755064E-3</v>
      </c>
      <c r="G126" s="329">
        <f t="shared" si="31"/>
        <v>1</v>
      </c>
      <c r="H126" s="330">
        <f t="shared" si="32"/>
        <v>0</v>
      </c>
      <c r="I126" s="328">
        <f t="shared" si="33"/>
        <v>14608.043984997787</v>
      </c>
      <c r="J126" s="331">
        <f t="shared" si="34"/>
        <v>1.5707278713602191</v>
      </c>
      <c r="K126" s="339">
        <f t="shared" si="35"/>
        <v>2.1303285941984695</v>
      </c>
      <c r="L126" s="340">
        <f t="shared" si="36"/>
        <v>1.0821725541950122</v>
      </c>
      <c r="M126" s="328">
        <f t="shared" si="37"/>
        <v>1.0004545547237926</v>
      </c>
      <c r="N126" s="331">
        <f t="shared" si="38"/>
        <v>3.0145732939280474E-2</v>
      </c>
      <c r="O126" s="332">
        <f t="shared" si="39"/>
        <v>1.0001400385433976</v>
      </c>
      <c r="P126" s="333">
        <f t="shared" si="40"/>
        <v>4.611055172023925E-2</v>
      </c>
      <c r="Q126" s="334">
        <f t="shared" si="41"/>
        <v>14.374297133342115</v>
      </c>
      <c r="R126" s="335">
        <f t="shared" si="42"/>
        <v>-88.512693264512592</v>
      </c>
      <c r="S126" s="337">
        <f t="shared" si="43"/>
        <v>91.487306735487408</v>
      </c>
      <c r="U126" s="310">
        <f t="shared" si="50"/>
        <v>1000000000</v>
      </c>
      <c r="V126" s="310">
        <f t="shared" si="51"/>
        <v>44673850.822500005</v>
      </c>
      <c r="X126" s="336">
        <f t="shared" si="44"/>
        <v>3.9123236062579316</v>
      </c>
      <c r="Y126" s="337">
        <f t="shared" si="45"/>
        <v>-29.719381033950313</v>
      </c>
      <c r="AA126" s="336">
        <f t="shared" si="46"/>
        <v>10.461973527084185</v>
      </c>
      <c r="AB126" s="337">
        <f t="shared" si="47"/>
        <v>-58.793312230562272</v>
      </c>
      <c r="AD126">
        <f t="shared" si="52"/>
        <v>0</v>
      </c>
      <c r="AE126">
        <f t="shared" si="53"/>
        <v>0</v>
      </c>
    </row>
    <row r="127" spans="1:31" x14ac:dyDescent="0.25">
      <c r="A127" s="338">
        <v>6760.8</v>
      </c>
      <c r="B127" s="355">
        <f t="shared" si="49"/>
        <v>6.7608000000000006</v>
      </c>
      <c r="C127" s="328">
        <f t="shared" si="27"/>
        <v>1.8171816211953384</v>
      </c>
      <c r="D127" s="329">
        <f t="shared" si="28"/>
        <v>0.98806957086947944</v>
      </c>
      <c r="E127" s="329">
        <f t="shared" si="29"/>
        <v>1.000003930184469</v>
      </c>
      <c r="F127" s="330">
        <f t="shared" si="30"/>
        <v>2.8036303597764713E-3</v>
      </c>
      <c r="G127" s="329">
        <f t="shared" si="31"/>
        <v>1</v>
      </c>
      <c r="H127" s="330">
        <f t="shared" si="32"/>
        <v>0</v>
      </c>
      <c r="I127" s="328">
        <f t="shared" si="33"/>
        <v>14776.223848311283</v>
      </c>
      <c r="J127" s="331">
        <f t="shared" si="34"/>
        <v>1.5707286505055396</v>
      </c>
      <c r="K127" s="339">
        <f t="shared" si="35"/>
        <v>2.1494744855902934</v>
      </c>
      <c r="L127" s="340">
        <f t="shared" si="36"/>
        <v>1.0869019098894253</v>
      </c>
      <c r="M127" s="328">
        <f t="shared" si="37"/>
        <v>1.0004650789446834</v>
      </c>
      <c r="N127" s="331">
        <f t="shared" si="38"/>
        <v>3.049258163888215E-2</v>
      </c>
      <c r="O127" s="332">
        <f t="shared" si="39"/>
        <v>1.0001432914430712</v>
      </c>
      <c r="P127" s="333">
        <f t="shared" si="40"/>
        <v>4.6641645748973538E-2</v>
      </c>
      <c r="Q127" s="334">
        <f t="shared" si="41"/>
        <v>14.283387549943697</v>
      </c>
      <c r="R127" s="335">
        <f t="shared" si="42"/>
        <v>-88.592276128625755</v>
      </c>
      <c r="S127" s="337">
        <f t="shared" si="43"/>
        <v>91.407723871374245</v>
      </c>
      <c r="U127" s="310">
        <f t="shared" si="50"/>
        <v>1000000000</v>
      </c>
      <c r="V127" s="310">
        <f t="shared" si="51"/>
        <v>45708416.640000001</v>
      </c>
      <c r="X127" s="336">
        <f t="shared" si="44"/>
        <v>3.8905183127139669</v>
      </c>
      <c r="Y127" s="337">
        <f t="shared" si="45"/>
        <v>-29.468326520912679</v>
      </c>
      <c r="AA127" s="336">
        <f t="shared" si="46"/>
        <v>10.392869237229732</v>
      </c>
      <c r="AB127" s="337">
        <f t="shared" si="47"/>
        <v>-59.123949607713058</v>
      </c>
      <c r="AD127">
        <f t="shared" si="52"/>
        <v>0</v>
      </c>
      <c r="AE127">
        <f t="shared" si="53"/>
        <v>0</v>
      </c>
    </row>
    <row r="128" spans="1:31" x14ac:dyDescent="0.25">
      <c r="A128" s="338">
        <v>6839.55</v>
      </c>
      <c r="B128" s="355">
        <f t="shared" si="49"/>
        <v>6.83955</v>
      </c>
      <c r="C128" s="328">
        <f t="shared" si="27"/>
        <v>1.8319640808694972</v>
      </c>
      <c r="D128" s="329">
        <f t="shared" si="28"/>
        <v>0.9933784879520885</v>
      </c>
      <c r="E128" s="329">
        <f t="shared" si="29"/>
        <v>1.0000040222753297</v>
      </c>
      <c r="F128" s="330">
        <f t="shared" si="30"/>
        <v>2.8362869556782435E-3</v>
      </c>
      <c r="G128" s="329">
        <f t="shared" si="31"/>
        <v>1</v>
      </c>
      <c r="H128" s="330">
        <f t="shared" si="32"/>
        <v>0</v>
      </c>
      <c r="I128" s="328">
        <f t="shared" si="33"/>
        <v>14948.337743524229</v>
      </c>
      <c r="J128" s="331">
        <f t="shared" si="34"/>
        <v>1.5707294297246066</v>
      </c>
      <c r="K128" s="339">
        <f t="shared" si="35"/>
        <v>2.1691171213692058</v>
      </c>
      <c r="L128" s="340">
        <f t="shared" si="36"/>
        <v>1.0916553445397414</v>
      </c>
      <c r="M128" s="328">
        <f t="shared" si="37"/>
        <v>1.0004759739595757</v>
      </c>
      <c r="N128" s="331">
        <f t="shared" si="38"/>
        <v>3.0847536159293872E-2</v>
      </c>
      <c r="O128" s="332">
        <f t="shared" si="39"/>
        <v>1.0001466594565183</v>
      </c>
      <c r="P128" s="333">
        <f t="shared" si="40"/>
        <v>4.7185171242907713E-2</v>
      </c>
      <c r="Q128" s="334">
        <f t="shared" si="41"/>
        <v>14.191317500003116</v>
      </c>
      <c r="R128" s="335">
        <f t="shared" si="42"/>
        <v>-88.673755601327187</v>
      </c>
      <c r="S128" s="337">
        <f t="shared" si="43"/>
        <v>91.326244398672813</v>
      </c>
      <c r="U128" s="310">
        <f t="shared" si="50"/>
        <v>1000000000</v>
      </c>
      <c r="V128" s="310">
        <f t="shared" si="51"/>
        <v>46779444.202500001</v>
      </c>
      <c r="X128" s="336">
        <f t="shared" si="44"/>
        <v>3.8688490827813151</v>
      </c>
      <c r="Y128" s="337">
        <f t="shared" si="45"/>
        <v>-29.216356818872946</v>
      </c>
      <c r="AA128" s="336">
        <f t="shared" si="46"/>
        <v>10.322468417221799</v>
      </c>
      <c r="AB128" s="337">
        <f t="shared" si="47"/>
        <v>-59.457398782454256</v>
      </c>
      <c r="AD128">
        <f t="shared" si="52"/>
        <v>0</v>
      </c>
      <c r="AE128">
        <f t="shared" si="53"/>
        <v>0</v>
      </c>
    </row>
    <row r="129" spans="1:31" x14ac:dyDescent="0.25">
      <c r="A129" s="338">
        <v>6918.3</v>
      </c>
      <c r="B129" s="355">
        <f t="shared" si="49"/>
        <v>6.9183000000000003</v>
      </c>
      <c r="C129" s="328">
        <f t="shared" si="27"/>
        <v>1.846797346295973</v>
      </c>
      <c r="D129" s="329">
        <f t="shared" si="28"/>
        <v>0.99860226907160932</v>
      </c>
      <c r="E129" s="329">
        <f t="shared" si="29"/>
        <v>1.0000041154326476</v>
      </c>
      <c r="F129" s="330">
        <f t="shared" si="30"/>
        <v>2.8689435455304655E-3</v>
      </c>
      <c r="G129" s="329">
        <f t="shared" si="31"/>
        <v>1</v>
      </c>
      <c r="H129" s="330">
        <f t="shared" si="32"/>
        <v>0</v>
      </c>
      <c r="I129" s="328">
        <f t="shared" si="33"/>
        <v>15120.451638746044</v>
      </c>
      <c r="J129" s="331">
        <f t="shared" si="34"/>
        <v>1.5707301912042</v>
      </c>
      <c r="K129" s="339">
        <f t="shared" si="35"/>
        <v>2.1888078883452953</v>
      </c>
      <c r="L129" s="340">
        <f t="shared" si="36"/>
        <v>1.0963233582031167</v>
      </c>
      <c r="M129" s="328">
        <f t="shared" si="37"/>
        <v>1.0004869950243938</v>
      </c>
      <c r="N129" s="331">
        <f t="shared" si="38"/>
        <v>3.1202482904280297E-2</v>
      </c>
      <c r="O129" s="332">
        <f t="shared" si="39"/>
        <v>1.000150066960132</v>
      </c>
      <c r="P129" s="333">
        <f t="shared" si="40"/>
        <v>4.7728705140238976E-2</v>
      </c>
      <c r="Q129" s="334">
        <f t="shared" si="41"/>
        <v>14.100202905962698</v>
      </c>
      <c r="R129" s="335">
        <f t="shared" si="42"/>
        <v>-88.755250424622247</v>
      </c>
      <c r="S129" s="337">
        <f t="shared" si="43"/>
        <v>91.244749575377753</v>
      </c>
      <c r="U129" s="310">
        <f t="shared" si="50"/>
        <v>1000000000</v>
      </c>
      <c r="V129" s="310">
        <f t="shared" si="51"/>
        <v>47862874.890000001</v>
      </c>
      <c r="X129" s="336">
        <f t="shared" si="44"/>
        <v>3.8478090240783795</v>
      </c>
      <c r="Y129" s="337">
        <f t="shared" si="45"/>
        <v>-28.969279916976326</v>
      </c>
      <c r="AA129" s="336">
        <f t="shared" si="46"/>
        <v>10.252393881884318</v>
      </c>
      <c r="AB129" s="337">
        <f t="shared" si="47"/>
        <v>-59.785970507645921</v>
      </c>
      <c r="AD129">
        <f t="shared" si="52"/>
        <v>0</v>
      </c>
      <c r="AE129">
        <f t="shared" si="53"/>
        <v>0</v>
      </c>
    </row>
    <row r="130" spans="1:31" x14ac:dyDescent="0.25">
      <c r="A130" s="338">
        <v>6998.9</v>
      </c>
      <c r="B130" s="355">
        <f t="shared" si="49"/>
        <v>6.9988999999999999</v>
      </c>
      <c r="C130" s="328">
        <f t="shared" si="27"/>
        <v>1.862030418631045</v>
      </c>
      <c r="D130" s="329">
        <f t="shared" si="28"/>
        <v>1.0038624376310317</v>
      </c>
      <c r="E130" s="329">
        <f t="shared" si="29"/>
        <v>1.0000042118827546</v>
      </c>
      <c r="F130" s="330">
        <f t="shared" si="30"/>
        <v>2.9023672997278462E-3</v>
      </c>
      <c r="G130" s="329">
        <f t="shared" si="31"/>
        <v>1</v>
      </c>
      <c r="H130" s="330">
        <f t="shared" si="32"/>
        <v>0</v>
      </c>
      <c r="I130" s="328">
        <f t="shared" si="33"/>
        <v>15296.608844531149</v>
      </c>
      <c r="J130" s="331">
        <f t="shared" si="34"/>
        <v>1.5707309528279687</v>
      </c>
      <c r="K130" s="339">
        <f t="shared" si="35"/>
        <v>2.2090097293317692</v>
      </c>
      <c r="L130" s="340">
        <f t="shared" si="36"/>
        <v>1.1010147530602701</v>
      </c>
      <c r="M130" s="328">
        <f t="shared" si="37"/>
        <v>1.0004984055188866</v>
      </c>
      <c r="N130" s="331">
        <f t="shared" si="38"/>
        <v>3.1565759936105019E-2</v>
      </c>
      <c r="O130" s="332">
        <f t="shared" si="39"/>
        <v>1.0001535954231953</v>
      </c>
      <c r="P130" s="333">
        <f t="shared" si="40"/>
        <v>4.8285016572516222E-2</v>
      </c>
      <c r="Q130" s="334">
        <f t="shared" si="41"/>
        <v>14.007915158863348</v>
      </c>
      <c r="R130" s="335">
        <f t="shared" si="42"/>
        <v>-88.838655893014092</v>
      </c>
      <c r="S130" s="337">
        <f t="shared" si="43"/>
        <v>91.161344106985908</v>
      </c>
      <c r="U130" s="310">
        <f t="shared" si="50"/>
        <v>1000000000</v>
      </c>
      <c r="V130" s="310">
        <f t="shared" si="51"/>
        <v>48984601.209999993</v>
      </c>
      <c r="X130" s="336">
        <f t="shared" si="44"/>
        <v>3.8269016748728628</v>
      </c>
      <c r="Y130" s="337">
        <f t="shared" si="45"/>
        <v>-28.721340669893866</v>
      </c>
      <c r="AA130" s="336">
        <f t="shared" si="46"/>
        <v>10.181013483990487</v>
      </c>
      <c r="AB130" s="337">
        <f t="shared" si="47"/>
        <v>-60.117315223120208</v>
      </c>
      <c r="AD130">
        <f t="shared" si="52"/>
        <v>0</v>
      </c>
      <c r="AE130">
        <f t="shared" si="53"/>
        <v>0</v>
      </c>
    </row>
    <row r="131" spans="1:31" x14ac:dyDescent="0.25">
      <c r="A131" s="338">
        <v>7079.5</v>
      </c>
      <c r="B131" s="355">
        <f t="shared" si="49"/>
        <v>7.0795000000000003</v>
      </c>
      <c r="C131" s="328">
        <f t="shared" si="27"/>
        <v>1.8773141752409688</v>
      </c>
      <c r="D131" s="329">
        <f t="shared" si="28"/>
        <v>1.0090370983351853</v>
      </c>
      <c r="E131" s="329">
        <f t="shared" si="29"/>
        <v>1.0000043094500133</v>
      </c>
      <c r="F131" s="330">
        <f t="shared" si="30"/>
        <v>2.9357910474404666E-3</v>
      </c>
      <c r="G131" s="329">
        <f t="shared" si="31"/>
        <v>1</v>
      </c>
      <c r="H131" s="330">
        <f t="shared" si="32"/>
        <v>0</v>
      </c>
      <c r="I131" s="328">
        <f t="shared" si="33"/>
        <v>15472.766050324926</v>
      </c>
      <c r="J131" s="331">
        <f t="shared" si="34"/>
        <v>1.5707316971095873</v>
      </c>
      <c r="K131" s="339">
        <f t="shared" si="35"/>
        <v>2.2292593070314788</v>
      </c>
      <c r="L131" s="340">
        <f t="shared" si="36"/>
        <v>1.1056210187753852</v>
      </c>
      <c r="M131" s="328">
        <f t="shared" si="37"/>
        <v>1.000509948046334</v>
      </c>
      <c r="N131" s="331">
        <f t="shared" si="38"/>
        <v>3.1929028633873639E-2</v>
      </c>
      <c r="O131" s="332">
        <f t="shared" si="39"/>
        <v>1.0001571652894559</v>
      </c>
      <c r="P131" s="333">
        <f t="shared" si="40"/>
        <v>4.8841337011315072E-2</v>
      </c>
      <c r="Q131" s="334">
        <f t="shared" si="41"/>
        <v>13.91658427941919</v>
      </c>
      <c r="R131" s="335">
        <f t="shared" si="42"/>
        <v>-88.922038708005147</v>
      </c>
      <c r="S131" s="337">
        <f t="shared" si="43"/>
        <v>91.077961291994853</v>
      </c>
      <c r="U131" s="310">
        <f t="shared" si="50"/>
        <v>1000000000</v>
      </c>
      <c r="V131" s="310">
        <f t="shared" si="51"/>
        <v>50119320.25</v>
      </c>
      <c r="X131" s="336">
        <f t="shared" si="44"/>
        <v>3.8066047102882505</v>
      </c>
      <c r="Y131" s="337">
        <f t="shared" si="45"/>
        <v>-28.478277492231083</v>
      </c>
      <c r="AA131" s="336">
        <f t="shared" si="46"/>
        <v>10.109979569130942</v>
      </c>
      <c r="AB131" s="337">
        <f t="shared" si="47"/>
        <v>-60.443761215774018</v>
      </c>
      <c r="AD131">
        <f t="shared" si="52"/>
        <v>0</v>
      </c>
      <c r="AE131">
        <f t="shared" si="53"/>
        <v>0</v>
      </c>
    </row>
    <row r="132" spans="1:31" x14ac:dyDescent="0.25">
      <c r="A132" s="338">
        <v>7161.95</v>
      </c>
      <c r="B132" s="355">
        <f t="shared" si="49"/>
        <v>7.16195</v>
      </c>
      <c r="C132" s="328">
        <f t="shared" si="27"/>
        <v>1.8929999003465081</v>
      </c>
      <c r="D132" s="329">
        <f t="shared" si="28"/>
        <v>1.0142439319702394</v>
      </c>
      <c r="E132" s="329">
        <f t="shared" si="29"/>
        <v>1.0000044104126273</v>
      </c>
      <c r="F132" s="330">
        <f t="shared" si="30"/>
        <v>2.9699819587534382E-3</v>
      </c>
      <c r="G132" s="329">
        <f t="shared" si="31"/>
        <v>1</v>
      </c>
      <c r="H132" s="330">
        <f t="shared" si="32"/>
        <v>0</v>
      </c>
      <c r="I132" s="328">
        <f t="shared" si="33"/>
        <v>15652.966566682189</v>
      </c>
      <c r="J132" s="331">
        <f t="shared" si="34"/>
        <v>1.5707324411412462</v>
      </c>
      <c r="K132" s="339">
        <f t="shared" si="35"/>
        <v>2.2500217193656122</v>
      </c>
      <c r="L132" s="340">
        <f t="shared" si="36"/>
        <v>1.110247124316319</v>
      </c>
      <c r="M132" s="328">
        <f t="shared" si="37"/>
        <v>1.0005218921164936</v>
      </c>
      <c r="N132" s="331">
        <f t="shared" si="38"/>
        <v>3.230062666203231E-2</v>
      </c>
      <c r="O132" s="332">
        <f t="shared" si="39"/>
        <v>1.0001608599531409</v>
      </c>
      <c r="P132" s="333">
        <f t="shared" si="40"/>
        <v>4.9410436018043943E-2</v>
      </c>
      <c r="Q132" s="334">
        <f t="shared" si="41"/>
        <v>13.8241252107769</v>
      </c>
      <c r="R132" s="335">
        <f t="shared" si="42"/>
        <v>-89.007293581797782</v>
      </c>
      <c r="S132" s="337">
        <f t="shared" si="43"/>
        <v>90.992706418202218</v>
      </c>
      <c r="U132" s="310">
        <f t="shared" si="50"/>
        <v>1000000000</v>
      </c>
      <c r="V132" s="310">
        <f t="shared" si="51"/>
        <v>51293527.802499995</v>
      </c>
      <c r="X132" s="336">
        <f t="shared" si="44"/>
        <v>3.7864494842936969</v>
      </c>
      <c r="Y132" s="337">
        <f t="shared" si="45"/>
        <v>-28.234554797437756</v>
      </c>
      <c r="AA132" s="336">
        <f t="shared" si="46"/>
        <v>10.037675726483204</v>
      </c>
      <c r="AB132" s="337">
        <f t="shared" si="47"/>
        <v>-60.772738784360016</v>
      </c>
      <c r="AD132">
        <f t="shared" si="52"/>
        <v>0</v>
      </c>
      <c r="AE132">
        <f t="shared" si="53"/>
        <v>0</v>
      </c>
    </row>
    <row r="133" spans="1:31" x14ac:dyDescent="0.25">
      <c r="A133" s="338">
        <v>7244.4</v>
      </c>
      <c r="B133" s="355">
        <f t="shared" si="49"/>
        <v>7.2443999999999997</v>
      </c>
      <c r="C133" s="328">
        <f t="shared" si="27"/>
        <v>1.9087361024859431</v>
      </c>
      <c r="D133" s="329">
        <f t="shared" si="28"/>
        <v>1.019365049099126</v>
      </c>
      <c r="E133" s="329">
        <f t="shared" si="29"/>
        <v>1.0000045125442649</v>
      </c>
      <c r="F133" s="330">
        <f t="shared" si="30"/>
        <v>3.0041728631224635E-3</v>
      </c>
      <c r="G133" s="329">
        <f t="shared" si="31"/>
        <v>1</v>
      </c>
      <c r="H133" s="330">
        <f t="shared" si="32"/>
        <v>0</v>
      </c>
      <c r="I133" s="328">
        <f t="shared" si="33"/>
        <v>15833.16708304792</v>
      </c>
      <c r="J133" s="331">
        <f t="shared" si="34"/>
        <v>1.5707331682369519</v>
      </c>
      <c r="K133" s="339">
        <f t="shared" si="35"/>
        <v>2.2708314029649777</v>
      </c>
      <c r="L133" s="340">
        <f t="shared" si="36"/>
        <v>1.1147885391851151</v>
      </c>
      <c r="M133" s="328">
        <f t="shared" si="37"/>
        <v>1.0005339743405035</v>
      </c>
      <c r="N133" s="331">
        <f t="shared" si="38"/>
        <v>3.2672215766831887E-2</v>
      </c>
      <c r="O133" s="332">
        <f t="shared" si="39"/>
        <v>1.0001645979817313</v>
      </c>
      <c r="P133" s="333">
        <f t="shared" si="40"/>
        <v>4.9979544667448389E-2</v>
      </c>
      <c r="Q133" s="334">
        <f t="shared" si="41"/>
        <v>13.732623685549028</v>
      </c>
      <c r="R133" s="335">
        <f t="shared" si="42"/>
        <v>-89.092488750882978</v>
      </c>
      <c r="S133" s="337">
        <f t="shared" si="43"/>
        <v>90.907511249117022</v>
      </c>
      <c r="U133" s="310">
        <f t="shared" si="50"/>
        <v>1000000000</v>
      </c>
      <c r="V133" s="310">
        <f t="shared" si="51"/>
        <v>52481331.359999992</v>
      </c>
      <c r="X133" s="336">
        <f t="shared" si="44"/>
        <v>3.7668854722912903</v>
      </c>
      <c r="Y133" s="337">
        <f t="shared" si="45"/>
        <v>-27.995683039098136</v>
      </c>
      <c r="AA133" s="336">
        <f t="shared" si="46"/>
        <v>9.9657382132577368</v>
      </c>
      <c r="AB133" s="337">
        <f t="shared" si="47"/>
        <v>-61.09680571178486</v>
      </c>
      <c r="AD133">
        <f t="shared" si="52"/>
        <v>0</v>
      </c>
      <c r="AE133">
        <f t="shared" si="53"/>
        <v>0</v>
      </c>
    </row>
    <row r="134" spans="1:31" x14ac:dyDescent="0.25">
      <c r="A134" s="338">
        <v>7328.75</v>
      </c>
      <c r="B134" s="355">
        <f t="shared" si="49"/>
        <v>7.3287500000000003</v>
      </c>
      <c r="C134" s="328">
        <f t="shared" si="27"/>
        <v>1.9248858781959675</v>
      </c>
      <c r="D134" s="329">
        <f t="shared" si="28"/>
        <v>1.0245173920626613</v>
      </c>
      <c r="E134" s="329">
        <f t="shared" si="29"/>
        <v>1.0000046182391937</v>
      </c>
      <c r="F134" s="330">
        <f t="shared" si="30"/>
        <v>3.039151664628635E-3</v>
      </c>
      <c r="G134" s="329">
        <f t="shared" si="31"/>
        <v>1</v>
      </c>
      <c r="H134" s="330">
        <f t="shared" si="32"/>
        <v>0</v>
      </c>
      <c r="I134" s="328">
        <f t="shared" si="33"/>
        <v>16017.520188640974</v>
      </c>
      <c r="J134" s="331">
        <f t="shared" si="34"/>
        <v>1.5707338951582341</v>
      </c>
      <c r="K134" s="339">
        <f t="shared" si="35"/>
        <v>2.2921682057631965</v>
      </c>
      <c r="L134" s="340">
        <f t="shared" si="36"/>
        <v>1.1193491797235695</v>
      </c>
      <c r="M134" s="328">
        <f t="shared" si="37"/>
        <v>1.000546477951332</v>
      </c>
      <c r="N134" s="331">
        <f t="shared" si="38"/>
        <v>3.3052358530169683E-2</v>
      </c>
      <c r="O134" s="332">
        <f t="shared" si="39"/>
        <v>1.0001684670469044</v>
      </c>
      <c r="P134" s="333">
        <f t="shared" si="40"/>
        <v>5.0561778103239897E-2</v>
      </c>
      <c r="Q134" s="334">
        <f t="shared" si="41"/>
        <v>13.639982640469238</v>
      </c>
      <c r="R134" s="335">
        <f t="shared" si="42"/>
        <v>-89.179568409003991</v>
      </c>
      <c r="S134" s="337">
        <f t="shared" si="43"/>
        <v>90.820431590996009</v>
      </c>
      <c r="U134" s="310">
        <f t="shared" si="50"/>
        <v>1000000000</v>
      </c>
      <c r="V134" s="310">
        <f t="shared" si="51"/>
        <v>53710576.5625</v>
      </c>
      <c r="X134" s="336">
        <f t="shared" si="44"/>
        <v>3.7474590771862868</v>
      </c>
      <c r="Y134" s="337">
        <f t="shared" si="45"/>
        <v>-27.756199809567978</v>
      </c>
      <c r="AA134" s="336">
        <f t="shared" si="46"/>
        <v>9.8925235632829516</v>
      </c>
      <c r="AB134" s="337">
        <f t="shared" si="47"/>
        <v>-61.423368599436039</v>
      </c>
      <c r="AD134">
        <f t="shared" si="52"/>
        <v>0</v>
      </c>
      <c r="AE134">
        <f t="shared" si="53"/>
        <v>0</v>
      </c>
    </row>
    <row r="135" spans="1:31" x14ac:dyDescent="0.25">
      <c r="A135" s="338">
        <v>7413.1</v>
      </c>
      <c r="B135" s="355">
        <f t="shared" si="49"/>
        <v>7.4131</v>
      </c>
      <c r="C135" s="328">
        <f t="shared" si="27"/>
        <v>1.941085902082659</v>
      </c>
      <c r="D135" s="329">
        <f t="shared" si="28"/>
        <v>1.0295838662347121</v>
      </c>
      <c r="E135" s="329">
        <f t="shared" si="29"/>
        <v>1.0000047251576445</v>
      </c>
      <c r="F135" s="330">
        <f t="shared" si="30"/>
        <v>3.0741304586978809E-3</v>
      </c>
      <c r="G135" s="329">
        <f t="shared" si="31"/>
        <v>1</v>
      </c>
      <c r="H135" s="330">
        <f t="shared" si="32"/>
        <v>0</v>
      </c>
      <c r="I135" s="328">
        <f t="shared" si="33"/>
        <v>16201.873294242303</v>
      </c>
      <c r="J135" s="331">
        <f t="shared" si="34"/>
        <v>1.5707346055369609</v>
      </c>
      <c r="K135" s="339">
        <f t="shared" si="35"/>
        <v>2.3135518044257317</v>
      </c>
      <c r="L135" s="340">
        <f t="shared" si="36"/>
        <v>1.123825606151073</v>
      </c>
      <c r="M135" s="328">
        <f t="shared" si="37"/>
        <v>1.0005591261460258</v>
      </c>
      <c r="N135" s="331">
        <f t="shared" si="38"/>
        <v>3.3432491737573143E-2</v>
      </c>
      <c r="O135" s="332">
        <f t="shared" si="39"/>
        <v>1.0001723815416412</v>
      </c>
      <c r="P135" s="333">
        <f t="shared" si="40"/>
        <v>5.1144021864490297E-2</v>
      </c>
      <c r="Q135" s="334">
        <f t="shared" si="41"/>
        <v>13.548300251695533</v>
      </c>
      <c r="R135" s="335">
        <f t="shared" si="42"/>
        <v>-89.266552357611928</v>
      </c>
      <c r="S135" s="337">
        <f t="shared" si="43"/>
        <v>90.733447642388072</v>
      </c>
      <c r="U135" s="310">
        <f t="shared" si="50"/>
        <v>1000000000</v>
      </c>
      <c r="V135" s="310">
        <f t="shared" si="51"/>
        <v>54954051.610000007</v>
      </c>
      <c r="X135" s="336">
        <f t="shared" si="44"/>
        <v>3.7286051352386558</v>
      </c>
      <c r="Y135" s="337">
        <f t="shared" si="45"/>
        <v>-27.521540197842963</v>
      </c>
      <c r="AA135" s="336">
        <f t="shared" si="46"/>
        <v>9.8196951164568773</v>
      </c>
      <c r="AB135" s="337">
        <f t="shared" si="47"/>
        <v>-61.745012159768962</v>
      </c>
      <c r="AD135">
        <f t="shared" si="52"/>
        <v>0</v>
      </c>
      <c r="AE135">
        <f t="shared" si="53"/>
        <v>0</v>
      </c>
    </row>
    <row r="136" spans="1:31" x14ac:dyDescent="0.25">
      <c r="A136" s="338">
        <v>7499.45</v>
      </c>
      <c r="B136" s="355">
        <f t="shared" si="49"/>
        <v>7.4994499999999995</v>
      </c>
      <c r="C136" s="328">
        <f t="shared" si="27"/>
        <v>1.9577207874261651</v>
      </c>
      <c r="D136" s="329">
        <f t="shared" si="28"/>
        <v>1.0346834807250862</v>
      </c>
      <c r="E136" s="329">
        <f t="shared" si="29"/>
        <v>1.0000048358785909</v>
      </c>
      <c r="F136" s="330">
        <f t="shared" si="30"/>
        <v>3.1099386176848395E-3</v>
      </c>
      <c r="G136" s="329">
        <f t="shared" si="31"/>
        <v>1</v>
      </c>
      <c r="H136" s="330">
        <f t="shared" si="32"/>
        <v>0</v>
      </c>
      <c r="I136" s="328">
        <f t="shared" si="33"/>
        <v>16390.597546398465</v>
      </c>
      <c r="J136" s="331">
        <f t="shared" si="34"/>
        <v>1.5707353162064912</v>
      </c>
      <c r="K136" s="339">
        <f t="shared" si="35"/>
        <v>2.3354895551704051</v>
      </c>
      <c r="L136" s="340">
        <f t="shared" si="36"/>
        <v>1.1283231693489149</v>
      </c>
      <c r="M136" s="328">
        <f t="shared" si="37"/>
        <v>1.0005722239997039</v>
      </c>
      <c r="N136" s="331">
        <f t="shared" si="38"/>
        <v>3.3821628167676983E-2</v>
      </c>
      <c r="O136" s="332">
        <f t="shared" si="39"/>
        <v>1.0001764359330865</v>
      </c>
      <c r="P136" s="333">
        <f t="shared" si="40"/>
        <v>5.1740081868530172E-2</v>
      </c>
      <c r="Q136" s="334">
        <f t="shared" si="41"/>
        <v>13.45541527354249</v>
      </c>
      <c r="R136" s="335">
        <f t="shared" si="42"/>
        <v>-89.355484015476435</v>
      </c>
      <c r="S136" s="337">
        <f t="shared" si="43"/>
        <v>90.644515984523565</v>
      </c>
      <c r="U136" s="310">
        <f t="shared" si="50"/>
        <v>1000000000</v>
      </c>
      <c r="V136" s="310">
        <f t="shared" si="51"/>
        <v>56241750.302499995</v>
      </c>
      <c r="X136" s="336">
        <f t="shared" si="44"/>
        <v>3.7098743432215677</v>
      </c>
      <c r="Y136" s="337">
        <f t="shared" si="45"/>
        <v>-27.286185401708781</v>
      </c>
      <c r="AA136" s="336">
        <f t="shared" si="46"/>
        <v>9.7455409303209244</v>
      </c>
      <c r="AB136" s="337">
        <f t="shared" si="47"/>
        <v>-62.069298613767643</v>
      </c>
      <c r="AD136">
        <f t="shared" si="52"/>
        <v>0</v>
      </c>
      <c r="AE136">
        <f t="shared" si="53"/>
        <v>0</v>
      </c>
    </row>
    <row r="137" spans="1:31" x14ac:dyDescent="0.25">
      <c r="A137" s="338">
        <v>7585.8</v>
      </c>
      <c r="B137" s="355">
        <f t="shared" si="49"/>
        <v>7.5857999999999999</v>
      </c>
      <c r="C137" s="328">
        <f t="shared" si="27"/>
        <v>1.9744057267204735</v>
      </c>
      <c r="D137" s="329">
        <f t="shared" si="28"/>
        <v>1.0396970340304938</v>
      </c>
      <c r="E137" s="329">
        <f t="shared" si="29"/>
        <v>1.0000049478817674</v>
      </c>
      <c r="F137" s="330">
        <f t="shared" si="30"/>
        <v>3.1457467686964967E-3</v>
      </c>
      <c r="G137" s="329">
        <f t="shared" si="31"/>
        <v>1</v>
      </c>
      <c r="H137" s="330">
        <f t="shared" si="32"/>
        <v>0</v>
      </c>
      <c r="I137" s="328">
        <f t="shared" si="33"/>
        <v>16579.321798562723</v>
      </c>
      <c r="J137" s="331">
        <f t="shared" si="34"/>
        <v>1.5707360106967621</v>
      </c>
      <c r="K137" s="339">
        <f t="shared" si="35"/>
        <v>2.3574736685803876</v>
      </c>
      <c r="L137" s="340">
        <f t="shared" si="36"/>
        <v>1.1327369383320371</v>
      </c>
      <c r="M137" s="328">
        <f t="shared" si="37"/>
        <v>1.0005854733632134</v>
      </c>
      <c r="N137" s="331">
        <f t="shared" si="38"/>
        <v>3.4210754351117423E-2</v>
      </c>
      <c r="O137" s="332">
        <f t="shared" si="39"/>
        <v>1.0001805379811659</v>
      </c>
      <c r="P137" s="333">
        <f t="shared" si="40"/>
        <v>5.2336152943500358E-2</v>
      </c>
      <c r="Q137" s="334">
        <f t="shared" si="41"/>
        <v>13.363491550763802</v>
      </c>
      <c r="R137" s="335">
        <f t="shared" si="42"/>
        <v>-89.444284906194071</v>
      </c>
      <c r="S137" s="337">
        <f t="shared" si="43"/>
        <v>90.555715093805929</v>
      </c>
      <c r="U137" s="310">
        <f t="shared" si="50"/>
        <v>1000000000</v>
      </c>
      <c r="V137" s="310">
        <f t="shared" si="51"/>
        <v>57544361.640000001</v>
      </c>
      <c r="X137" s="336">
        <f t="shared" si="44"/>
        <v>3.6916982662218873</v>
      </c>
      <c r="Y137" s="337">
        <f t="shared" si="45"/>
        <v>-27.055630146337275</v>
      </c>
      <c r="AA137" s="336">
        <f t="shared" si="46"/>
        <v>9.6717932845419128</v>
      </c>
      <c r="AB137" s="337">
        <f t="shared" si="47"/>
        <v>-62.388654759856792</v>
      </c>
      <c r="AD137">
        <f t="shared" si="52"/>
        <v>0</v>
      </c>
      <c r="AE137">
        <f t="shared" si="53"/>
        <v>0</v>
      </c>
    </row>
    <row r="138" spans="1:31" x14ac:dyDescent="0.25">
      <c r="A138" s="338">
        <v>7674.15</v>
      </c>
      <c r="B138" s="355">
        <f t="shared" si="49"/>
        <v>7.67415</v>
      </c>
      <c r="C138" s="328">
        <f t="shared" si="27"/>
        <v>1.991527609298118</v>
      </c>
      <c r="D138" s="329">
        <f t="shared" si="28"/>
        <v>1.0447396313729933</v>
      </c>
      <c r="E138" s="329">
        <f t="shared" si="29"/>
        <v>1.000005063806233</v>
      </c>
      <c r="F138" s="330">
        <f t="shared" si="30"/>
        <v>3.1823842837032357E-3</v>
      </c>
      <c r="G138" s="329">
        <f t="shared" si="31"/>
        <v>1</v>
      </c>
      <c r="H138" s="330">
        <f t="shared" si="32"/>
        <v>0</v>
      </c>
      <c r="I138" s="328">
        <f t="shared" si="33"/>
        <v>16772.417197282011</v>
      </c>
      <c r="J138" s="331">
        <f t="shared" si="34"/>
        <v>1.570736705096436</v>
      </c>
      <c r="K138" s="339">
        <f t="shared" si="35"/>
        <v>2.3800136140067805</v>
      </c>
      <c r="L138" s="340">
        <f t="shared" si="36"/>
        <v>1.1371684542110414</v>
      </c>
      <c r="M138" s="328">
        <f t="shared" si="37"/>
        <v>1.0005991864105395</v>
      </c>
      <c r="N138" s="331">
        <f t="shared" si="38"/>
        <v>3.4608882572934291E-2</v>
      </c>
      <c r="O138" s="332">
        <f t="shared" si="39"/>
        <v>1.0001847843894964</v>
      </c>
      <c r="P138" s="333">
        <f t="shared" si="40"/>
        <v>5.2946041539950833E-2</v>
      </c>
      <c r="Q138" s="334">
        <f t="shared" si="41"/>
        <v>13.270411954845802</v>
      </c>
      <c r="R138" s="335">
        <f t="shared" si="42"/>
        <v>-89.534993015648467</v>
      </c>
      <c r="S138" s="337">
        <f t="shared" si="43"/>
        <v>90.465006984351533</v>
      </c>
      <c r="U138" s="310">
        <f t="shared" si="50"/>
        <v>1000000000</v>
      </c>
      <c r="V138" s="310">
        <f t="shared" si="51"/>
        <v>58892578.222499996</v>
      </c>
      <c r="X138" s="336">
        <f t="shared" si="44"/>
        <v>3.6736531316727223</v>
      </c>
      <c r="Y138" s="337">
        <f t="shared" si="45"/>
        <v>-26.824573842346872</v>
      </c>
      <c r="AA138" s="336">
        <f t="shared" si="46"/>
        <v>9.5967588231730776</v>
      </c>
      <c r="AB138" s="337">
        <f t="shared" si="47"/>
        <v>-62.710419173301574</v>
      </c>
      <c r="AD138">
        <f t="shared" si="52"/>
        <v>0</v>
      </c>
      <c r="AE138">
        <f t="shared" si="53"/>
        <v>0</v>
      </c>
    </row>
    <row r="139" spans="1:31" x14ac:dyDescent="0.25">
      <c r="A139" s="338">
        <v>7762.5</v>
      </c>
      <c r="B139" s="355">
        <f t="shared" si="49"/>
        <v>7.7625000000000002</v>
      </c>
      <c r="C139" s="328">
        <f t="shared" si="27"/>
        <v>2.0086992679743845</v>
      </c>
      <c r="D139" s="329">
        <f t="shared" si="28"/>
        <v>1.0496961382035026</v>
      </c>
      <c r="E139" s="329">
        <f t="shared" si="29"/>
        <v>1.0000051810730122</v>
      </c>
      <c r="F139" s="330">
        <f t="shared" si="30"/>
        <v>3.2190217901664716E-3</v>
      </c>
      <c r="G139" s="329">
        <f t="shared" si="31"/>
        <v>1</v>
      </c>
      <c r="H139" s="330">
        <f t="shared" si="32"/>
        <v>0</v>
      </c>
      <c r="I139" s="328">
        <f t="shared" si="33"/>
        <v>16965.512596009201</v>
      </c>
      <c r="J139" s="331">
        <f t="shared" si="34"/>
        <v>1.5707373836892922</v>
      </c>
      <c r="K139" s="339">
        <f t="shared" si="35"/>
        <v>2.4025994214318747</v>
      </c>
      <c r="L139" s="340">
        <f t="shared" si="36"/>
        <v>1.1415167365884675</v>
      </c>
      <c r="M139" s="328">
        <f t="shared" si="37"/>
        <v>1.0006130580545596</v>
      </c>
      <c r="N139" s="331">
        <f t="shared" si="38"/>
        <v>3.5006999819235086E-2</v>
      </c>
      <c r="O139" s="332">
        <f t="shared" si="39"/>
        <v>1.0001890807393687</v>
      </c>
      <c r="P139" s="333">
        <f t="shared" si="40"/>
        <v>5.3555941993826219E-2</v>
      </c>
      <c r="Q139" s="334">
        <f t="shared" si="41"/>
        <v>13.178295402200941</v>
      </c>
      <c r="R139" s="335">
        <f t="shared" si="42"/>
        <v>-89.625536575819268</v>
      </c>
      <c r="S139" s="337">
        <f t="shared" si="43"/>
        <v>90.374463424180732</v>
      </c>
      <c r="U139" s="310">
        <f t="shared" si="50"/>
        <v>1000000000</v>
      </c>
      <c r="V139" s="310">
        <f t="shared" si="51"/>
        <v>60256406.25</v>
      </c>
      <c r="X139" s="336">
        <f t="shared" si="44"/>
        <v>3.6561446656076875</v>
      </c>
      <c r="Y139" s="337">
        <f t="shared" si="45"/>
        <v>-26.598284932201739</v>
      </c>
      <c r="AA139" s="336">
        <f t="shared" si="46"/>
        <v>9.5221507365932538</v>
      </c>
      <c r="AB139" s="337">
        <f t="shared" si="47"/>
        <v>-63.027251643617518</v>
      </c>
      <c r="AD139">
        <f t="shared" si="52"/>
        <v>0</v>
      </c>
      <c r="AE139">
        <f t="shared" si="53"/>
        <v>0</v>
      </c>
    </row>
    <row r="140" spans="1:31" x14ac:dyDescent="0.25">
      <c r="A140" s="338">
        <v>7852.9</v>
      </c>
      <c r="B140" s="355">
        <f t="shared" si="49"/>
        <v>7.8529</v>
      </c>
      <c r="C140" s="328">
        <f t="shared" si="27"/>
        <v>2.0263195655042727</v>
      </c>
      <c r="D140" s="329">
        <f t="shared" si="28"/>
        <v>1.0546805739213019</v>
      </c>
      <c r="E140" s="329">
        <f t="shared" si="29"/>
        <v>1.0000053024501463</v>
      </c>
      <c r="F140" s="330">
        <f t="shared" si="30"/>
        <v>3.2565093939459799E-3</v>
      </c>
      <c r="G140" s="329">
        <f t="shared" si="31"/>
        <v>1</v>
      </c>
      <c r="H140" s="330">
        <f t="shared" si="32"/>
        <v>0</v>
      </c>
      <c r="I140" s="328">
        <f t="shared" si="33"/>
        <v>17163.088419955282</v>
      </c>
      <c r="J140" s="331">
        <f t="shared" si="34"/>
        <v>1.5707380622229212</v>
      </c>
      <c r="K140" s="339">
        <f t="shared" si="35"/>
        <v>2.4257554254859599</v>
      </c>
      <c r="L140" s="340">
        <f t="shared" si="36"/>
        <v>1.1458820160957024</v>
      </c>
      <c r="M140" s="328">
        <f t="shared" si="37"/>
        <v>1.0006274157171084</v>
      </c>
      <c r="N140" s="331">
        <f t="shared" si="38"/>
        <v>3.5414343155739082E-2</v>
      </c>
      <c r="O140" s="332">
        <f t="shared" si="39"/>
        <v>1.0001935284991301</v>
      </c>
      <c r="P140" s="333">
        <f t="shared" si="40"/>
        <v>5.4180006485608417E-2</v>
      </c>
      <c r="Q140" s="334">
        <f t="shared" si="41"/>
        <v>13.085016654788239</v>
      </c>
      <c r="R140" s="335">
        <f t="shared" si="42"/>
        <v>-89.717997924799718</v>
      </c>
      <c r="S140" s="337">
        <f t="shared" si="43"/>
        <v>90.282002075200282</v>
      </c>
      <c r="U140" s="310">
        <f t="shared" si="50"/>
        <v>1000000000</v>
      </c>
      <c r="V140" s="310">
        <f t="shared" si="51"/>
        <v>61668038.409999996</v>
      </c>
      <c r="X140" s="336">
        <f t="shared" si="44"/>
        <v>3.6387638205097521</v>
      </c>
      <c r="Y140" s="337">
        <f t="shared" si="45"/>
        <v>-26.37155077089081</v>
      </c>
      <c r="AA140" s="336">
        <f t="shared" si="46"/>
        <v>9.4462528342784875</v>
      </c>
      <c r="AB140" s="337">
        <f t="shared" si="47"/>
        <v>-63.346447153908869</v>
      </c>
      <c r="AD140">
        <f t="shared" si="52"/>
        <v>0</v>
      </c>
      <c r="AE140">
        <f t="shared" si="53"/>
        <v>0</v>
      </c>
    </row>
    <row r="141" spans="1:31" x14ac:dyDescent="0.25">
      <c r="A141" s="338">
        <v>7943.3</v>
      </c>
      <c r="B141" s="355">
        <f t="shared" si="49"/>
        <v>7.9432999999999998</v>
      </c>
      <c r="C141" s="328">
        <f t="shared" ref="C141:C204" si="54">SQRT(1+(A141/pole1)^2)</f>
        <v>2.043989337440197</v>
      </c>
      <c r="D141" s="329">
        <f t="shared" ref="D141:D204" si="55">ATAN(A141/pole1)</f>
        <v>1.0595789512146554</v>
      </c>
      <c r="E141" s="329">
        <f t="shared" ref="E141:E204" si="56">SQRT(1+(A141/Zero1)^2)</f>
        <v>1.0000054252326078</v>
      </c>
      <c r="F141" s="330">
        <f t="shared" ref="F141:F204" si="57">ATAN(A141/Zero1)</f>
        <v>3.2939969885725797E-3</v>
      </c>
      <c r="G141" s="329">
        <f t="shared" ref="G141:G204" si="58">IF(VIN_nom&gt;Vout, 1, SQRT(1+(A141/z_RHP)^2))</f>
        <v>1</v>
      </c>
      <c r="H141" s="330">
        <f t="shared" ref="H141:H204" si="59">IF(VIN_nom&gt;Vout, 0, -ATAN(A141/z_RHP))</f>
        <v>0</v>
      </c>
      <c r="I141" s="328">
        <f t="shared" ref="I141:I204" si="60">SQRT(1+(A141/Pole2)^2)</f>
        <v>17360.664243909083</v>
      </c>
      <c r="J141" s="331">
        <f t="shared" ref="J141:J204" si="61">ATAN(A141/Pole2)</f>
        <v>1.5707387253122285</v>
      </c>
      <c r="K141" s="339">
        <f t="shared" ref="K141:K147" si="62">SQRT(1+(A141/Zero2)^2)</f>
        <v>2.4489567792698503</v>
      </c>
      <c r="L141" s="340">
        <f t="shared" ref="L141:L147" si="63">ATAN(A141/Zero2)</f>
        <v>1.1501646628366013</v>
      </c>
      <c r="M141" s="328">
        <f t="shared" ref="M141:M204" si="64">SQRT(1+(A141/pole4)^2)</f>
        <v>1.0006419394075767</v>
      </c>
      <c r="N141" s="331">
        <f t="shared" ref="N141:N204" si="65">ATAN(A141/pole4)</f>
        <v>3.5821674735163074E-2</v>
      </c>
      <c r="O141" s="332">
        <f t="shared" ref="O141:O204" si="66">SQRT((1-(V141/pterm2))^2+(A141/pterm1)^2)</f>
        <v>1.0001980286016381</v>
      </c>
      <c r="P141" s="333">
        <f t="shared" ref="P141:P204" si="67">IF((ATAN((A141/pterm1)/(1-A141^2/pterm2))&gt;0),ATAN((A141/pterm1)/(1-A141^2/pterm2)),PI()+ATAN((A141/pterm1)/(1-A141^2/pterm2)))</f>
        <v>5.4804083678070416E-2</v>
      </c>
      <c r="Q141" s="334">
        <f t="shared" ref="Q141:Q204" si="68">20*LOG10(((E141*K141*G141)/(C141*I141*O141*M141))*Adc)</f>
        <v>12.992703029840115</v>
      </c>
      <c r="R141" s="335">
        <f t="shared" ref="R141:R204" si="69">((F141+L141+H141)-(D141+J141+P141+N141))*radconv</f>
        <v>-89.810262167722428</v>
      </c>
      <c r="S141" s="337">
        <f t="shared" ref="S141:S204" si="70">IF(R141&gt;0,R141,R141+180)</f>
        <v>90.189737832277572</v>
      </c>
      <c r="U141" s="310">
        <f t="shared" si="50"/>
        <v>1000000000</v>
      </c>
      <c r="V141" s="310">
        <f t="shared" si="51"/>
        <v>63096014.890000001</v>
      </c>
      <c r="X141" s="336">
        <f t="shared" ref="X141:X204" si="71">20*LOG10((K141/(I141*M141))*AEA*Afb)</f>
        <v>3.6219019706679809</v>
      </c>
      <c r="Y141" s="337">
        <f t="shared" ref="Y141:Y204" si="72">(L141-(J141+N141))*radconv</f>
        <v>-26.149549559820318</v>
      </c>
      <c r="AA141" s="336">
        <f t="shared" ref="AA141:AA204" si="73">20*LOG10((E141*G141/(C141*O141))*Am)</f>
        <v>9.3708010591721358</v>
      </c>
      <c r="AB141" s="337">
        <f t="shared" ref="AB141:AB204" si="74">(F141+H141-(D141+P141))*radconv</f>
        <v>-63.660712607902092</v>
      </c>
      <c r="AD141">
        <f t="shared" si="52"/>
        <v>0</v>
      </c>
      <c r="AE141">
        <f t="shared" si="53"/>
        <v>0</v>
      </c>
    </row>
    <row r="142" spans="1:31" x14ac:dyDescent="0.25">
      <c r="A142" s="338">
        <v>8035.8</v>
      </c>
      <c r="B142" s="355">
        <f t="shared" ref="B142:B205" si="75">A142/1000</f>
        <v>8.0358000000000001</v>
      </c>
      <c r="C142" s="328">
        <f t="shared" si="54"/>
        <v>2.0621194647646766</v>
      </c>
      <c r="D142" s="329">
        <f t="shared" si="55"/>
        <v>1.0645041035833673</v>
      </c>
      <c r="E142" s="329">
        <f t="shared" si="56"/>
        <v>1.000005552321992</v>
      </c>
      <c r="F142" s="330">
        <f t="shared" si="57"/>
        <v>3.3323554137556243E-3</v>
      </c>
      <c r="G142" s="329">
        <f t="shared" si="58"/>
        <v>1</v>
      </c>
      <c r="H142" s="330">
        <f t="shared" si="59"/>
        <v>0</v>
      </c>
      <c r="I142" s="328">
        <f t="shared" si="60"/>
        <v>17562.829771745637</v>
      </c>
      <c r="J142" s="331">
        <f t="shared" si="61"/>
        <v>1.5707393883622216</v>
      </c>
      <c r="K142" s="339">
        <f t="shared" si="62"/>
        <v>2.472742713138993</v>
      </c>
      <c r="L142" s="340">
        <f t="shared" si="63"/>
        <v>1.154463526239963</v>
      </c>
      <c r="M142" s="328">
        <f t="shared" si="64"/>
        <v>1.0006569723351</v>
      </c>
      <c r="N142" s="331">
        <f t="shared" si="65"/>
        <v>3.6238456352834125E-2</v>
      </c>
      <c r="O142" s="332">
        <f t="shared" si="66"/>
        <v>1.0002026874531225</v>
      </c>
      <c r="P142" s="333">
        <f t="shared" si="67"/>
        <v>5.5442671536736071E-2</v>
      </c>
      <c r="Q142" s="334">
        <f t="shared" si="68"/>
        <v>12.899222395572412</v>
      </c>
      <c r="R142" s="335">
        <f t="shared" si="69"/>
        <v>-89.904454313215723</v>
      </c>
      <c r="S142" s="337">
        <f t="shared" si="70"/>
        <v>90.095545686784277</v>
      </c>
      <c r="U142" s="310">
        <f t="shared" ref="U142:U205" si="76">IF(Q142&lt;0,A142,1000000000)</f>
        <v>1000000000</v>
      </c>
      <c r="V142" s="310">
        <f t="shared" ref="V142:V205" si="77">A142^2</f>
        <v>64574081.640000001</v>
      </c>
      <c r="X142" s="336">
        <f t="shared" si="71"/>
        <v>3.6051646047985737</v>
      </c>
      <c r="Y142" s="337">
        <f t="shared" si="72"/>
        <v>-25.927160647487732</v>
      </c>
      <c r="AA142" s="336">
        <f t="shared" si="73"/>
        <v>9.294057790773838</v>
      </c>
      <c r="AB142" s="337">
        <f t="shared" si="74"/>
        <v>-63.97729366572797</v>
      </c>
      <c r="AD142">
        <f t="shared" ref="AD142:AD205" si="78">SUM((Q143&lt;0)*(Q142&gt;0))*A142</f>
        <v>0</v>
      </c>
      <c r="AE142">
        <f t="shared" si="53"/>
        <v>0</v>
      </c>
    </row>
    <row r="143" spans="1:31" x14ac:dyDescent="0.25">
      <c r="A143" s="338">
        <v>8128.3</v>
      </c>
      <c r="B143" s="355">
        <f t="shared" si="75"/>
        <v>8.1282999999999994</v>
      </c>
      <c r="C143" s="328">
        <f t="shared" si="54"/>
        <v>2.0802987405967985</v>
      </c>
      <c r="D143" s="329">
        <f t="shared" si="55"/>
        <v>1.0693432919759387</v>
      </c>
      <c r="E143" s="329">
        <f t="shared" si="56"/>
        <v>1.0000056808827524</v>
      </c>
      <c r="F143" s="330">
        <f t="shared" si="57"/>
        <v>3.3707138291323873E-3</v>
      </c>
      <c r="G143" s="329">
        <f t="shared" si="58"/>
        <v>1</v>
      </c>
      <c r="H143" s="330">
        <f t="shared" si="59"/>
        <v>0</v>
      </c>
      <c r="I143" s="328">
        <f t="shared" si="60"/>
        <v>17764.99529958974</v>
      </c>
      <c r="J143" s="331">
        <f t="shared" si="61"/>
        <v>1.5707400363212058</v>
      </c>
      <c r="K143" s="339">
        <f t="shared" si="62"/>
        <v>2.4965734726194344</v>
      </c>
      <c r="L143" s="340">
        <f t="shared" si="63"/>
        <v>1.1586803977100644</v>
      </c>
      <c r="M143" s="328">
        <f t="shared" si="64"/>
        <v>1.0006721790784205</v>
      </c>
      <c r="N143" s="331">
        <f t="shared" si="65"/>
        <v>3.6655225375631519E-2</v>
      </c>
      <c r="O143" s="332">
        <f t="shared" si="66"/>
        <v>1.0002074011696214</v>
      </c>
      <c r="P143" s="333">
        <f t="shared" si="67"/>
        <v>5.608127299986955E-2</v>
      </c>
      <c r="Q143" s="334">
        <f t="shared" si="68"/>
        <v>12.806709209393084</v>
      </c>
      <c r="R143" s="335">
        <f t="shared" si="69"/>
        <v>-89.998418071171912</v>
      </c>
      <c r="S143" s="337">
        <f t="shared" si="70"/>
        <v>90.001581928828088</v>
      </c>
      <c r="U143" s="310">
        <f t="shared" si="76"/>
        <v>1000000000</v>
      </c>
      <c r="V143" s="310">
        <f t="shared" si="77"/>
        <v>66069260.890000001</v>
      </c>
      <c r="X143" s="336">
        <f t="shared" si="71"/>
        <v>3.5889289262956141</v>
      </c>
      <c r="Y143" s="337">
        <f t="shared" si="72"/>
        <v>-25.709467940606221</v>
      </c>
      <c r="AA143" s="336">
        <f t="shared" si="73"/>
        <v>9.2177802830974702</v>
      </c>
      <c r="AB143" s="337">
        <f t="shared" si="74"/>
        <v>-64.288950130565667</v>
      </c>
      <c r="AD143">
        <f t="shared" si="78"/>
        <v>0</v>
      </c>
      <c r="AE143">
        <f t="shared" si="53"/>
        <v>0</v>
      </c>
    </row>
    <row r="144" spans="1:31" x14ac:dyDescent="0.25">
      <c r="A144" s="338">
        <v>8222.9500000000007</v>
      </c>
      <c r="B144" s="355">
        <f t="shared" si="75"/>
        <v>8.2229500000000009</v>
      </c>
      <c r="C144" s="328">
        <f t="shared" si="54"/>
        <v>2.0989501049231185</v>
      </c>
      <c r="D144" s="329">
        <f t="shared" si="55"/>
        <v>1.0742080712494051</v>
      </c>
      <c r="E144" s="329">
        <f t="shared" si="56"/>
        <v>1.000005813954755</v>
      </c>
      <c r="F144" s="330">
        <f t="shared" si="57"/>
        <v>3.4099638082196074E-3</v>
      </c>
      <c r="G144" s="329">
        <f t="shared" si="58"/>
        <v>1</v>
      </c>
      <c r="H144" s="330">
        <f t="shared" si="59"/>
        <v>0</v>
      </c>
      <c r="I144" s="328">
        <f t="shared" si="60"/>
        <v>17971.859809980469</v>
      </c>
      <c r="J144" s="331">
        <f t="shared" si="61"/>
        <v>1.5707406842508811</v>
      </c>
      <c r="K144" s="339">
        <f t="shared" si="62"/>
        <v>2.5210032107309646</v>
      </c>
      <c r="L144" s="340">
        <f t="shared" si="63"/>
        <v>1.1629126815960691</v>
      </c>
      <c r="M144" s="328">
        <f t="shared" si="64"/>
        <v>1.0006879191903217</v>
      </c>
      <c r="N144" s="331">
        <f t="shared" si="65"/>
        <v>3.7081668274379587E-2</v>
      </c>
      <c r="O144" s="332">
        <f t="shared" si="66"/>
        <v>1.0002122812742429</v>
      </c>
      <c r="P144" s="333">
        <f t="shared" si="67"/>
        <v>5.673473187641663E-2</v>
      </c>
      <c r="Q144" s="334">
        <f t="shared" si="68"/>
        <v>12.713025625257366</v>
      </c>
      <c r="R144" s="335">
        <f t="shared" si="69"/>
        <v>-90.094319467045722</v>
      </c>
      <c r="S144" s="337">
        <f t="shared" si="70"/>
        <v>89.905680532954278</v>
      </c>
      <c r="U144" s="310">
        <f t="shared" si="76"/>
        <v>1000000000</v>
      </c>
      <c r="V144" s="310">
        <f t="shared" si="77"/>
        <v>67616906.702500015</v>
      </c>
      <c r="X144" s="336">
        <f t="shared" si="71"/>
        <v>3.572814740361741</v>
      </c>
      <c r="Y144" s="337">
        <f t="shared" si="72"/>
        <v>-25.491446437925191</v>
      </c>
      <c r="AA144" s="336">
        <f t="shared" si="73"/>
        <v>9.1402108848956267</v>
      </c>
      <c r="AB144" s="337">
        <f t="shared" si="74"/>
        <v>-64.602873029120545</v>
      </c>
      <c r="AD144">
        <f t="shared" si="78"/>
        <v>0</v>
      </c>
      <c r="AE144">
        <f t="shared" si="53"/>
        <v>0</v>
      </c>
    </row>
    <row r="145" spans="1:31" x14ac:dyDescent="0.25">
      <c r="A145" s="338">
        <v>8270.2750000000015</v>
      </c>
      <c r="B145" s="355">
        <f t="shared" si="75"/>
        <v>8.2702750000000016</v>
      </c>
      <c r="C145" s="328">
        <f t="shared" si="54"/>
        <v>2.1082941674964304</v>
      </c>
      <c r="D145" s="329">
        <f t="shared" si="55"/>
        <v>1.0766081547269446</v>
      </c>
      <c r="E145" s="329">
        <f t="shared" si="56"/>
        <v>1.0000058810684698</v>
      </c>
      <c r="F145" s="330">
        <f t="shared" si="57"/>
        <v>3.4295887938308187E-3</v>
      </c>
      <c r="G145" s="329">
        <f t="shared" si="58"/>
        <v>1</v>
      </c>
      <c r="H145" s="330">
        <f t="shared" si="59"/>
        <v>0</v>
      </c>
      <c r="I145" s="328">
        <f t="shared" si="60"/>
        <v>18075.292065178615</v>
      </c>
      <c r="J145" s="331">
        <f t="shared" si="61"/>
        <v>1.5707410026542463</v>
      </c>
      <c r="K145" s="339">
        <f t="shared" si="62"/>
        <v>2.5332347685418473</v>
      </c>
      <c r="L145" s="340">
        <f t="shared" si="63"/>
        <v>1.1649981937493328</v>
      </c>
      <c r="M145" s="328">
        <f t="shared" si="64"/>
        <v>1.0006958574866514</v>
      </c>
      <c r="N145" s="331">
        <f t="shared" si="65"/>
        <v>3.7294884673673027E-2</v>
      </c>
      <c r="O145" s="332">
        <f t="shared" si="66"/>
        <v>1.0002147428918551</v>
      </c>
      <c r="P145" s="333">
        <f t="shared" si="67"/>
        <v>5.7061466769102655E-2</v>
      </c>
      <c r="Q145" s="334">
        <f t="shared" si="68"/>
        <v>12.666548880263855</v>
      </c>
      <c r="R145" s="335">
        <f t="shared" si="69"/>
        <v>-90.142173820830806</v>
      </c>
      <c r="S145" s="337">
        <f t="shared" si="70"/>
        <v>89.857826179169194</v>
      </c>
      <c r="U145" s="310">
        <f t="shared" si="76"/>
        <v>1000000000</v>
      </c>
      <c r="V145" s="310">
        <f t="shared" si="77"/>
        <v>68397448.575625017</v>
      </c>
      <c r="X145" s="336">
        <f t="shared" si="71"/>
        <v>3.5649406373088208</v>
      </c>
      <c r="Y145" s="337">
        <f t="shared" si="72"/>
        <v>-25.384190036268883</v>
      </c>
      <c r="AA145" s="336">
        <f t="shared" si="73"/>
        <v>9.1016082429550327</v>
      </c>
      <c r="AB145" s="337">
        <f t="shared" si="74"/>
        <v>-64.757983784561929</v>
      </c>
      <c r="AD145">
        <f t="shared" si="78"/>
        <v>0</v>
      </c>
      <c r="AE145">
        <f t="shared" si="53"/>
        <v>0</v>
      </c>
    </row>
    <row r="146" spans="1:31" x14ac:dyDescent="0.25">
      <c r="A146" s="338">
        <v>8317.6</v>
      </c>
      <c r="B146" s="355">
        <f t="shared" si="75"/>
        <v>8.3176000000000005</v>
      </c>
      <c r="C146" s="328">
        <f t="shared" si="54"/>
        <v>2.1176502674728677</v>
      </c>
      <c r="D146" s="329">
        <f t="shared" si="55"/>
        <v>1.0789870439417231</v>
      </c>
      <c r="E146" s="329">
        <f t="shared" si="56"/>
        <v>1.0000059485673267</v>
      </c>
      <c r="F146" s="330">
        <f t="shared" si="57"/>
        <v>3.4492137768002756E-3</v>
      </c>
      <c r="G146" s="329">
        <f t="shared" si="58"/>
        <v>1</v>
      </c>
      <c r="H146" s="330">
        <f t="shared" si="59"/>
        <v>0</v>
      </c>
      <c r="I146" s="328">
        <f t="shared" si="60"/>
        <v>18178.724320378566</v>
      </c>
      <c r="J146" s="331">
        <f t="shared" si="61"/>
        <v>1.5707413174343452</v>
      </c>
      <c r="K146" s="339">
        <f t="shared" si="62"/>
        <v>2.5454772383900952</v>
      </c>
      <c r="L146" s="340">
        <f t="shared" si="63"/>
        <v>1.1670636542775856</v>
      </c>
      <c r="M146" s="328">
        <f t="shared" si="64"/>
        <v>1.0007038412751255</v>
      </c>
      <c r="N146" s="331">
        <f t="shared" si="65"/>
        <v>3.750809768050456E-2</v>
      </c>
      <c r="O146" s="332">
        <f t="shared" si="66"/>
        <v>1.0002172188921543</v>
      </c>
      <c r="P146" s="333">
        <f t="shared" si="67"/>
        <v>5.7388205325746157E-2</v>
      </c>
      <c r="Q146" s="334">
        <f t="shared" si="68"/>
        <v>12.620312018522197</v>
      </c>
      <c r="R146" s="335">
        <f t="shared" si="69"/>
        <v>-90.189962514404243</v>
      </c>
      <c r="S146" s="337">
        <f t="shared" si="70"/>
        <v>89.810037485595757</v>
      </c>
      <c r="U146" s="310">
        <f t="shared" si="76"/>
        <v>1000000000</v>
      </c>
      <c r="V146" s="310">
        <f t="shared" si="77"/>
        <v>69182469.760000005</v>
      </c>
      <c r="X146" s="336">
        <f t="shared" si="71"/>
        <v>3.5571852934363162</v>
      </c>
      <c r="Y146" s="337">
        <f t="shared" si="72"/>
        <v>-25.27808210612778</v>
      </c>
      <c r="AA146" s="336">
        <f t="shared" si="73"/>
        <v>9.0631267250858816</v>
      </c>
      <c r="AB146" s="337">
        <f t="shared" si="74"/>
        <v>-64.911880408276474</v>
      </c>
      <c r="AD146">
        <f t="shared" si="78"/>
        <v>0</v>
      </c>
      <c r="AE146">
        <f t="shared" si="53"/>
        <v>0</v>
      </c>
    </row>
    <row r="147" spans="1:31" x14ac:dyDescent="0.25">
      <c r="A147" s="338">
        <v>8366.0499999999993</v>
      </c>
      <c r="B147" s="355">
        <f t="shared" si="75"/>
        <v>8.3660499999999995</v>
      </c>
      <c r="C147" s="328">
        <f t="shared" si="54"/>
        <v>2.1272410828876396</v>
      </c>
      <c r="D147" s="329">
        <f t="shared" si="55"/>
        <v>1.0814007917012454</v>
      </c>
      <c r="E147" s="329">
        <f t="shared" si="56"/>
        <v>1.0000060180697368</v>
      </c>
      <c r="F147" s="330">
        <f t="shared" si="57"/>
        <v>3.4693052780070143E-3</v>
      </c>
      <c r="G147" s="329">
        <f t="shared" si="58"/>
        <v>1</v>
      </c>
      <c r="H147" s="330">
        <f t="shared" si="59"/>
        <v>0</v>
      </c>
      <c r="I147" s="328">
        <f t="shared" si="60"/>
        <v>18284.615345513801</v>
      </c>
      <c r="J147" s="331">
        <f t="shared" si="61"/>
        <v>1.5707416360080464</v>
      </c>
      <c r="K147" s="339">
        <f t="shared" si="62"/>
        <v>2.5580218742991518</v>
      </c>
      <c r="L147" s="340">
        <f t="shared" si="63"/>
        <v>1.1691577245587288</v>
      </c>
      <c r="M147" s="328">
        <f t="shared" si="64"/>
        <v>1.000712061978555</v>
      </c>
      <c r="N147" s="331">
        <f t="shared" si="65"/>
        <v>3.7726375607788291E-2</v>
      </c>
      <c r="O147" s="332">
        <f t="shared" si="66"/>
        <v>1.0002197686556076</v>
      </c>
      <c r="P147" s="333">
        <f t="shared" si="67"/>
        <v>5.7722714860322044E-2</v>
      </c>
      <c r="Q147" s="334">
        <f t="shared" si="68"/>
        <v>12.573221861044178</v>
      </c>
      <c r="R147" s="335">
        <f t="shared" si="69"/>
        <v>-90.238818168014191</v>
      </c>
      <c r="S147" s="337">
        <f t="shared" si="70"/>
        <v>89.761181831985809</v>
      </c>
      <c r="U147" s="310">
        <f t="shared" si="76"/>
        <v>1000000000</v>
      </c>
      <c r="V147" s="310">
        <f t="shared" si="77"/>
        <v>69990792.602499992</v>
      </c>
      <c r="X147" s="336">
        <f t="shared" si="71"/>
        <v>3.5493661623621966</v>
      </c>
      <c r="Y147" s="337">
        <f t="shared" si="72"/>
        <v>-25.170625373814477</v>
      </c>
      <c r="AA147" s="336">
        <f t="shared" si="73"/>
        <v>9.0238556986819809</v>
      </c>
      <c r="AB147" s="337">
        <f t="shared" si="74"/>
        <v>-65.068192794199732</v>
      </c>
      <c r="AD147">
        <f t="shared" si="78"/>
        <v>0</v>
      </c>
      <c r="AE147">
        <f t="shared" si="53"/>
        <v>0</v>
      </c>
    </row>
    <row r="148" spans="1:31" x14ac:dyDescent="0.25">
      <c r="A148" s="341">
        <v>8414.5</v>
      </c>
      <c r="B148" s="355">
        <f t="shared" si="75"/>
        <v>8.4145000000000003</v>
      </c>
      <c r="C148" s="328">
        <f t="shared" si="54"/>
        <v>2.1368441806928682</v>
      </c>
      <c r="D148" s="329">
        <f t="shared" si="55"/>
        <v>1.0837928582571421</v>
      </c>
      <c r="E148" s="329">
        <f t="shared" si="56"/>
        <v>1.0000060879758177</v>
      </c>
      <c r="F148" s="330">
        <f t="shared" si="57"/>
        <v>3.4893967764128456E-3</v>
      </c>
      <c r="G148" s="329">
        <f t="shared" si="58"/>
        <v>1</v>
      </c>
      <c r="H148" s="330">
        <f t="shared" si="59"/>
        <v>0</v>
      </c>
      <c r="I148" s="328">
        <f t="shared" si="60"/>
        <v>18390.506370650874</v>
      </c>
      <c r="J148" s="331">
        <f t="shared" si="61"/>
        <v>1.5707419509131053</v>
      </c>
      <c r="K148" s="339">
        <f t="shared" ref="K148:K157" si="79">SQRT(1+(A148/Zero2)^2)</f>
        <v>2.5705776179566695</v>
      </c>
      <c r="L148" s="340">
        <f t="shared" ref="L148:L157" si="80">ATAN(A148/Zero2)</f>
        <v>1.1712313472820011</v>
      </c>
      <c r="M148" s="328">
        <f t="shared" si="64"/>
        <v>1.0007203303603798</v>
      </c>
      <c r="N148" s="331">
        <f t="shared" si="65"/>
        <v>3.794464993845937E-2</v>
      </c>
      <c r="O148" s="332">
        <f t="shared" si="66"/>
        <v>1.0002223335030305</v>
      </c>
      <c r="P148" s="333">
        <f t="shared" si="67"/>
        <v>5.8057228279149012E-2</v>
      </c>
      <c r="Q148" s="334">
        <f t="shared" si="68"/>
        <v>12.526377755487415</v>
      </c>
      <c r="R148" s="335">
        <f t="shared" si="69"/>
        <v>-90.287602945372157</v>
      </c>
      <c r="S148" s="337">
        <f t="shared" si="70"/>
        <v>89.712397054627843</v>
      </c>
      <c r="U148" s="310">
        <f t="shared" si="76"/>
        <v>1000000000</v>
      </c>
      <c r="V148" s="310">
        <f t="shared" si="77"/>
        <v>70803810.25</v>
      </c>
      <c r="X148" s="336">
        <f t="shared" si="71"/>
        <v>3.5416665748570879</v>
      </c>
      <c r="Y148" s="337">
        <f t="shared" si="72"/>
        <v>-25.064339784001422</v>
      </c>
      <c r="AA148" s="336">
        <f t="shared" si="73"/>
        <v>8.9847111806303275</v>
      </c>
      <c r="AB148" s="337">
        <f t="shared" si="74"/>
        <v>-65.223263161370724</v>
      </c>
      <c r="AD148">
        <f t="shared" si="78"/>
        <v>0</v>
      </c>
      <c r="AE148">
        <f t="shared" si="53"/>
        <v>0</v>
      </c>
    </row>
    <row r="149" spans="1:31" x14ac:dyDescent="0.25">
      <c r="A149" s="341">
        <v>8462.9500000000007</v>
      </c>
      <c r="B149" s="355">
        <f t="shared" si="75"/>
        <v>8.4629500000000011</v>
      </c>
      <c r="C149" s="328">
        <f t="shared" si="54"/>
        <v>2.1464593960370872</v>
      </c>
      <c r="D149" s="329">
        <f t="shared" si="55"/>
        <v>1.0861635074171456</v>
      </c>
      <c r="E149" s="329">
        <f t="shared" si="56"/>
        <v>1.0000061582855693</v>
      </c>
      <c r="F149" s="330">
        <f t="shared" si="57"/>
        <v>3.5094882720015474E-3</v>
      </c>
      <c r="G149" s="329">
        <f t="shared" si="58"/>
        <v>1</v>
      </c>
      <c r="H149" s="330">
        <f t="shared" si="59"/>
        <v>0</v>
      </c>
      <c r="I149" s="328">
        <f t="shared" si="60"/>
        <v>18496.397395789754</v>
      </c>
      <c r="J149" s="331">
        <f t="shared" si="61"/>
        <v>1.5707422622125302</v>
      </c>
      <c r="K149" s="339">
        <f t="shared" si="79"/>
        <v>2.5831443073902349</v>
      </c>
      <c r="L149" s="340">
        <f t="shared" si="80"/>
        <v>1.1732848029083158</v>
      </c>
      <c r="M149" s="328">
        <f t="shared" si="64"/>
        <v>1.0007286464194181</v>
      </c>
      <c r="N149" s="331">
        <f t="shared" si="65"/>
        <v>3.8162920651808409E-2</v>
      </c>
      <c r="O149" s="332">
        <f t="shared" si="66"/>
        <v>1.0002249134391934</v>
      </c>
      <c r="P149" s="333">
        <f t="shared" si="67"/>
        <v>5.8391745604492472E-2</v>
      </c>
      <c r="Q149" s="334">
        <f t="shared" si="68"/>
        <v>12.479777054416827</v>
      </c>
      <c r="R149" s="335">
        <f t="shared" si="69"/>
        <v>-90.33631589602129</v>
      </c>
      <c r="S149" s="337">
        <f t="shared" si="70"/>
        <v>89.66368410397871</v>
      </c>
      <c r="U149" s="310">
        <f t="shared" si="76"/>
        <v>1000000000</v>
      </c>
      <c r="V149" s="310">
        <f t="shared" si="77"/>
        <v>71621522.702500015</v>
      </c>
      <c r="X149" s="336">
        <f t="shared" si="71"/>
        <v>3.5340841277312989</v>
      </c>
      <c r="Y149" s="337">
        <f t="shared" si="72"/>
        <v>-24.959209269885481</v>
      </c>
      <c r="AA149" s="336">
        <f t="shared" si="73"/>
        <v>8.9456929266855312</v>
      </c>
      <c r="AB149" s="337">
        <f t="shared" si="74"/>
        <v>-65.377106626135813</v>
      </c>
      <c r="AD149">
        <f t="shared" si="78"/>
        <v>0</v>
      </c>
      <c r="AE149">
        <f t="shared" si="53"/>
        <v>0</v>
      </c>
    </row>
    <row r="150" spans="1:31" x14ac:dyDescent="0.25">
      <c r="A150" s="341">
        <v>8511.4</v>
      </c>
      <c r="B150" s="355">
        <f t="shared" si="75"/>
        <v>8.5114000000000001</v>
      </c>
      <c r="C150" s="328">
        <f t="shared" si="54"/>
        <v>2.1560865668033236</v>
      </c>
      <c r="D150" s="329">
        <f t="shared" si="55"/>
        <v>1.0885129992491054</v>
      </c>
      <c r="E150" s="329">
        <f t="shared" si="56"/>
        <v>1.0000062289989915</v>
      </c>
      <c r="F150" s="330">
        <f t="shared" si="57"/>
        <v>3.5295797647569003E-3</v>
      </c>
      <c r="G150" s="329">
        <f t="shared" si="58"/>
        <v>1</v>
      </c>
      <c r="H150" s="330">
        <f t="shared" si="59"/>
        <v>0</v>
      </c>
      <c r="I150" s="328">
        <f t="shared" si="60"/>
        <v>18602.288420930399</v>
      </c>
      <c r="J150" s="331">
        <f t="shared" si="61"/>
        <v>1.5707425699678947</v>
      </c>
      <c r="K150" s="339">
        <f t="shared" si="79"/>
        <v>2.5957217836242239</v>
      </c>
      <c r="L150" s="340">
        <f t="shared" si="80"/>
        <v>1.1753183671501584</v>
      </c>
      <c r="M150" s="328">
        <f t="shared" si="64"/>
        <v>1.0007370101544808</v>
      </c>
      <c r="N150" s="331">
        <f t="shared" si="65"/>
        <v>3.8381187727128091E-2</v>
      </c>
      <c r="O150" s="332">
        <f t="shared" si="66"/>
        <v>1.0002275084688954</v>
      </c>
      <c r="P150" s="333">
        <f t="shared" si="67"/>
        <v>5.8726266858613839E-2</v>
      </c>
      <c r="Q150" s="334">
        <f t="shared" si="68"/>
        <v>12.433417155949959</v>
      </c>
      <c r="R150" s="335">
        <f t="shared" si="69"/>
        <v>-90.3849561272079</v>
      </c>
      <c r="S150" s="337">
        <f t="shared" si="70"/>
        <v>89.6150438727921</v>
      </c>
      <c r="U150" s="310">
        <f t="shared" si="76"/>
        <v>1000000000</v>
      </c>
      <c r="V150" s="310">
        <f t="shared" si="77"/>
        <v>72443929.959999993</v>
      </c>
      <c r="X150" s="336">
        <f t="shared" si="71"/>
        <v>3.5266164762205943</v>
      </c>
      <c r="Y150" s="337">
        <f t="shared" si="72"/>
        <v>-24.855218036646345</v>
      </c>
      <c r="AA150" s="336">
        <f t="shared" si="73"/>
        <v>8.9068006797293666</v>
      </c>
      <c r="AB150" s="337">
        <f t="shared" si="74"/>
        <v>-65.529738090561551</v>
      </c>
      <c r="AD150">
        <f t="shared" si="78"/>
        <v>0</v>
      </c>
      <c r="AE150">
        <f t="shared" si="53"/>
        <v>0</v>
      </c>
    </row>
    <row r="151" spans="1:31" x14ac:dyDescent="0.25">
      <c r="A151" s="341">
        <v>8560.9500000000007</v>
      </c>
      <c r="B151" s="355">
        <f t="shared" si="75"/>
        <v>8.5609500000000001</v>
      </c>
      <c r="C151" s="328">
        <f t="shared" si="54"/>
        <v>2.1659445106226807</v>
      </c>
      <c r="D151" s="329">
        <f t="shared" si="55"/>
        <v>1.0908942173712235</v>
      </c>
      <c r="E151" s="329">
        <f t="shared" si="56"/>
        <v>1.0000063017354002</v>
      </c>
      <c r="F151" s="330">
        <f t="shared" si="57"/>
        <v>3.550127408167068E-3</v>
      </c>
      <c r="G151" s="329">
        <f t="shared" si="58"/>
        <v>1</v>
      </c>
      <c r="H151" s="330">
        <f t="shared" si="59"/>
        <v>0</v>
      </c>
      <c r="I151" s="328">
        <f t="shared" si="60"/>
        <v>18710.583576674595</v>
      </c>
      <c r="J151" s="331">
        <f t="shared" si="61"/>
        <v>1.5707428811075199</v>
      </c>
      <c r="K151" s="339">
        <f t="shared" si="79"/>
        <v>2.6085958109237843</v>
      </c>
      <c r="L151" s="340">
        <f t="shared" si="80"/>
        <v>1.177377809588823</v>
      </c>
      <c r="M151" s="328">
        <f t="shared" si="64"/>
        <v>1.0007456130889743</v>
      </c>
      <c r="N151" s="331">
        <f t="shared" si="65"/>
        <v>3.8604406514041387E-2</v>
      </c>
      <c r="O151" s="332">
        <f t="shared" si="66"/>
        <v>1.0002301780321601</v>
      </c>
      <c r="P151" s="333">
        <f t="shared" si="67"/>
        <v>5.9068387109312774E-2</v>
      </c>
      <c r="Q151" s="334">
        <f t="shared" si="68"/>
        <v>12.386251111173888</v>
      </c>
      <c r="R151" s="335">
        <f t="shared" si="69"/>
        <v>-90.434624590466655</v>
      </c>
      <c r="S151" s="337">
        <f t="shared" si="70"/>
        <v>89.565375409533345</v>
      </c>
      <c r="U151" s="310">
        <f t="shared" si="76"/>
        <v>1000000000</v>
      </c>
      <c r="V151" s="310">
        <f t="shared" si="77"/>
        <v>73289864.902500018</v>
      </c>
      <c r="X151" s="336">
        <f t="shared" si="71"/>
        <v>3.519095631071874</v>
      </c>
      <c r="Y151" s="337">
        <f t="shared" si="72"/>
        <v>-24.750027998026063</v>
      </c>
      <c r="AA151" s="336">
        <f t="shared" si="73"/>
        <v>8.8671554801020118</v>
      </c>
      <c r="AB151" s="337">
        <f t="shared" si="74"/>
        <v>-65.684596592440599</v>
      </c>
      <c r="AD151">
        <f t="shared" si="78"/>
        <v>0</v>
      </c>
      <c r="AE151">
        <f t="shared" si="53"/>
        <v>0</v>
      </c>
    </row>
    <row r="152" spans="1:31" x14ac:dyDescent="0.25">
      <c r="A152" s="341">
        <v>8610.5</v>
      </c>
      <c r="B152" s="355">
        <f t="shared" si="75"/>
        <v>8.6105</v>
      </c>
      <c r="C152" s="328">
        <f t="shared" si="54"/>
        <v>2.1758146244537446</v>
      </c>
      <c r="D152" s="329">
        <f t="shared" si="55"/>
        <v>1.0932538450069786</v>
      </c>
      <c r="E152" s="329">
        <f t="shared" si="56"/>
        <v>1.0000063748940171</v>
      </c>
      <c r="F152" s="330">
        <f t="shared" si="57"/>
        <v>3.5706750485794553E-3</v>
      </c>
      <c r="G152" s="329">
        <f t="shared" si="58"/>
        <v>1</v>
      </c>
      <c r="H152" s="330">
        <f t="shared" si="59"/>
        <v>0</v>
      </c>
      <c r="I152" s="328">
        <f t="shared" si="60"/>
        <v>18818.878732420584</v>
      </c>
      <c r="J152" s="331">
        <f t="shared" si="61"/>
        <v>1.5707431886661756</v>
      </c>
      <c r="K152" s="339">
        <f t="shared" si="79"/>
        <v>2.6214807933732334</v>
      </c>
      <c r="L152" s="340">
        <f t="shared" si="80"/>
        <v>1.1794170156512047</v>
      </c>
      <c r="M152" s="328">
        <f t="shared" si="64"/>
        <v>1.0007542658863868</v>
      </c>
      <c r="N152" s="331">
        <f t="shared" si="65"/>
        <v>3.8827621452054165E-2</v>
      </c>
      <c r="O152" s="332">
        <f t="shared" si="66"/>
        <v>1.0002328633923456</v>
      </c>
      <c r="P152" s="333">
        <f t="shared" si="67"/>
        <v>5.9410511516294583E-2</v>
      </c>
      <c r="Q152" s="334">
        <f t="shared" si="68"/>
        <v>12.339331563925226</v>
      </c>
      <c r="R152" s="335">
        <f t="shared" si="69"/>
        <v>-90.484215281541765</v>
      </c>
      <c r="S152" s="337">
        <f t="shared" si="70"/>
        <v>89.515784718458235</v>
      </c>
      <c r="U152" s="310">
        <f t="shared" si="76"/>
        <v>1000000000</v>
      </c>
      <c r="V152" s="310">
        <f t="shared" si="77"/>
        <v>74140710.25</v>
      </c>
      <c r="X152" s="336">
        <f t="shared" si="71"/>
        <v>3.5116900727295337</v>
      </c>
      <c r="Y152" s="337">
        <f t="shared" si="72"/>
        <v>-24.645996992660553</v>
      </c>
      <c r="AA152" s="336">
        <f t="shared" si="73"/>
        <v>8.827641491195692</v>
      </c>
      <c r="AB152" s="337">
        <f t="shared" si="74"/>
        <v>-65.838218288881222</v>
      </c>
      <c r="AD152">
        <f t="shared" si="78"/>
        <v>0</v>
      </c>
      <c r="AE152">
        <f t="shared" si="53"/>
        <v>0</v>
      </c>
    </row>
    <row r="153" spans="1:31" x14ac:dyDescent="0.25">
      <c r="A153" s="341">
        <v>8660.0499999999993</v>
      </c>
      <c r="B153" s="355">
        <f t="shared" si="75"/>
        <v>8.66005</v>
      </c>
      <c r="C153" s="328">
        <f t="shared" si="54"/>
        <v>2.1856967434254329</v>
      </c>
      <c r="D153" s="329">
        <f t="shared" si="55"/>
        <v>1.0955921485501479</v>
      </c>
      <c r="E153" s="329">
        <f t="shared" si="56"/>
        <v>1.0000064484748423</v>
      </c>
      <c r="F153" s="330">
        <f t="shared" si="57"/>
        <v>3.5912226859767128E-3</v>
      </c>
      <c r="G153" s="329">
        <f t="shared" si="58"/>
        <v>1</v>
      </c>
      <c r="H153" s="330">
        <f t="shared" si="59"/>
        <v>0</v>
      </c>
      <c r="I153" s="328">
        <f t="shared" si="60"/>
        <v>18927.17388816833</v>
      </c>
      <c r="J153" s="331">
        <f t="shared" si="61"/>
        <v>1.5707434927053292</v>
      </c>
      <c r="K153" s="339">
        <f t="shared" si="79"/>
        <v>2.6343765702245863</v>
      </c>
      <c r="L153" s="340">
        <f t="shared" si="80"/>
        <v>1.1814362654351036</v>
      </c>
      <c r="M153" s="328">
        <f t="shared" si="64"/>
        <v>1.0007629685454256</v>
      </c>
      <c r="N153" s="331">
        <f t="shared" si="65"/>
        <v>3.9050832519023221E-2</v>
      </c>
      <c r="O153" s="332">
        <f t="shared" si="66"/>
        <v>1.0002355645546737</v>
      </c>
      <c r="P153" s="333">
        <f t="shared" si="67"/>
        <v>5.9752640103358602E-2</v>
      </c>
      <c r="Q153" s="334">
        <f t="shared" si="68"/>
        <v>12.292655871689817</v>
      </c>
      <c r="R153" s="335">
        <f t="shared" si="69"/>
        <v>-90.53372741886831</v>
      </c>
      <c r="S153" s="337">
        <f t="shared" si="70"/>
        <v>89.46627258113169</v>
      </c>
      <c r="U153" s="310">
        <f t="shared" si="76"/>
        <v>1000000000</v>
      </c>
      <c r="V153" s="310">
        <f t="shared" si="77"/>
        <v>74996466.002499983</v>
      </c>
      <c r="X153" s="336">
        <f t="shared" si="71"/>
        <v>3.5043974720772093</v>
      </c>
      <c r="Y153" s="337">
        <f t="shared" si="72"/>
        <v>-24.543108974381131</v>
      </c>
      <c r="AA153" s="336">
        <f t="shared" si="73"/>
        <v>8.7882583996126069</v>
      </c>
      <c r="AB153" s="337">
        <f t="shared" si="74"/>
        <v>-65.990618444487168</v>
      </c>
      <c r="AD153">
        <f t="shared" si="78"/>
        <v>0</v>
      </c>
      <c r="AE153">
        <f t="shared" si="53"/>
        <v>0</v>
      </c>
    </row>
    <row r="154" spans="1:31" x14ac:dyDescent="0.25">
      <c r="A154" s="341">
        <v>8709.6</v>
      </c>
      <c r="B154" s="355">
        <f t="shared" si="75"/>
        <v>8.7096</v>
      </c>
      <c r="C154" s="328">
        <f t="shared" si="54"/>
        <v>2.1955907054361896</v>
      </c>
      <c r="D154" s="329">
        <f t="shared" si="55"/>
        <v>1.097909390534229</v>
      </c>
      <c r="E154" s="329">
        <f t="shared" si="56"/>
        <v>1.0000065224778756</v>
      </c>
      <c r="F154" s="330">
        <f t="shared" si="57"/>
        <v>3.611770320341491E-3</v>
      </c>
      <c r="G154" s="329">
        <f t="shared" si="58"/>
        <v>1</v>
      </c>
      <c r="H154" s="330">
        <f t="shared" si="59"/>
        <v>0</v>
      </c>
      <c r="I154" s="328">
        <f t="shared" si="60"/>
        <v>19035.469043917805</v>
      </c>
      <c r="J154" s="331">
        <f t="shared" si="61"/>
        <v>1.5707437932850496</v>
      </c>
      <c r="K154" s="339">
        <f t="shared" si="79"/>
        <v>2.6472829837287155</v>
      </c>
      <c r="L154" s="340">
        <f t="shared" si="80"/>
        <v>1.1834358342338569</v>
      </c>
      <c r="M154" s="328">
        <f t="shared" si="64"/>
        <v>1.0007717210647897</v>
      </c>
      <c r="N154" s="331">
        <f t="shared" si="65"/>
        <v>3.9274039692807683E-2</v>
      </c>
      <c r="O154" s="332">
        <f t="shared" si="66"/>
        <v>1.0002382815243969</v>
      </c>
      <c r="P154" s="333">
        <f t="shared" si="67"/>
        <v>6.0094772894299729E-2</v>
      </c>
      <c r="Q154" s="334">
        <f t="shared" si="68"/>
        <v>12.246221437053681</v>
      </c>
      <c r="R154" s="335">
        <f t="shared" si="69"/>
        <v>-90.583160274898688</v>
      </c>
      <c r="S154" s="337">
        <f t="shared" si="70"/>
        <v>89.416839725101312</v>
      </c>
      <c r="U154" s="310">
        <f t="shared" si="76"/>
        <v>1000000000</v>
      </c>
      <c r="V154" s="310">
        <f t="shared" si="77"/>
        <v>75857132.160000011</v>
      </c>
      <c r="X154" s="336">
        <f t="shared" si="71"/>
        <v>3.4972155569388157</v>
      </c>
      <c r="Y154" s="337">
        <f t="shared" si="72"/>
        <v>-24.441348172214521</v>
      </c>
      <c r="AA154" s="336">
        <f t="shared" si="73"/>
        <v>8.7490058801148667</v>
      </c>
      <c r="AB154" s="337">
        <f t="shared" si="74"/>
        <v>-66.141812102684185</v>
      </c>
      <c r="AD154">
        <f t="shared" si="78"/>
        <v>0</v>
      </c>
      <c r="AE154">
        <f t="shared" ref="AE154:AE217" si="81">IF(AD154&gt;0,S154,0)</f>
        <v>0</v>
      </c>
    </row>
    <row r="155" spans="1:31" x14ac:dyDescent="0.25">
      <c r="A155" s="341">
        <v>8760.3250000000007</v>
      </c>
      <c r="B155" s="355">
        <f t="shared" si="75"/>
        <v>8.7603249999999999</v>
      </c>
      <c r="C155" s="328">
        <f t="shared" si="54"/>
        <v>2.2057313883707517</v>
      </c>
      <c r="D155" s="329">
        <f t="shared" si="55"/>
        <v>1.1002600357105086</v>
      </c>
      <c r="E155" s="329">
        <f t="shared" si="56"/>
        <v>1.0000065986731186</v>
      </c>
      <c r="F155" s="330">
        <f t="shared" si="57"/>
        <v>3.632805206246828E-3</v>
      </c>
      <c r="G155" s="329">
        <f t="shared" si="58"/>
        <v>1</v>
      </c>
      <c r="H155" s="330">
        <f t="shared" si="59"/>
        <v>0</v>
      </c>
      <c r="I155" s="328">
        <f t="shared" si="60"/>
        <v>19146.332248266539</v>
      </c>
      <c r="J155" s="331">
        <f t="shared" si="61"/>
        <v>1.5707440974703719</v>
      </c>
      <c r="K155" s="339">
        <f t="shared" si="79"/>
        <v>2.660506308820898</v>
      </c>
      <c r="L155" s="340">
        <f t="shared" si="80"/>
        <v>1.1854627155451369</v>
      </c>
      <c r="M155" s="328">
        <f t="shared" si="64"/>
        <v>1.0007807327828449</v>
      </c>
      <c r="N155" s="331">
        <f t="shared" si="65"/>
        <v>3.9502535816352949E-2</v>
      </c>
      <c r="O155" s="332">
        <f t="shared" si="66"/>
        <v>1.0002410793023917</v>
      </c>
      <c r="P155" s="333">
        <f t="shared" si="67"/>
        <v>6.0445023203507101E-2</v>
      </c>
      <c r="Q155" s="334">
        <f t="shared" si="68"/>
        <v>12.198933124527267</v>
      </c>
      <c r="R155" s="335">
        <f t="shared" si="69"/>
        <v>-90.633682524334958</v>
      </c>
      <c r="S155" s="337">
        <f t="shared" si="70"/>
        <v>89.366317475665042</v>
      </c>
      <c r="U155" s="310">
        <f t="shared" si="76"/>
        <v>1000000000</v>
      </c>
      <c r="V155" s="310">
        <f t="shared" si="77"/>
        <v>76743294.105625018</v>
      </c>
      <c r="X155" s="336">
        <f t="shared" si="71"/>
        <v>3.4899756736043264</v>
      </c>
      <c r="Y155" s="337">
        <f t="shared" si="72"/>
        <v>-24.338325719435911</v>
      </c>
      <c r="AA155" s="336">
        <f t="shared" si="73"/>
        <v>8.7089574509229379</v>
      </c>
      <c r="AB155" s="337">
        <f t="shared" si="74"/>
        <v>-66.295356804899058</v>
      </c>
      <c r="AD155">
        <f t="shared" si="78"/>
        <v>0</v>
      </c>
      <c r="AE155">
        <f t="shared" si="81"/>
        <v>0</v>
      </c>
    </row>
    <row r="156" spans="1:31" x14ac:dyDescent="0.25">
      <c r="A156" s="341">
        <v>8811.0499999999993</v>
      </c>
      <c r="B156" s="355">
        <f t="shared" si="75"/>
        <v>8.8110499999999998</v>
      </c>
      <c r="C156" s="328">
        <f t="shared" si="54"/>
        <v>2.2158841475553612</v>
      </c>
      <c r="D156" s="329">
        <f t="shared" si="55"/>
        <v>1.1025891532412486</v>
      </c>
      <c r="E156" s="329">
        <f t="shared" si="56"/>
        <v>1.0000066753108308</v>
      </c>
      <c r="F156" s="330">
        <f t="shared" si="57"/>
        <v>3.653840088937362E-3</v>
      </c>
      <c r="G156" s="329">
        <f t="shared" si="58"/>
        <v>1</v>
      </c>
      <c r="H156" s="330">
        <f t="shared" si="59"/>
        <v>0</v>
      </c>
      <c r="I156" s="328">
        <f t="shared" si="60"/>
        <v>19257.195452617012</v>
      </c>
      <c r="J156" s="331">
        <f t="shared" si="61"/>
        <v>1.5707443981533189</v>
      </c>
      <c r="K156" s="339">
        <f t="shared" si="79"/>
        <v>2.6737404557947455</v>
      </c>
      <c r="L156" s="340">
        <f t="shared" si="80"/>
        <v>1.1874695402245521</v>
      </c>
      <c r="M156" s="328">
        <f t="shared" si="64"/>
        <v>1.0007897967511987</v>
      </c>
      <c r="N156" s="331">
        <f t="shared" si="65"/>
        <v>3.9731027812933327E-2</v>
      </c>
      <c r="O156" s="332">
        <f t="shared" si="66"/>
        <v>1.0002438936576006</v>
      </c>
      <c r="P156" s="333">
        <f t="shared" si="67"/>
        <v>6.0795277968782591E-2</v>
      </c>
      <c r="Q156" s="334">
        <f t="shared" si="68"/>
        <v>12.151892278761931</v>
      </c>
      <c r="R156" s="335">
        <f t="shared" si="69"/>
        <v>-90.684120309265097</v>
      </c>
      <c r="S156" s="337">
        <f t="shared" si="70"/>
        <v>89.315879690734903</v>
      </c>
      <c r="U156" s="310">
        <f t="shared" si="76"/>
        <v>1000000000</v>
      </c>
      <c r="V156" s="310">
        <f t="shared" si="77"/>
        <v>77634602.102499992</v>
      </c>
      <c r="X156" s="336">
        <f t="shared" si="71"/>
        <v>3.4828471444588738</v>
      </c>
      <c r="Y156" s="337">
        <f t="shared" si="72"/>
        <v>-24.236451989886721</v>
      </c>
      <c r="AA156" s="336">
        <f t="shared" si="73"/>
        <v>8.6690451343030546</v>
      </c>
      <c r="AB156" s="337">
        <f t="shared" si="74"/>
        <v>-66.447668319378337</v>
      </c>
      <c r="AD156">
        <f t="shared" si="78"/>
        <v>0</v>
      </c>
      <c r="AE156">
        <f t="shared" si="81"/>
        <v>0</v>
      </c>
    </row>
    <row r="157" spans="1:31" x14ac:dyDescent="0.25">
      <c r="A157" s="341">
        <v>8861.7749999999996</v>
      </c>
      <c r="B157" s="355">
        <f t="shared" si="75"/>
        <v>8.8617749999999997</v>
      </c>
      <c r="C157" s="328">
        <f t="shared" si="54"/>
        <v>2.2260488177547559</v>
      </c>
      <c r="D157" s="329">
        <f t="shared" si="55"/>
        <v>1.1048970125834967</v>
      </c>
      <c r="E157" s="329">
        <f t="shared" si="56"/>
        <v>1.0000067523910121</v>
      </c>
      <c r="F157" s="330">
        <f t="shared" si="57"/>
        <v>3.6748749683944808E-3</v>
      </c>
      <c r="G157" s="329">
        <f t="shared" si="58"/>
        <v>1</v>
      </c>
      <c r="H157" s="330">
        <f t="shared" si="59"/>
        <v>0</v>
      </c>
      <c r="I157" s="328">
        <f t="shared" si="60"/>
        <v>19368.058656969217</v>
      </c>
      <c r="J157" s="331">
        <f t="shared" si="61"/>
        <v>1.5707446953940343</v>
      </c>
      <c r="K157" s="339">
        <f t="shared" si="79"/>
        <v>2.6869852647479657</v>
      </c>
      <c r="L157" s="340">
        <f t="shared" si="80"/>
        <v>1.1894565885794663</v>
      </c>
      <c r="M157" s="328">
        <f t="shared" si="64"/>
        <v>1.0007989129684309</v>
      </c>
      <c r="N157" s="331">
        <f t="shared" si="65"/>
        <v>3.9959515658802798E-2</v>
      </c>
      <c r="O157" s="332">
        <f t="shared" si="66"/>
        <v>1.0002467245957558</v>
      </c>
      <c r="P157" s="333">
        <f t="shared" si="67"/>
        <v>6.1145537215639666E-2</v>
      </c>
      <c r="Q157" s="334">
        <f t="shared" si="68"/>
        <v>12.105096252929776</v>
      </c>
      <c r="R157" s="335">
        <f t="shared" si="69"/>
        <v>-90.734473011559999</v>
      </c>
      <c r="S157" s="337">
        <f t="shared" si="70"/>
        <v>89.265526988440001</v>
      </c>
      <c r="U157" s="310">
        <f t="shared" si="76"/>
        <v>1000000000</v>
      </c>
      <c r="V157" s="310">
        <f t="shared" si="77"/>
        <v>78531056.15062499</v>
      </c>
      <c r="X157" s="336">
        <f t="shared" si="71"/>
        <v>3.4758277068110872</v>
      </c>
      <c r="Y157" s="337">
        <f t="shared" si="72"/>
        <v>-24.135710925223464</v>
      </c>
      <c r="AA157" s="336">
        <f t="shared" si="73"/>
        <v>8.6292685461186895</v>
      </c>
      <c r="AB157" s="337">
        <f t="shared" si="74"/>
        <v>-66.598762086336535</v>
      </c>
      <c r="AD157">
        <f t="shared" si="78"/>
        <v>0</v>
      </c>
      <c r="AE157">
        <f t="shared" si="81"/>
        <v>0</v>
      </c>
    </row>
    <row r="158" spans="1:31" x14ac:dyDescent="0.25">
      <c r="A158" s="338">
        <v>8912.5</v>
      </c>
      <c r="B158" s="355">
        <f t="shared" si="75"/>
        <v>8.9124999999999996</v>
      </c>
      <c r="C158" s="328">
        <f t="shared" si="54"/>
        <v>2.2362252365458519</v>
      </c>
      <c r="D158" s="329">
        <f t="shared" si="55"/>
        <v>1.1071838792038569</v>
      </c>
      <c r="E158" s="329">
        <f t="shared" si="56"/>
        <v>1.0000068299136626</v>
      </c>
      <c r="F158" s="330">
        <f t="shared" si="57"/>
        <v>3.6959098445995694E-3</v>
      </c>
      <c r="G158" s="329">
        <f t="shared" si="58"/>
        <v>1</v>
      </c>
      <c r="H158" s="330">
        <f t="shared" si="59"/>
        <v>0</v>
      </c>
      <c r="I158" s="328">
        <f t="shared" si="60"/>
        <v>19478.921861323106</v>
      </c>
      <c r="J158" s="331">
        <f t="shared" si="61"/>
        <v>1.5707449892512912</v>
      </c>
      <c r="K158" s="339">
        <f t="shared" ref="K158:K214" si="82">SQRT(1+(A158/Zero2)^2)</f>
        <v>2.7002405787880099</v>
      </c>
      <c r="L158" s="340">
        <f t="shared" ref="L158:L214" si="83">ATAN(A158/Zero2)</f>
        <v>1.1914241360445346</v>
      </c>
      <c r="M158" s="328">
        <f t="shared" si="64"/>
        <v>1.0008080814331142</v>
      </c>
      <c r="N158" s="331">
        <f t="shared" si="65"/>
        <v>4.0187999330217911E-2</v>
      </c>
      <c r="O158" s="332">
        <f t="shared" si="66"/>
        <v>1.0002495721226234</v>
      </c>
      <c r="P158" s="333">
        <f t="shared" si="67"/>
        <v>6.1495800969586754E-2</v>
      </c>
      <c r="Q158" s="334">
        <f t="shared" si="68"/>
        <v>12.058542445068515</v>
      </c>
      <c r="R158" s="335">
        <f t="shared" si="69"/>
        <v>-90.784740063562154</v>
      </c>
      <c r="S158" s="337">
        <f t="shared" si="70"/>
        <v>89.215259936437846</v>
      </c>
      <c r="U158" s="310">
        <f t="shared" si="76"/>
        <v>1000000000</v>
      </c>
      <c r="V158" s="310">
        <f t="shared" si="77"/>
        <v>79432656.25</v>
      </c>
      <c r="X158" s="336">
        <f t="shared" si="71"/>
        <v>3.4689151536371723</v>
      </c>
      <c r="Y158" s="337">
        <f t="shared" si="72"/>
        <v>-24.036086746209893</v>
      </c>
      <c r="AA158" s="336">
        <f t="shared" si="73"/>
        <v>8.5896272914313414</v>
      </c>
      <c r="AB158" s="337">
        <f t="shared" si="74"/>
        <v>-66.748653317352236</v>
      </c>
      <c r="AD158">
        <f t="shared" si="78"/>
        <v>0</v>
      </c>
      <c r="AE158">
        <f t="shared" si="81"/>
        <v>0</v>
      </c>
    </row>
    <row r="159" spans="1:31" x14ac:dyDescent="0.25">
      <c r="A159" s="338">
        <v>8964.4</v>
      </c>
      <c r="B159" s="355">
        <f t="shared" si="75"/>
        <v>8.9643999999999995</v>
      </c>
      <c r="C159" s="328">
        <f t="shared" si="54"/>
        <v>2.2466493765717899</v>
      </c>
      <c r="D159" s="329">
        <f t="shared" si="55"/>
        <v>1.109502264068468</v>
      </c>
      <c r="E159" s="329">
        <f t="shared" si="56"/>
        <v>1.0000069096900188</v>
      </c>
      <c r="F159" s="330">
        <f t="shared" si="57"/>
        <v>3.7174319718213363E-3</v>
      </c>
      <c r="G159" s="329">
        <f t="shared" si="58"/>
        <v>1</v>
      </c>
      <c r="H159" s="330">
        <f t="shared" si="59"/>
        <v>0</v>
      </c>
      <c r="I159" s="328">
        <f t="shared" si="60"/>
        <v>19592.353114276371</v>
      </c>
      <c r="J159" s="331">
        <f t="shared" si="61"/>
        <v>1.5707452864734712</v>
      </c>
      <c r="K159" s="339">
        <f t="shared" si="82"/>
        <v>2.7138136528798715</v>
      </c>
      <c r="L159" s="340">
        <f t="shared" si="83"/>
        <v>1.1934173585830663</v>
      </c>
      <c r="M159" s="328">
        <f t="shared" si="64"/>
        <v>1.0008175163525856</v>
      </c>
      <c r="N159" s="331">
        <f t="shared" si="65"/>
        <v>4.04217712794918E-2</v>
      </c>
      <c r="O159" s="332">
        <f t="shared" si="66"/>
        <v>1.0002525027855511</v>
      </c>
      <c r="P159" s="333">
        <f t="shared" si="67"/>
        <v>6.1854182966755253E-2</v>
      </c>
      <c r="Q159" s="334">
        <f t="shared" si="68"/>
        <v>12.01115829036485</v>
      </c>
      <c r="R159" s="335">
        <f t="shared" si="69"/>
        <v>-90.836082317035505</v>
      </c>
      <c r="S159" s="337">
        <f t="shared" si="70"/>
        <v>89.163917682964495</v>
      </c>
      <c r="U159" s="310">
        <f t="shared" si="76"/>
        <v>1000000000</v>
      </c>
      <c r="V159" s="310">
        <f t="shared" si="77"/>
        <v>80360467.359999999</v>
      </c>
      <c r="X159" s="336">
        <f t="shared" si="71"/>
        <v>3.4619508590010679</v>
      </c>
      <c r="Y159" s="337">
        <f t="shared" si="72"/>
        <v>-23.935294682644937</v>
      </c>
      <c r="AA159" s="336">
        <f t="shared" si="73"/>
        <v>8.5492074313637829</v>
      </c>
      <c r="AB159" s="337">
        <f t="shared" si="74"/>
        <v>-66.900787634390568</v>
      </c>
      <c r="AD159">
        <f t="shared" si="78"/>
        <v>0</v>
      </c>
      <c r="AE159">
        <f t="shared" si="81"/>
        <v>0</v>
      </c>
    </row>
    <row r="160" spans="1:31" x14ac:dyDescent="0.25">
      <c r="A160" s="338">
        <v>9016.2999999999993</v>
      </c>
      <c r="B160" s="355">
        <f t="shared" si="75"/>
        <v>9.0162999999999993</v>
      </c>
      <c r="C160" s="328">
        <f t="shared" si="54"/>
        <v>2.2570854805551588</v>
      </c>
      <c r="D160" s="329">
        <f t="shared" si="55"/>
        <v>1.1117992221152428</v>
      </c>
      <c r="E160" s="329">
        <f t="shared" si="56"/>
        <v>1.0000069899295803</v>
      </c>
      <c r="F160" s="330">
        <f t="shared" si="57"/>
        <v>3.7389540955992452E-3</v>
      </c>
      <c r="G160" s="329">
        <f t="shared" si="58"/>
        <v>1</v>
      </c>
      <c r="H160" s="330">
        <f t="shared" si="59"/>
        <v>0</v>
      </c>
      <c r="I160" s="328">
        <f t="shared" si="60"/>
        <v>19705.784367231347</v>
      </c>
      <c r="J160" s="331">
        <f t="shared" si="61"/>
        <v>1.5707455802738857</v>
      </c>
      <c r="K160" s="339">
        <f t="shared" si="82"/>
        <v>2.7273974014423206</v>
      </c>
      <c r="L160" s="340">
        <f t="shared" si="83"/>
        <v>1.1953907344862751</v>
      </c>
      <c r="M160" s="328">
        <f t="shared" si="64"/>
        <v>1.0008270059650253</v>
      </c>
      <c r="N160" s="331">
        <f t="shared" si="65"/>
        <v>4.065553880839657E-2</v>
      </c>
      <c r="O160" s="332">
        <f t="shared" si="66"/>
        <v>1.0002554508269355</v>
      </c>
      <c r="P160" s="333">
        <f t="shared" si="67"/>
        <v>6.2212569736247905E-2</v>
      </c>
      <c r="Q160" s="334">
        <f t="shared" si="68"/>
        <v>11.964022333405261</v>
      </c>
      <c r="R160" s="335">
        <f t="shared" si="69"/>
        <v>-90.887333857030058</v>
      </c>
      <c r="S160" s="337">
        <f t="shared" si="70"/>
        <v>89.112666142969942</v>
      </c>
      <c r="U160" s="310">
        <f t="shared" si="76"/>
        <v>1000000000</v>
      </c>
      <c r="V160" s="310">
        <f t="shared" si="77"/>
        <v>81293665.689999983</v>
      </c>
      <c r="X160" s="336">
        <f t="shared" si="71"/>
        <v>3.4550939551517148</v>
      </c>
      <c r="Y160" s="337">
        <f t="shared" si="72"/>
        <v>-23.835639298201599</v>
      </c>
      <c r="AA160" s="336">
        <f t="shared" si="73"/>
        <v>8.5089283782535468</v>
      </c>
      <c r="AB160" s="337">
        <f t="shared" si="74"/>
        <v>-67.051694558828444</v>
      </c>
      <c r="AD160">
        <f t="shared" si="78"/>
        <v>0</v>
      </c>
      <c r="AE160">
        <f t="shared" si="81"/>
        <v>0</v>
      </c>
    </row>
    <row r="161" spans="1:31" x14ac:dyDescent="0.25">
      <c r="A161" s="338">
        <v>9068.2000000000007</v>
      </c>
      <c r="B161" s="355">
        <f t="shared" si="75"/>
        <v>9.0682000000000009</v>
      </c>
      <c r="C161" s="328">
        <f t="shared" si="54"/>
        <v>2.2675333833070788</v>
      </c>
      <c r="D161" s="329">
        <f t="shared" si="55"/>
        <v>1.1140750251171243</v>
      </c>
      <c r="E161" s="329">
        <f t="shared" si="56"/>
        <v>1.0000070706323465</v>
      </c>
      <c r="F161" s="330">
        <f t="shared" si="57"/>
        <v>3.7604762159133579E-3</v>
      </c>
      <c r="G161" s="329">
        <f t="shared" si="58"/>
        <v>1</v>
      </c>
      <c r="H161" s="330">
        <f t="shared" si="59"/>
        <v>0</v>
      </c>
      <c r="I161" s="328">
        <f t="shared" si="60"/>
        <v>19819.215620188003</v>
      </c>
      <c r="J161" s="331">
        <f t="shared" si="61"/>
        <v>1.5707458707112862</v>
      </c>
      <c r="K161" s="339">
        <f t="shared" si="82"/>
        <v>2.7409916657744149</v>
      </c>
      <c r="L161" s="340">
        <f t="shared" si="83"/>
        <v>1.1973445435644552</v>
      </c>
      <c r="M161" s="328">
        <f t="shared" si="64"/>
        <v>1.0008365502688772</v>
      </c>
      <c r="N161" s="331">
        <f t="shared" si="65"/>
        <v>4.0889301891508821E-2</v>
      </c>
      <c r="O161" s="332">
        <f t="shared" si="66"/>
        <v>1.000258416253059</v>
      </c>
      <c r="P161" s="333">
        <f t="shared" si="67"/>
        <v>6.2570961305370737E-2</v>
      </c>
      <c r="Q161" s="334">
        <f t="shared" si="68"/>
        <v>11.917131926040373</v>
      </c>
      <c r="R161" s="335">
        <f t="shared" si="69"/>
        <v>-90.938494226514649</v>
      </c>
      <c r="S161" s="337">
        <f t="shared" si="70"/>
        <v>89.061505773485351</v>
      </c>
      <c r="U161" s="310">
        <f t="shared" si="76"/>
        <v>1000000000</v>
      </c>
      <c r="V161" s="310">
        <f t="shared" si="77"/>
        <v>82232251.24000001</v>
      </c>
      <c r="X161" s="336">
        <f t="shared" si="71"/>
        <v>3.4483422488028332</v>
      </c>
      <c r="Y161" s="337">
        <f t="shared" si="72"/>
        <v>-23.7371045628405</v>
      </c>
      <c r="AA161" s="336">
        <f t="shared" si="73"/>
        <v>8.4687896772375399</v>
      </c>
      <c r="AB161" s="337">
        <f t="shared" si="74"/>
        <v>-67.201389663674149</v>
      </c>
      <c r="AD161">
        <f t="shared" si="78"/>
        <v>0</v>
      </c>
      <c r="AE161">
        <f t="shared" si="81"/>
        <v>0</v>
      </c>
    </row>
    <row r="162" spans="1:31" x14ac:dyDescent="0.25">
      <c r="A162" s="338">
        <v>9120.1</v>
      </c>
      <c r="B162" s="355">
        <f t="shared" si="75"/>
        <v>9.1201000000000008</v>
      </c>
      <c r="C162" s="328">
        <f t="shared" si="54"/>
        <v>2.2779929224841364</v>
      </c>
      <c r="D162" s="329">
        <f t="shared" si="55"/>
        <v>1.1163299407406246</v>
      </c>
      <c r="E162" s="329">
        <f t="shared" si="56"/>
        <v>1.0000071517983176</v>
      </c>
      <c r="F162" s="330">
        <f t="shared" si="57"/>
        <v>3.7819983327437366E-3</v>
      </c>
      <c r="G162" s="329">
        <f t="shared" si="58"/>
        <v>1</v>
      </c>
      <c r="H162" s="330">
        <f t="shared" si="59"/>
        <v>0</v>
      </c>
      <c r="I162" s="328">
        <f t="shared" si="60"/>
        <v>19932.64687314631</v>
      </c>
      <c r="J162" s="331">
        <f t="shared" si="61"/>
        <v>1.5707461578430868</v>
      </c>
      <c r="K162" s="339">
        <f t="shared" si="82"/>
        <v>2.7545962901863903</v>
      </c>
      <c r="L162" s="340">
        <f t="shared" si="83"/>
        <v>1.1992790607040826</v>
      </c>
      <c r="M162" s="328">
        <f t="shared" si="64"/>
        <v>1.0008461492625766</v>
      </c>
      <c r="N162" s="331">
        <f t="shared" si="65"/>
        <v>4.1123060503408033E-2</v>
      </c>
      <c r="O162" s="332">
        <f t="shared" si="66"/>
        <v>1.0002613990702409</v>
      </c>
      <c r="P162" s="333">
        <f t="shared" si="67"/>
        <v>6.2929357701424118E-2</v>
      </c>
      <c r="Q162" s="334">
        <f t="shared" si="68"/>
        <v>11.870484464693437</v>
      </c>
      <c r="R162" s="335">
        <f t="shared" si="69"/>
        <v>-90.989563015214259</v>
      </c>
      <c r="S162" s="337">
        <f t="shared" si="70"/>
        <v>89.010436984785741</v>
      </c>
      <c r="U162" s="310">
        <f t="shared" si="76"/>
        <v>1000000000</v>
      </c>
      <c r="V162" s="310">
        <f t="shared" si="77"/>
        <v>83176224.010000005</v>
      </c>
      <c r="X162" s="336">
        <f t="shared" si="71"/>
        <v>3.4416936009308055</v>
      </c>
      <c r="Y162" s="337">
        <f t="shared" si="72"/>
        <v>-23.639674728559793</v>
      </c>
      <c r="AA162" s="336">
        <f t="shared" si="73"/>
        <v>8.4287908637626288</v>
      </c>
      <c r="AB162" s="337">
        <f t="shared" si="74"/>
        <v>-67.34988828665449</v>
      </c>
      <c r="AD162">
        <f t="shared" si="78"/>
        <v>0</v>
      </c>
      <c r="AE162">
        <f t="shared" si="81"/>
        <v>0</v>
      </c>
    </row>
    <row r="163" spans="1:31" x14ac:dyDescent="0.25">
      <c r="A163" s="338">
        <v>9173.2000000000007</v>
      </c>
      <c r="B163" s="355">
        <f t="shared" si="75"/>
        <v>9.1732000000000014</v>
      </c>
      <c r="C163" s="328">
        <f t="shared" si="54"/>
        <v>2.2887061774412305</v>
      </c>
      <c r="D163" s="329">
        <f t="shared" si="55"/>
        <v>1.1186156506799803</v>
      </c>
      <c r="E163" s="329">
        <f t="shared" si="56"/>
        <v>1.0000072353203522</v>
      </c>
      <c r="F163" s="330">
        <f t="shared" si="57"/>
        <v>3.8040180671462249E-3</v>
      </c>
      <c r="G163" s="329">
        <f t="shared" si="58"/>
        <v>1</v>
      </c>
      <c r="H163" s="330">
        <f t="shared" si="59"/>
        <v>0</v>
      </c>
      <c r="I163" s="328">
        <f t="shared" si="60"/>
        <v>20048.700814035976</v>
      </c>
      <c r="J163" s="331">
        <f t="shared" si="61"/>
        <v>1.5707464482511599</v>
      </c>
      <c r="K163" s="339">
        <f t="shared" si="82"/>
        <v>2.7685260352604772</v>
      </c>
      <c r="L163" s="340">
        <f t="shared" si="83"/>
        <v>1.2012386220102864</v>
      </c>
      <c r="M163" s="328">
        <f t="shared" si="64"/>
        <v>1.0008560267979099</v>
      </c>
      <c r="N163" s="331">
        <f t="shared" si="65"/>
        <v>4.1362219284715999E-2</v>
      </c>
      <c r="O163" s="332">
        <f t="shared" si="66"/>
        <v>1.0002644688597881</v>
      </c>
      <c r="P163" s="333">
        <f t="shared" si="67"/>
        <v>6.329604574344673E-2</v>
      </c>
      <c r="Q163" s="334">
        <f t="shared" si="68"/>
        <v>11.823007216445543</v>
      </c>
      <c r="R163" s="335">
        <f t="shared" si="69"/>
        <v>-91.041717422765373</v>
      </c>
      <c r="S163" s="337">
        <f t="shared" si="70"/>
        <v>88.958282577234627</v>
      </c>
      <c r="U163" s="310">
        <f t="shared" si="76"/>
        <v>1000000000</v>
      </c>
      <c r="V163" s="310">
        <f t="shared" si="77"/>
        <v>84147598.24000001</v>
      </c>
      <c r="X163" s="336">
        <f t="shared" si="71"/>
        <v>3.4349957118268204</v>
      </c>
      <c r="Y163" s="337">
        <f t="shared" si="72"/>
        <v>-23.541119563863926</v>
      </c>
      <c r="AA163" s="336">
        <f t="shared" si="73"/>
        <v>8.3880115046187225</v>
      </c>
      <c r="AB163" s="337">
        <f t="shared" si="74"/>
        <v>-67.500597858901457</v>
      </c>
      <c r="AD163">
        <f t="shared" si="78"/>
        <v>0</v>
      </c>
      <c r="AE163">
        <f t="shared" si="81"/>
        <v>0</v>
      </c>
    </row>
    <row r="164" spans="1:31" x14ac:dyDescent="0.25">
      <c r="A164" s="338">
        <v>9226.2999999999993</v>
      </c>
      <c r="B164" s="355">
        <f t="shared" si="75"/>
        <v>9.2262999999999984</v>
      </c>
      <c r="C164" s="328">
        <f t="shared" si="54"/>
        <v>2.2994312782186443</v>
      </c>
      <c r="D164" s="329">
        <f t="shared" si="55"/>
        <v>1.1208800501555716</v>
      </c>
      <c r="E164" s="329">
        <f t="shared" si="56"/>
        <v>1.0000073193272587</v>
      </c>
      <c r="F164" s="330">
        <f t="shared" si="57"/>
        <v>3.8260377978597969E-3</v>
      </c>
      <c r="G164" s="329">
        <f t="shared" si="58"/>
        <v>1</v>
      </c>
      <c r="H164" s="330">
        <f t="shared" si="59"/>
        <v>0</v>
      </c>
      <c r="I164" s="328">
        <f t="shared" si="60"/>
        <v>20164.754754927308</v>
      </c>
      <c r="J164" s="331">
        <f t="shared" si="61"/>
        <v>1.5707467353164699</v>
      </c>
      <c r="K164" s="339">
        <f t="shared" si="82"/>
        <v>2.7824663046789082</v>
      </c>
      <c r="L164" s="340">
        <f t="shared" si="83"/>
        <v>1.2031785557397725</v>
      </c>
      <c r="M164" s="328">
        <f t="shared" si="64"/>
        <v>1.0008659615779958</v>
      </c>
      <c r="N164" s="331">
        <f t="shared" si="65"/>
        <v>4.1601373331834272E-2</v>
      </c>
      <c r="O164" s="332">
        <f t="shared" si="66"/>
        <v>1.0002675568673998</v>
      </c>
      <c r="P164" s="333">
        <f t="shared" si="67"/>
        <v>6.3662738895988544E-2</v>
      </c>
      <c r="Q164" s="334">
        <f t="shared" si="68"/>
        <v>11.775778903135519</v>
      </c>
      <c r="R164" s="335">
        <f t="shared" si="69"/>
        <v>-91.093775238238408</v>
      </c>
      <c r="S164" s="337">
        <f t="shared" si="70"/>
        <v>88.906224761761592</v>
      </c>
      <c r="U164" s="310">
        <f t="shared" si="76"/>
        <v>1000000000</v>
      </c>
      <c r="V164" s="310">
        <f t="shared" si="77"/>
        <v>85124611.689999983</v>
      </c>
      <c r="X164" s="336">
        <f t="shared" si="71"/>
        <v>3.4284013392993224</v>
      </c>
      <c r="Y164" s="337">
        <f t="shared" si="72"/>
        <v>-23.443688513702025</v>
      </c>
      <c r="AA164" s="336">
        <f t="shared" si="73"/>
        <v>8.3473775638361989</v>
      </c>
      <c r="AB164" s="337">
        <f t="shared" si="74"/>
        <v>-67.650086724536365</v>
      </c>
      <c r="AD164">
        <f t="shared" si="78"/>
        <v>0</v>
      </c>
      <c r="AE164">
        <f t="shared" si="81"/>
        <v>0</v>
      </c>
    </row>
    <row r="165" spans="1:31" x14ac:dyDescent="0.25">
      <c r="A165" s="338">
        <v>9279.4</v>
      </c>
      <c r="B165" s="355">
        <f t="shared" si="75"/>
        <v>9.279399999999999</v>
      </c>
      <c r="C165" s="328">
        <f t="shared" si="54"/>
        <v>2.310168059831482</v>
      </c>
      <c r="D165" s="329">
        <f t="shared" si="55"/>
        <v>1.1231234129118075</v>
      </c>
      <c r="E165" s="329">
        <f t="shared" si="56"/>
        <v>1.0000074038190374</v>
      </c>
      <c r="F165" s="330">
        <f t="shared" si="57"/>
        <v>3.8480575248631011E-3</v>
      </c>
      <c r="G165" s="329">
        <f t="shared" si="58"/>
        <v>1</v>
      </c>
      <c r="H165" s="330">
        <f t="shared" si="59"/>
        <v>0</v>
      </c>
      <c r="I165" s="328">
        <f t="shared" si="60"/>
        <v>20280.80869582028</v>
      </c>
      <c r="J165" s="331">
        <f t="shared" si="61"/>
        <v>1.5707470190964017</v>
      </c>
      <c r="K165" s="339">
        <f t="shared" si="82"/>
        <v>2.7964169410486401</v>
      </c>
      <c r="L165" s="340">
        <f t="shared" si="83"/>
        <v>1.2050991409325824</v>
      </c>
      <c r="M165" s="328">
        <f t="shared" si="64"/>
        <v>1.0008759536011302</v>
      </c>
      <c r="N165" s="331">
        <f t="shared" si="65"/>
        <v>4.1840522617547601E-2</v>
      </c>
      <c r="O165" s="332">
        <f t="shared" si="66"/>
        <v>1.0002706630999618</v>
      </c>
      <c r="P165" s="333">
        <f t="shared" si="67"/>
        <v>6.4029437188269298E-2</v>
      </c>
      <c r="Q165" s="334">
        <f t="shared" si="68"/>
        <v>11.728796874365266</v>
      </c>
      <c r="R165" s="335">
        <f t="shared" si="69"/>
        <v>-91.145736161619951</v>
      </c>
      <c r="S165" s="337">
        <f t="shared" si="70"/>
        <v>88.854263838380049</v>
      </c>
      <c r="U165" s="310">
        <f t="shared" si="76"/>
        <v>1000000000</v>
      </c>
      <c r="V165" s="310">
        <f t="shared" si="77"/>
        <v>86107264.359999999</v>
      </c>
      <c r="X165" s="336">
        <f t="shared" si="71"/>
        <v>3.4219083587903638</v>
      </c>
      <c r="Y165" s="337">
        <f t="shared" si="72"/>
        <v>-23.34736559198597</v>
      </c>
      <c r="AA165" s="336">
        <f t="shared" si="73"/>
        <v>8.3068885155749026</v>
      </c>
      <c r="AB165" s="337">
        <f t="shared" si="74"/>
        <v>-67.798370569633974</v>
      </c>
      <c r="AD165">
        <f t="shared" si="78"/>
        <v>0</v>
      </c>
      <c r="AE165">
        <f t="shared" si="81"/>
        <v>0</v>
      </c>
    </row>
    <row r="166" spans="1:31" x14ac:dyDescent="0.25">
      <c r="A166" s="338">
        <v>9332.5</v>
      </c>
      <c r="B166" s="355">
        <f t="shared" si="75"/>
        <v>9.3324999999999996</v>
      </c>
      <c r="C166" s="328">
        <f t="shared" si="54"/>
        <v>2.3209163601697562</v>
      </c>
      <c r="D166" s="329">
        <f t="shared" si="55"/>
        <v>1.1253460084774509</v>
      </c>
      <c r="E166" s="329">
        <f t="shared" si="56"/>
        <v>1.000007488795688</v>
      </c>
      <c r="F166" s="330">
        <f t="shared" si="57"/>
        <v>3.8700772481347844E-3</v>
      </c>
      <c r="G166" s="329">
        <f t="shared" si="58"/>
        <v>1</v>
      </c>
      <c r="H166" s="330">
        <f t="shared" si="59"/>
        <v>0</v>
      </c>
      <c r="I166" s="328">
        <f t="shared" si="60"/>
        <v>20396.862636714875</v>
      </c>
      <c r="J166" s="331">
        <f t="shared" si="61"/>
        <v>1.5707472996470351</v>
      </c>
      <c r="K166" s="339">
        <f t="shared" si="82"/>
        <v>2.8103777899859117</v>
      </c>
      <c r="L166" s="340">
        <f t="shared" si="83"/>
        <v>1.2070006516612708</v>
      </c>
      <c r="M166" s="328">
        <f t="shared" si="64"/>
        <v>1.0008860028655986</v>
      </c>
      <c r="N166" s="331">
        <f t="shared" si="65"/>
        <v>4.2079667114643955E-2</v>
      </c>
      <c r="O166" s="332">
        <f t="shared" si="66"/>
        <v>1.0002737875643988</v>
      </c>
      <c r="P166" s="333">
        <f t="shared" si="67"/>
        <v>6.4396140649502456E-2</v>
      </c>
      <c r="Q166" s="334">
        <f t="shared" si="68"/>
        <v>11.682058524048315</v>
      </c>
      <c r="R166" s="335">
        <f t="shared" si="69"/>
        <v>-91.197599935899035</v>
      </c>
      <c r="S166" s="337">
        <f t="shared" si="70"/>
        <v>88.802400064100965</v>
      </c>
      <c r="U166" s="310">
        <f t="shared" si="76"/>
        <v>1000000000</v>
      </c>
      <c r="V166" s="310">
        <f t="shared" si="77"/>
        <v>87095556.25</v>
      </c>
      <c r="X166" s="336">
        <f t="shared" si="71"/>
        <v>3.4155146985865477</v>
      </c>
      <c r="Y166" s="337">
        <f t="shared" si="72"/>
        <v>-23.252135097169099</v>
      </c>
      <c r="AA166" s="336">
        <f t="shared" si="73"/>
        <v>8.2665438254617722</v>
      </c>
      <c r="AB166" s="337">
        <f t="shared" si="74"/>
        <v>-67.945464838729904</v>
      </c>
      <c r="AD166">
        <f t="shared" si="78"/>
        <v>0</v>
      </c>
      <c r="AE166">
        <f t="shared" si="81"/>
        <v>0</v>
      </c>
    </row>
    <row r="167" spans="1:31" x14ac:dyDescent="0.25">
      <c r="A167" s="338">
        <v>9386.85</v>
      </c>
      <c r="B167" s="355">
        <f t="shared" si="75"/>
        <v>9.3868500000000008</v>
      </c>
      <c r="C167" s="328">
        <f t="shared" si="54"/>
        <v>2.3319294431729705</v>
      </c>
      <c r="D167" s="329">
        <f t="shared" si="55"/>
        <v>1.1275996957397521</v>
      </c>
      <c r="E167" s="329">
        <f t="shared" si="56"/>
        <v>1.0000075762748577</v>
      </c>
      <c r="F167" s="330">
        <f t="shared" si="57"/>
        <v>3.8926153225873625E-3</v>
      </c>
      <c r="G167" s="329">
        <f t="shared" si="58"/>
        <v>1</v>
      </c>
      <c r="H167" s="330">
        <f t="shared" si="59"/>
        <v>0</v>
      </c>
      <c r="I167" s="328">
        <f t="shared" si="60"/>
        <v>20515.648544204672</v>
      </c>
      <c r="J167" s="331">
        <f t="shared" si="61"/>
        <v>1.5707475835149443</v>
      </c>
      <c r="K167" s="339">
        <f t="shared" si="82"/>
        <v>2.8246777021078464</v>
      </c>
      <c r="L167" s="340">
        <f t="shared" si="83"/>
        <v>1.2089274525470908</v>
      </c>
      <c r="M167" s="328">
        <f t="shared" si="64"/>
        <v>1.0008963479713011</v>
      </c>
      <c r="N167" s="331">
        <f t="shared" si="65"/>
        <v>4.2324436202865696E-2</v>
      </c>
      <c r="O167" s="332">
        <f t="shared" si="66"/>
        <v>1.0002770044682352</v>
      </c>
      <c r="P167" s="333">
        <f t="shared" si="67"/>
        <v>6.4771481873154457E-2</v>
      </c>
      <c r="Q167" s="334">
        <f t="shared" si="68"/>
        <v>11.634469605914326</v>
      </c>
      <c r="R167" s="335">
        <f t="shared" si="69"/>
        <v>-91.250583777303817</v>
      </c>
      <c r="S167" s="337">
        <f t="shared" si="70"/>
        <v>88.749416222696183</v>
      </c>
      <c r="U167" s="310">
        <f t="shared" si="76"/>
        <v>1000000000</v>
      </c>
      <c r="V167" s="310">
        <f t="shared" si="77"/>
        <v>88112952.922499999</v>
      </c>
      <c r="X167" s="336">
        <f t="shared" si="71"/>
        <v>3.4090712749708918</v>
      </c>
      <c r="Y167" s="337">
        <f t="shared" si="72"/>
        <v>-23.155778038482943</v>
      </c>
      <c r="AA167" s="336">
        <f t="shared" si="73"/>
        <v>8.2253983309434346</v>
      </c>
      <c r="AB167" s="337">
        <f t="shared" si="74"/>
        <v>-68.094805738820853</v>
      </c>
      <c r="AD167">
        <f t="shared" si="78"/>
        <v>0</v>
      </c>
      <c r="AE167">
        <f t="shared" si="81"/>
        <v>0</v>
      </c>
    </row>
    <row r="168" spans="1:31" x14ac:dyDescent="0.25">
      <c r="A168" s="338">
        <v>9441.2000000000007</v>
      </c>
      <c r="B168" s="355">
        <f t="shared" si="75"/>
        <v>9.4412000000000003</v>
      </c>
      <c r="C168" s="328">
        <f t="shared" si="54"/>
        <v>2.3429542589119379</v>
      </c>
      <c r="D168" s="329">
        <f t="shared" si="55"/>
        <v>1.1298321847160007</v>
      </c>
      <c r="E168" s="329">
        <f t="shared" si="56"/>
        <v>1.0000076642619962</v>
      </c>
      <c r="F168" s="330">
        <f t="shared" si="57"/>
        <v>3.915153393085298E-3</v>
      </c>
      <c r="G168" s="329">
        <f t="shared" si="58"/>
        <v>1</v>
      </c>
      <c r="H168" s="330">
        <f t="shared" si="59"/>
        <v>0</v>
      </c>
      <c r="I168" s="328">
        <f t="shared" si="60"/>
        <v>20634.434451696106</v>
      </c>
      <c r="J168" s="331">
        <f t="shared" si="61"/>
        <v>1.5707478641145778</v>
      </c>
      <c r="K168" s="339">
        <f t="shared" si="82"/>
        <v>2.8389879953539197</v>
      </c>
      <c r="L168" s="340">
        <f t="shared" si="83"/>
        <v>1.2108348358670991</v>
      </c>
      <c r="M168" s="328">
        <f t="shared" si="64"/>
        <v>1.0009067530413704</v>
      </c>
      <c r="N168" s="331">
        <f t="shared" si="65"/>
        <v>4.2569200216686955E-2</v>
      </c>
      <c r="O168" s="332">
        <f t="shared" si="66"/>
        <v>1.0002802404872317</v>
      </c>
      <c r="P168" s="333">
        <f t="shared" si="67"/>
        <v>6.5146828573892784E-2</v>
      </c>
      <c r="Q168" s="334">
        <f t="shared" si="68"/>
        <v>11.587130586843053</v>
      </c>
      <c r="R168" s="335">
        <f t="shared" si="69"/>
        <v>-91.303465426994578</v>
      </c>
      <c r="S168" s="337">
        <f t="shared" si="70"/>
        <v>88.696534573005422</v>
      </c>
      <c r="U168" s="310">
        <f t="shared" si="76"/>
        <v>1000000000</v>
      </c>
      <c r="V168" s="310">
        <f t="shared" si="77"/>
        <v>89136257.440000013</v>
      </c>
      <c r="X168" s="336">
        <f t="shared" si="71"/>
        <v>3.4027276739155017</v>
      </c>
      <c r="Y168" s="337">
        <f t="shared" si="72"/>
        <v>-23.060533046367357</v>
      </c>
      <c r="AA168" s="336">
        <f t="shared" si="73"/>
        <v>8.1844029129275526</v>
      </c>
      <c r="AB168" s="337">
        <f t="shared" si="74"/>
        <v>-68.242932380627209</v>
      </c>
      <c r="AD168">
        <f t="shared" si="78"/>
        <v>0</v>
      </c>
      <c r="AE168">
        <f t="shared" si="81"/>
        <v>0</v>
      </c>
    </row>
    <row r="169" spans="1:31" x14ac:dyDescent="0.25">
      <c r="A169" s="338">
        <v>9495.5499999999993</v>
      </c>
      <c r="B169" s="355">
        <f t="shared" si="75"/>
        <v>9.4955499999999997</v>
      </c>
      <c r="C169" s="328">
        <f t="shared" si="54"/>
        <v>2.3539906425373482</v>
      </c>
      <c r="D169" s="329">
        <f t="shared" si="55"/>
        <v>1.1320437511515347</v>
      </c>
      <c r="E169" s="329">
        <f t="shared" si="56"/>
        <v>1.000007752757103</v>
      </c>
      <c r="F169" s="330">
        <f t="shared" si="57"/>
        <v>3.9376914596056948E-3</v>
      </c>
      <c r="G169" s="329">
        <f t="shared" si="58"/>
        <v>1</v>
      </c>
      <c r="H169" s="330">
        <f t="shared" si="59"/>
        <v>0</v>
      </c>
      <c r="I169" s="328">
        <f t="shared" si="60"/>
        <v>20753.220359189141</v>
      </c>
      <c r="J169" s="331">
        <f t="shared" si="61"/>
        <v>1.5707481415020563</v>
      </c>
      <c r="K169" s="339">
        <f t="shared" si="82"/>
        <v>2.8533085135297429</v>
      </c>
      <c r="L169" s="340">
        <f t="shared" si="83"/>
        <v>1.2127230800028521</v>
      </c>
      <c r="M169" s="328">
        <f t="shared" si="64"/>
        <v>1.0009172180739363</v>
      </c>
      <c r="N169" s="331">
        <f t="shared" si="65"/>
        <v>4.2813959126939097E-2</v>
      </c>
      <c r="O169" s="332">
        <f t="shared" si="66"/>
        <v>1.0002834956289428</v>
      </c>
      <c r="P169" s="333">
        <f t="shared" si="67"/>
        <v>6.5522180783022202E-2</v>
      </c>
      <c r="Q169" s="334">
        <f t="shared" si="68"/>
        <v>11.540038809763145</v>
      </c>
      <c r="R169" s="335">
        <f t="shared" si="69"/>
        <v>-91.356244737266294</v>
      </c>
      <c r="S169" s="337">
        <f t="shared" si="70"/>
        <v>88.643755262733706</v>
      </c>
      <c r="U169" s="310">
        <f t="shared" si="76"/>
        <v>1000000000</v>
      </c>
      <c r="V169" s="310">
        <f t="shared" si="77"/>
        <v>90165469.80249998</v>
      </c>
      <c r="X169" s="336">
        <f t="shared" si="71"/>
        <v>3.3964818360485385</v>
      </c>
      <c r="Y169" s="337">
        <f t="shared" si="72"/>
        <v>-22.966384172278289</v>
      </c>
      <c r="AA169" s="336">
        <f t="shared" si="73"/>
        <v>8.1435569737146061</v>
      </c>
      <c r="AB169" s="337">
        <f t="shared" si="74"/>
        <v>-68.389860564988012</v>
      </c>
      <c r="AD169">
        <f t="shared" si="78"/>
        <v>0</v>
      </c>
      <c r="AE169">
        <f t="shared" si="81"/>
        <v>0</v>
      </c>
    </row>
    <row r="170" spans="1:31" x14ac:dyDescent="0.25">
      <c r="A170" s="338">
        <v>9549.9</v>
      </c>
      <c r="B170" s="355">
        <f t="shared" si="75"/>
        <v>9.5498999999999992</v>
      </c>
      <c r="C170" s="328">
        <f t="shared" si="54"/>
        <v>2.3650384321055817</v>
      </c>
      <c r="D170" s="329">
        <f t="shared" si="55"/>
        <v>1.1342346664661214</v>
      </c>
      <c r="E170" s="329">
        <f t="shared" si="56"/>
        <v>1.0000078417601779</v>
      </c>
      <c r="F170" s="330">
        <f t="shared" si="57"/>
        <v>3.960229522125657E-3</v>
      </c>
      <c r="G170" s="329">
        <f t="shared" si="58"/>
        <v>1</v>
      </c>
      <c r="H170" s="330">
        <f t="shared" si="59"/>
        <v>0</v>
      </c>
      <c r="I170" s="328">
        <f t="shared" si="60"/>
        <v>20872.006266683758</v>
      </c>
      <c r="J170" s="331">
        <f t="shared" si="61"/>
        <v>1.5707484157322222</v>
      </c>
      <c r="K170" s="339">
        <f t="shared" si="82"/>
        <v>2.8676391034504665</v>
      </c>
      <c r="L170" s="340">
        <f t="shared" si="83"/>
        <v>1.2145924583231273</v>
      </c>
      <c r="M170" s="328">
        <f t="shared" si="64"/>
        <v>1.0009277430671184</v>
      </c>
      <c r="N170" s="331">
        <f t="shared" si="65"/>
        <v>4.3058712904457182E-2</v>
      </c>
      <c r="O170" s="332">
        <f t="shared" si="66"/>
        <v>1.0002867699009668</v>
      </c>
      <c r="P170" s="333">
        <f t="shared" si="67"/>
        <v>6.5897538531840424E-2</v>
      </c>
      <c r="Q170" s="334">
        <f t="shared" si="68"/>
        <v>11.493191661764097</v>
      </c>
      <c r="R170" s="335">
        <f t="shared" si="69"/>
        <v>-91.40892159971466</v>
      </c>
      <c r="S170" s="337">
        <f t="shared" si="70"/>
        <v>88.59107840028534</v>
      </c>
      <c r="U170" s="310">
        <f t="shared" si="76"/>
        <v>1000000000</v>
      </c>
      <c r="V170" s="310">
        <f t="shared" si="77"/>
        <v>91200590.00999999</v>
      </c>
      <c r="X170" s="336">
        <f t="shared" si="71"/>
        <v>3.3903317535071356</v>
      </c>
      <c r="Y170" s="337">
        <f t="shared" si="72"/>
        <v>-22.87331575480971</v>
      </c>
      <c r="AA170" s="336">
        <f t="shared" si="73"/>
        <v>8.1028599082569599</v>
      </c>
      <c r="AB170" s="337">
        <f t="shared" si="74"/>
        <v>-68.53560584490495</v>
      </c>
      <c r="AD170">
        <f t="shared" si="78"/>
        <v>0</v>
      </c>
      <c r="AE170">
        <f t="shared" si="81"/>
        <v>0</v>
      </c>
    </row>
    <row r="171" spans="1:31" x14ac:dyDescent="0.25">
      <c r="A171" s="338">
        <v>9605.5249999999996</v>
      </c>
      <c r="B171" s="355">
        <f t="shared" si="75"/>
        <v>9.6055250000000001</v>
      </c>
      <c r="C171" s="328">
        <f t="shared" si="54"/>
        <v>2.376357036879793</v>
      </c>
      <c r="D171" s="329">
        <f t="shared" si="55"/>
        <v>1.1364558738907728</v>
      </c>
      <c r="E171" s="329">
        <f t="shared" si="56"/>
        <v>1.0000079333771643</v>
      </c>
      <c r="F171" s="330">
        <f t="shared" si="57"/>
        <v>3.9832963022772682E-3</v>
      </c>
      <c r="G171" s="329">
        <f t="shared" si="58"/>
        <v>1</v>
      </c>
      <c r="H171" s="330">
        <f t="shared" si="59"/>
        <v>0</v>
      </c>
      <c r="I171" s="328">
        <f t="shared" si="60"/>
        <v>20993.57878010557</v>
      </c>
      <c r="J171" s="331">
        <f t="shared" si="61"/>
        <v>1.5707486931822165</v>
      </c>
      <c r="K171" s="339">
        <f t="shared" si="82"/>
        <v>2.8823161477184494</v>
      </c>
      <c r="L171" s="340">
        <f t="shared" si="83"/>
        <v>1.2164864357622172</v>
      </c>
      <c r="M171" s="328">
        <f t="shared" si="64"/>
        <v>1.0009385770518346</v>
      </c>
      <c r="N171" s="331">
        <f t="shared" si="65"/>
        <v>4.3309203030736425E-2</v>
      </c>
      <c r="O171" s="332">
        <f t="shared" si="66"/>
        <v>1.0002901408010598</v>
      </c>
      <c r="P171" s="333">
        <f t="shared" si="67"/>
        <v>6.6281707590024858E-2</v>
      </c>
      <c r="Q171" s="334">
        <f t="shared" si="68"/>
        <v>11.445496146702641</v>
      </c>
      <c r="R171" s="335">
        <f t="shared" si="69"/>
        <v>-91.462728057142002</v>
      </c>
      <c r="S171" s="337">
        <f t="shared" si="70"/>
        <v>88.537271942857998</v>
      </c>
      <c r="U171" s="310">
        <f t="shared" si="76"/>
        <v>1000000000</v>
      </c>
      <c r="V171" s="310">
        <f t="shared" si="77"/>
        <v>92266110.52562499</v>
      </c>
      <c r="X171" s="336">
        <f t="shared" si="71"/>
        <v>3.3841345041210769</v>
      </c>
      <c r="Y171" s="337">
        <f t="shared" si="72"/>
        <v>-22.779166764708481</v>
      </c>
      <c r="AA171" s="336">
        <f t="shared" si="73"/>
        <v>8.0613616425815611</v>
      </c>
      <c r="AB171" s="337">
        <f t="shared" si="74"/>
        <v>-68.683561292433524</v>
      </c>
      <c r="AD171">
        <f t="shared" si="78"/>
        <v>0</v>
      </c>
      <c r="AE171">
        <f t="shared" si="81"/>
        <v>0</v>
      </c>
    </row>
    <row r="172" spans="1:31" x14ac:dyDescent="0.25">
      <c r="A172" s="338">
        <v>9661.15</v>
      </c>
      <c r="B172" s="355">
        <f t="shared" si="75"/>
        <v>9.6611499999999992</v>
      </c>
      <c r="C172" s="328">
        <f t="shared" si="54"/>
        <v>2.3876872548448689</v>
      </c>
      <c r="D172" s="329">
        <f t="shared" si="55"/>
        <v>1.1386560116319102</v>
      </c>
      <c r="E172" s="329">
        <f t="shared" si="56"/>
        <v>1.0000080255262309</v>
      </c>
      <c r="F172" s="330">
        <f t="shared" si="57"/>
        <v>4.0063630781900211E-3</v>
      </c>
      <c r="G172" s="329">
        <f t="shared" si="58"/>
        <v>1</v>
      </c>
      <c r="H172" s="330">
        <f t="shared" si="59"/>
        <v>0</v>
      </c>
      <c r="I172" s="328">
        <f t="shared" si="60"/>
        <v>21115.151293528979</v>
      </c>
      <c r="J172" s="331">
        <f t="shared" si="61"/>
        <v>1.570748967437321</v>
      </c>
      <c r="K172" s="339">
        <f t="shared" si="82"/>
        <v>2.8970034265031543</v>
      </c>
      <c r="L172" s="340">
        <f t="shared" si="83"/>
        <v>1.2183612156296506</v>
      </c>
      <c r="M172" s="328">
        <f t="shared" si="64"/>
        <v>1.0009494738393838</v>
      </c>
      <c r="N172" s="331">
        <f t="shared" si="65"/>
        <v>4.3559687718835081E-2</v>
      </c>
      <c r="O172" s="332">
        <f t="shared" si="66"/>
        <v>1.0002935317557955</v>
      </c>
      <c r="P172" s="333">
        <f t="shared" si="67"/>
        <v>6.6665882517171524E-2</v>
      </c>
      <c r="Q172" s="334">
        <f t="shared" si="68"/>
        <v>11.398051472013478</v>
      </c>
      <c r="R172" s="335">
        <f t="shared" si="69"/>
        <v>-91.516427092332094</v>
      </c>
      <c r="S172" s="337">
        <f t="shared" si="70"/>
        <v>88.483572907667906</v>
      </c>
      <c r="U172" s="310">
        <f t="shared" si="76"/>
        <v>1000000000</v>
      </c>
      <c r="V172" s="310">
        <f t="shared" si="77"/>
        <v>93337819.32249999</v>
      </c>
      <c r="X172" s="336">
        <f t="shared" si="71"/>
        <v>3.3780334585472267</v>
      </c>
      <c r="Y172" s="337">
        <f t="shared" si="72"/>
        <v>-22.686117219802821</v>
      </c>
      <c r="AA172" s="336">
        <f t="shared" si="73"/>
        <v>8.0200180134662524</v>
      </c>
      <c r="AB172" s="337">
        <f t="shared" si="74"/>
        <v>-68.830309872529313</v>
      </c>
      <c r="AD172">
        <f t="shared" si="78"/>
        <v>0</v>
      </c>
      <c r="AE172">
        <f t="shared" si="81"/>
        <v>0</v>
      </c>
    </row>
    <row r="173" spans="1:31" x14ac:dyDescent="0.25">
      <c r="A173" s="338">
        <v>9716.7749999999996</v>
      </c>
      <c r="B173" s="355">
        <f t="shared" si="75"/>
        <v>9.7167750000000002</v>
      </c>
      <c r="C173" s="328">
        <f t="shared" si="54"/>
        <v>2.3990289214592586</v>
      </c>
      <c r="D173" s="329">
        <f t="shared" si="55"/>
        <v>1.1408353570650318</v>
      </c>
      <c r="E173" s="329">
        <f t="shared" si="56"/>
        <v>1.0000081182073781</v>
      </c>
      <c r="F173" s="330">
        <f t="shared" si="57"/>
        <v>4.0294298498393727E-3</v>
      </c>
      <c r="G173" s="329">
        <f t="shared" si="58"/>
        <v>1</v>
      </c>
      <c r="H173" s="330">
        <f t="shared" si="59"/>
        <v>0</v>
      </c>
      <c r="I173" s="328">
        <f t="shared" si="60"/>
        <v>21236.723806953956</v>
      </c>
      <c r="J173" s="331">
        <f t="shared" si="61"/>
        <v>1.570749238552404</v>
      </c>
      <c r="K173" s="339">
        <f t="shared" si="82"/>
        <v>2.9117007849289189</v>
      </c>
      <c r="L173" s="340">
        <f t="shared" si="83"/>
        <v>1.2202170753559389</v>
      </c>
      <c r="M173" s="328">
        <f t="shared" si="64"/>
        <v>1.0009604334277149</v>
      </c>
      <c r="N173" s="331">
        <f t="shared" si="65"/>
        <v>4.3810166937499145E-2</v>
      </c>
      <c r="O173" s="332">
        <f t="shared" si="66"/>
        <v>1.0002969427734603</v>
      </c>
      <c r="P173" s="333">
        <f t="shared" si="67"/>
        <v>6.7050063346809505E-2</v>
      </c>
      <c r="Q173" s="334">
        <f t="shared" si="68"/>
        <v>11.350854973525461</v>
      </c>
      <c r="R173" s="335">
        <f t="shared" si="69"/>
        <v>-91.570018705408501</v>
      </c>
      <c r="S173" s="337">
        <f t="shared" si="70"/>
        <v>88.429981294591499</v>
      </c>
      <c r="U173" s="310">
        <f t="shared" si="76"/>
        <v>1000000000</v>
      </c>
      <c r="V173" s="310">
        <f t="shared" si="77"/>
        <v>94415716.40062499</v>
      </c>
      <c r="X173" s="336">
        <f t="shared" si="71"/>
        <v>3.3720266221934638</v>
      </c>
      <c r="Y173" s="337">
        <f t="shared" si="72"/>
        <v>-22.594151225848307</v>
      </c>
      <c r="AA173" s="336">
        <f t="shared" si="73"/>
        <v>7.9788283513320026</v>
      </c>
      <c r="AB173" s="337">
        <f t="shared" si="74"/>
        <v>-68.975867479560193</v>
      </c>
      <c r="AD173">
        <f t="shared" si="78"/>
        <v>0</v>
      </c>
      <c r="AE173">
        <f t="shared" si="81"/>
        <v>0</v>
      </c>
    </row>
    <row r="174" spans="1:31" x14ac:dyDescent="0.25">
      <c r="A174" s="338">
        <v>9772.4</v>
      </c>
      <c r="B174" s="355">
        <f t="shared" si="75"/>
        <v>9.7723999999999993</v>
      </c>
      <c r="C174" s="328">
        <f t="shared" si="54"/>
        <v>2.4103818751136012</v>
      </c>
      <c r="D174" s="329">
        <f t="shared" si="55"/>
        <v>1.1429941831378183</v>
      </c>
      <c r="E174" s="329">
        <f t="shared" si="56"/>
        <v>1.0000082114206053</v>
      </c>
      <c r="F174" s="330">
        <f t="shared" si="57"/>
        <v>4.0524966172007749E-3</v>
      </c>
      <c r="G174" s="329">
        <f t="shared" si="58"/>
        <v>1</v>
      </c>
      <c r="H174" s="330">
        <f t="shared" si="59"/>
        <v>0</v>
      </c>
      <c r="I174" s="328">
        <f t="shared" si="60"/>
        <v>21358.296320380476</v>
      </c>
      <c r="J174" s="331">
        <f t="shared" si="61"/>
        <v>1.5707495065810853</v>
      </c>
      <c r="K174" s="339">
        <f t="shared" si="82"/>
        <v>2.9264080711261911</v>
      </c>
      <c r="L174" s="340">
        <f t="shared" si="83"/>
        <v>1.2220542873215234</v>
      </c>
      <c r="M174" s="328">
        <f t="shared" si="64"/>
        <v>1.0009714558147647</v>
      </c>
      <c r="N174" s="331">
        <f t="shared" si="65"/>
        <v>4.4060640655478767E-2</v>
      </c>
      <c r="O174" s="332">
        <f t="shared" si="66"/>
        <v>1.0003003738623892</v>
      </c>
      <c r="P174" s="333">
        <f t="shared" si="67"/>
        <v>6.7434250112460084E-2</v>
      </c>
      <c r="Q174" s="334">
        <f t="shared" si="68"/>
        <v>11.303904031099322</v>
      </c>
      <c r="R174" s="335">
        <f t="shared" si="69"/>
        <v>-91.623502932075297</v>
      </c>
      <c r="S174" s="337">
        <f t="shared" si="70"/>
        <v>88.376497067924703</v>
      </c>
      <c r="U174" s="310">
        <f t="shared" si="76"/>
        <v>1000000000</v>
      </c>
      <c r="V174" s="310">
        <f t="shared" si="77"/>
        <v>95499801.75999999</v>
      </c>
      <c r="X174" s="336">
        <f t="shared" si="71"/>
        <v>3.3661120506211235</v>
      </c>
      <c r="Y174" s="337">
        <f t="shared" si="72"/>
        <v>-22.503253177876932</v>
      </c>
      <c r="AA174" s="336">
        <f t="shared" si="73"/>
        <v>7.9377919804781989</v>
      </c>
      <c r="AB174" s="337">
        <f t="shared" si="74"/>
        <v>-69.120249754198383</v>
      </c>
      <c r="AD174">
        <f t="shared" si="78"/>
        <v>0</v>
      </c>
      <c r="AE174">
        <f t="shared" si="81"/>
        <v>0</v>
      </c>
    </row>
    <row r="175" spans="1:31" x14ac:dyDescent="0.25">
      <c r="A175" s="338">
        <v>9829.2999999999993</v>
      </c>
      <c r="B175" s="355">
        <f t="shared" si="75"/>
        <v>9.8292999999999999</v>
      </c>
      <c r="C175" s="328">
        <f t="shared" si="54"/>
        <v>2.4220065663736308</v>
      </c>
      <c r="D175" s="329">
        <f t="shared" si="55"/>
        <v>1.1451815421675018</v>
      </c>
      <c r="E175" s="329">
        <f t="shared" si="56"/>
        <v>1.0000083073209192</v>
      </c>
      <c r="F175" s="330">
        <f t="shared" si="57"/>
        <v>4.0760921015092688E-3</v>
      </c>
      <c r="G175" s="329">
        <f t="shared" si="58"/>
        <v>1</v>
      </c>
      <c r="H175" s="330">
        <f t="shared" si="59"/>
        <v>0</v>
      </c>
      <c r="I175" s="328">
        <f t="shared" si="60"/>
        <v>21482.655439734299</v>
      </c>
      <c r="J175" s="331">
        <f t="shared" si="61"/>
        <v>1.5707497776146444</v>
      </c>
      <c r="K175" s="339">
        <f t="shared" si="82"/>
        <v>2.9414625846162243</v>
      </c>
      <c r="L175" s="340">
        <f t="shared" si="83"/>
        <v>1.2239145956434978</v>
      </c>
      <c r="M175" s="328">
        <f t="shared" si="64"/>
        <v>1.0009827958219872</v>
      </c>
      <c r="N175" s="331">
        <f t="shared" si="65"/>
        <v>4.4316849844962501E-2</v>
      </c>
      <c r="O175" s="332">
        <f t="shared" si="66"/>
        <v>1.0003039043718684</v>
      </c>
      <c r="P175" s="333">
        <f t="shared" si="67"/>
        <v>6.782724913338728E-2</v>
      </c>
      <c r="Q175" s="334">
        <f t="shared" si="68"/>
        <v>11.256128286505495</v>
      </c>
      <c r="R175" s="335">
        <f t="shared" si="69"/>
        <v>-91.678102055270571</v>
      </c>
      <c r="S175" s="337">
        <f t="shared" si="70"/>
        <v>88.321897944729429</v>
      </c>
      <c r="U175" s="310">
        <f t="shared" si="76"/>
        <v>1000000000</v>
      </c>
      <c r="V175" s="310">
        <f t="shared" si="77"/>
        <v>96615138.48999998</v>
      </c>
      <c r="X175" s="336">
        <f t="shared" si="71"/>
        <v>3.3601553942199454</v>
      </c>
      <c r="Y175" s="337">
        <f t="shared" si="72"/>
        <v>-22.411360596638655</v>
      </c>
      <c r="AA175" s="336">
        <f t="shared" si="73"/>
        <v>7.8959728922855499</v>
      </c>
      <c r="AB175" s="337">
        <f t="shared" si="74"/>
        <v>-69.266741458631927</v>
      </c>
      <c r="AD175">
        <f t="shared" si="78"/>
        <v>0</v>
      </c>
      <c r="AE175">
        <f t="shared" si="81"/>
        <v>0</v>
      </c>
    </row>
    <row r="176" spans="1:31" x14ac:dyDescent="0.25">
      <c r="A176" s="338">
        <v>9886.2000000000007</v>
      </c>
      <c r="B176" s="355">
        <f t="shared" si="75"/>
        <v>9.8862000000000005</v>
      </c>
      <c r="C176" s="328">
        <f t="shared" si="54"/>
        <v>2.4336427350819232</v>
      </c>
      <c r="D176" s="329">
        <f t="shared" si="55"/>
        <v>1.1473479942944003</v>
      </c>
      <c r="E176" s="329">
        <f t="shared" si="56"/>
        <v>1.0000084037779846</v>
      </c>
      <c r="F176" s="330">
        <f t="shared" si="57"/>
        <v>4.0996875812790356E-3</v>
      </c>
      <c r="G176" s="329">
        <f t="shared" si="58"/>
        <v>1</v>
      </c>
      <c r="H176" s="330">
        <f t="shared" si="59"/>
        <v>0</v>
      </c>
      <c r="I176" s="328">
        <f t="shared" si="60"/>
        <v>21607.014559089683</v>
      </c>
      <c r="J176" s="331">
        <f t="shared" si="61"/>
        <v>1.5707500455283374</v>
      </c>
      <c r="K176" s="339">
        <f t="shared" si="82"/>
        <v>2.956527174075009</v>
      </c>
      <c r="L176" s="340">
        <f t="shared" si="83"/>
        <v>1.2257559523786208</v>
      </c>
      <c r="M176" s="328">
        <f t="shared" si="64"/>
        <v>1.000994201535381</v>
      </c>
      <c r="N176" s="331">
        <f t="shared" si="65"/>
        <v>4.4573053212571587E-2</v>
      </c>
      <c r="O176" s="332">
        <f t="shared" si="66"/>
        <v>1.0003074559010727</v>
      </c>
      <c r="P176" s="333">
        <f t="shared" si="67"/>
        <v>6.8220254436498054E-2</v>
      </c>
      <c r="Q176" s="334">
        <f t="shared" si="68"/>
        <v>11.208604074480295</v>
      </c>
      <c r="R176" s="335">
        <f t="shared" si="69"/>
        <v>-91.732588994993762</v>
      </c>
      <c r="S176" s="337">
        <f t="shared" si="70"/>
        <v>88.267411005006238</v>
      </c>
      <c r="U176" s="310">
        <f t="shared" si="76"/>
        <v>1000000000</v>
      </c>
      <c r="V176" s="310">
        <f t="shared" si="77"/>
        <v>97736950.440000013</v>
      </c>
      <c r="X176" s="336">
        <f t="shared" si="71"/>
        <v>3.3542913192711099</v>
      </c>
      <c r="Y176" s="337">
        <f t="shared" si="72"/>
        <v>-22.320553349019288</v>
      </c>
      <c r="AA176" s="336">
        <f t="shared" si="73"/>
        <v>7.854312755209186</v>
      </c>
      <c r="AB176" s="337">
        <f t="shared" si="74"/>
        <v>-69.412035645974484</v>
      </c>
      <c r="AD176">
        <f t="shared" si="78"/>
        <v>0</v>
      </c>
      <c r="AE176">
        <f t="shared" si="81"/>
        <v>0</v>
      </c>
    </row>
    <row r="177" spans="1:31" x14ac:dyDescent="0.25">
      <c r="A177" s="338">
        <v>9943.1</v>
      </c>
      <c r="B177" s="355">
        <f t="shared" si="75"/>
        <v>9.9431000000000012</v>
      </c>
      <c r="C177" s="328">
        <f t="shared" si="54"/>
        <v>2.4452902173885764</v>
      </c>
      <c r="D177" s="329">
        <f t="shared" si="55"/>
        <v>1.1494938177888772</v>
      </c>
      <c r="E177" s="329">
        <f t="shared" si="56"/>
        <v>1.0000085007918011</v>
      </c>
      <c r="F177" s="330">
        <f t="shared" si="57"/>
        <v>4.1232830564838013E-3</v>
      </c>
      <c r="G177" s="329">
        <f t="shared" si="58"/>
        <v>1</v>
      </c>
      <c r="H177" s="330">
        <f t="shared" si="59"/>
        <v>0</v>
      </c>
      <c r="I177" s="328">
        <f t="shared" si="60"/>
        <v>21731.373678446595</v>
      </c>
      <c r="J177" s="331">
        <f t="shared" si="61"/>
        <v>1.5707503103757254</v>
      </c>
      <c r="K177" s="339">
        <f t="shared" si="82"/>
        <v>2.971601686261621</v>
      </c>
      <c r="L177" s="340">
        <f t="shared" si="83"/>
        <v>1.2275786333605856</v>
      </c>
      <c r="M177" s="328">
        <f t="shared" si="64"/>
        <v>1.0010056729527004</v>
      </c>
      <c r="N177" s="331">
        <f t="shared" si="65"/>
        <v>4.4829250724871136E-2</v>
      </c>
      <c r="O177" s="332">
        <f t="shared" si="66"/>
        <v>1.0003110284590775</v>
      </c>
      <c r="P177" s="333">
        <f t="shared" si="67"/>
        <v>6.8613266057645825E-2</v>
      </c>
      <c r="Q177" s="334">
        <f t="shared" si="68"/>
        <v>11.161328726931902</v>
      </c>
      <c r="R177" s="335">
        <f t="shared" si="69"/>
        <v>-91.786963894064669</v>
      </c>
      <c r="S177" s="337">
        <f t="shared" si="70"/>
        <v>88.213036105935331</v>
      </c>
      <c r="U177" s="310">
        <f t="shared" si="76"/>
        <v>1000000000</v>
      </c>
      <c r="V177" s="310">
        <f t="shared" si="77"/>
        <v>98865237.610000014</v>
      </c>
      <c r="X177" s="336">
        <f t="shared" si="71"/>
        <v>3.3485178979670431</v>
      </c>
      <c r="Y177" s="337">
        <f t="shared" si="72"/>
        <v>-22.230815632065461</v>
      </c>
      <c r="AA177" s="336">
        <f t="shared" si="73"/>
        <v>7.8128108289648583</v>
      </c>
      <c r="AB177" s="337">
        <f t="shared" si="74"/>
        <v>-69.556148261999212</v>
      </c>
      <c r="AD177">
        <f t="shared" si="78"/>
        <v>0</v>
      </c>
      <c r="AE177">
        <f t="shared" si="81"/>
        <v>0</v>
      </c>
    </row>
    <row r="178" spans="1:31" x14ac:dyDescent="0.25">
      <c r="A178" s="338">
        <v>10000</v>
      </c>
      <c r="B178" s="355">
        <f t="shared" si="75"/>
        <v>10</v>
      </c>
      <c r="C178" s="328">
        <f t="shared" si="54"/>
        <v>2.4569488523928884</v>
      </c>
      <c r="D178" s="329">
        <f t="shared" si="55"/>
        <v>1.1516192864071373</v>
      </c>
      <c r="E178" s="329">
        <f t="shared" si="56"/>
        <v>1.0000085983623686</v>
      </c>
      <c r="F178" s="330">
        <f t="shared" si="57"/>
        <v>4.1468785270972969E-3</v>
      </c>
      <c r="G178" s="329">
        <f t="shared" si="58"/>
        <v>1</v>
      </c>
      <c r="H178" s="330">
        <f t="shared" si="59"/>
        <v>0</v>
      </c>
      <c r="I178" s="328">
        <f t="shared" si="60"/>
        <v>21855.732797805016</v>
      </c>
      <c r="J178" s="331">
        <f t="shared" si="61"/>
        <v>1.5707505722091502</v>
      </c>
      <c r="K178" s="339">
        <f t="shared" si="82"/>
        <v>2.9866859709289857</v>
      </c>
      <c r="L178" s="340">
        <f t="shared" si="83"/>
        <v>1.2293829093525537</v>
      </c>
      <c r="M178" s="328">
        <f t="shared" si="64"/>
        <v>1.0010172100716859</v>
      </c>
      <c r="N178" s="331">
        <f t="shared" si="65"/>
        <v>4.5085442348430878E-2</v>
      </c>
      <c r="O178" s="332">
        <f t="shared" si="66"/>
        <v>1.0003146220550105</v>
      </c>
      <c r="P178" s="333">
        <f t="shared" si="67"/>
        <v>6.9006284032675211E-2</v>
      </c>
      <c r="Q178" s="334">
        <f t="shared" si="68"/>
        <v>11.114299619615375</v>
      </c>
      <c r="R178" s="335">
        <f t="shared" si="69"/>
        <v>-91.841226927110881</v>
      </c>
      <c r="S178" s="337">
        <f t="shared" si="70"/>
        <v>88.158773072889119</v>
      </c>
      <c r="U178" s="310">
        <f t="shared" si="76"/>
        <v>1000000000</v>
      </c>
      <c r="V178" s="310">
        <f t="shared" si="77"/>
        <v>100000000</v>
      </c>
      <c r="X178" s="336">
        <f t="shared" si="71"/>
        <v>3.3428332511973595</v>
      </c>
      <c r="Y178" s="337">
        <f t="shared" si="72"/>
        <v>-22.142131933274324</v>
      </c>
      <c r="AA178" s="336">
        <f t="shared" si="73"/>
        <v>7.7714663684180163</v>
      </c>
      <c r="AB178" s="337">
        <f t="shared" si="74"/>
        <v>-69.699094993836553</v>
      </c>
      <c r="AD178">
        <f t="shared" si="78"/>
        <v>0</v>
      </c>
      <c r="AE178">
        <f t="shared" si="81"/>
        <v>0</v>
      </c>
    </row>
    <row r="179" spans="1:31" x14ac:dyDescent="0.25">
      <c r="A179" s="338">
        <v>10058.25</v>
      </c>
      <c r="B179" s="355">
        <f t="shared" si="75"/>
        <v>10.058249999999999</v>
      </c>
      <c r="C179" s="328">
        <f t="shared" si="54"/>
        <v>2.4688954860338801</v>
      </c>
      <c r="D179" s="329">
        <f t="shared" si="55"/>
        <v>1.1537743796956919</v>
      </c>
      <c r="E179" s="329">
        <f t="shared" si="56"/>
        <v>1.0000086988246011</v>
      </c>
      <c r="F179" s="330">
        <f t="shared" si="57"/>
        <v>4.1710338151651552E-3</v>
      </c>
      <c r="G179" s="329">
        <f t="shared" si="58"/>
        <v>1</v>
      </c>
      <c r="H179" s="330">
        <f t="shared" si="59"/>
        <v>0</v>
      </c>
      <c r="I179" s="328">
        <f t="shared" si="60"/>
        <v>21983.042441086483</v>
      </c>
      <c r="J179" s="331">
        <f t="shared" si="61"/>
        <v>1.570750837186121</v>
      </c>
      <c r="K179" s="339">
        <f t="shared" si="82"/>
        <v>3.002138112066949</v>
      </c>
      <c r="L179" s="340">
        <f t="shared" si="83"/>
        <v>1.2312112056013529</v>
      </c>
      <c r="M179" s="328">
        <f t="shared" si="64"/>
        <v>1.0010290889744777</v>
      </c>
      <c r="N179" s="331">
        <f t="shared" si="65"/>
        <v>4.5347706197259224E-2</v>
      </c>
      <c r="O179" s="332">
        <f t="shared" si="66"/>
        <v>1.0003183227141559</v>
      </c>
      <c r="P179" s="333">
        <f t="shared" si="67"/>
        <v>6.9408633306463949E-2</v>
      </c>
      <c r="Q179" s="334">
        <f t="shared" si="68"/>
        <v>11.066407085487862</v>
      </c>
      <c r="R179" s="335">
        <f t="shared" si="69"/>
        <v>-91.89666173124742</v>
      </c>
      <c r="S179" s="337">
        <f t="shared" si="70"/>
        <v>88.10333826875258</v>
      </c>
      <c r="U179" s="310">
        <f t="shared" si="76"/>
        <v>1000000000</v>
      </c>
      <c r="V179" s="310">
        <f t="shared" si="77"/>
        <v>101168393.0625</v>
      </c>
      <c r="X179" s="336">
        <f t="shared" si="71"/>
        <v>3.3371037780480535</v>
      </c>
      <c r="Y179" s="337">
        <f t="shared" si="72"/>
        <v>-22.052420068134833</v>
      </c>
      <c r="AA179" s="336">
        <f t="shared" si="73"/>
        <v>7.7293033074398085</v>
      </c>
      <c r="AB179" s="337">
        <f t="shared" si="74"/>
        <v>-69.844241663112584</v>
      </c>
      <c r="AD179">
        <f t="shared" si="78"/>
        <v>0</v>
      </c>
      <c r="AE179">
        <f t="shared" si="81"/>
        <v>0</v>
      </c>
    </row>
    <row r="180" spans="1:31" x14ac:dyDescent="0.25">
      <c r="A180" s="338">
        <v>10116.5</v>
      </c>
      <c r="B180" s="355">
        <f t="shared" si="75"/>
        <v>10.1165</v>
      </c>
      <c r="C180" s="328">
        <f t="shared" si="54"/>
        <v>2.4808534758133916</v>
      </c>
      <c r="D180" s="329">
        <f t="shared" si="55"/>
        <v>1.1559087072386645</v>
      </c>
      <c r="E180" s="329">
        <f t="shared" si="56"/>
        <v>1.0000087998703164</v>
      </c>
      <c r="F180" s="330">
        <f t="shared" si="57"/>
        <v>4.1951890983655737E-3</v>
      </c>
      <c r="G180" s="329">
        <f t="shared" si="58"/>
        <v>1</v>
      </c>
      <c r="H180" s="330">
        <f t="shared" si="59"/>
        <v>0</v>
      </c>
      <c r="I180" s="328">
        <f t="shared" si="60"/>
        <v>22110.352084369479</v>
      </c>
      <c r="J180" s="331">
        <f t="shared" si="61"/>
        <v>1.5707510991116591</v>
      </c>
      <c r="K180" s="339">
        <f t="shared" si="82"/>
        <v>3.0176001855605685</v>
      </c>
      <c r="L180" s="340">
        <f t="shared" si="83"/>
        <v>1.2330207716005557</v>
      </c>
      <c r="M180" s="328">
        <f t="shared" si="64"/>
        <v>1.0010410367287421</v>
      </c>
      <c r="N180" s="331">
        <f t="shared" si="65"/>
        <v>4.5609963803715188E-2</v>
      </c>
      <c r="O180" s="332">
        <f t="shared" si="66"/>
        <v>1.0003220454408845</v>
      </c>
      <c r="P180" s="333">
        <f t="shared" si="67"/>
        <v>6.9810989315207003E-2</v>
      </c>
      <c r="Q180" s="334">
        <f t="shared" si="68"/>
        <v>11.01876718538624</v>
      </c>
      <c r="R180" s="335">
        <f t="shared" si="69"/>
        <v>-91.951979763722193</v>
      </c>
      <c r="S180" s="337">
        <f t="shared" si="70"/>
        <v>88.048020236277807</v>
      </c>
      <c r="U180" s="310">
        <f t="shared" si="76"/>
        <v>1000000000</v>
      </c>
      <c r="V180" s="310">
        <f t="shared" si="77"/>
        <v>102343572.25</v>
      </c>
      <c r="X180" s="336">
        <f t="shared" si="71"/>
        <v>3.3314635066998406</v>
      </c>
      <c r="Y180" s="337">
        <f t="shared" si="72"/>
        <v>-21.963780834751876</v>
      </c>
      <c r="AA180" s="336">
        <f t="shared" si="73"/>
        <v>7.6873036786863995</v>
      </c>
      <c r="AB180" s="337">
        <f t="shared" si="74"/>
        <v>-69.98819892897032</v>
      </c>
      <c r="AD180">
        <f t="shared" si="78"/>
        <v>0</v>
      </c>
      <c r="AE180">
        <f t="shared" si="81"/>
        <v>0</v>
      </c>
    </row>
    <row r="181" spans="1:31" x14ac:dyDescent="0.25">
      <c r="A181" s="338">
        <v>10174.75</v>
      </c>
      <c r="B181" s="355">
        <f t="shared" si="75"/>
        <v>10.17475</v>
      </c>
      <c r="C181" s="328">
        <f t="shared" si="54"/>
        <v>2.4928226583063386</v>
      </c>
      <c r="D181" s="329">
        <f t="shared" si="55"/>
        <v>1.1580225485673175</v>
      </c>
      <c r="E181" s="329">
        <f t="shared" si="56"/>
        <v>1.0000089014995146</v>
      </c>
      <c r="F181" s="330">
        <f t="shared" si="57"/>
        <v>4.2193443766703666E-3</v>
      </c>
      <c r="G181" s="329">
        <f t="shared" si="58"/>
        <v>1</v>
      </c>
      <c r="H181" s="330">
        <f t="shared" si="59"/>
        <v>0</v>
      </c>
      <c r="I181" s="328">
        <f t="shared" si="60"/>
        <v>22237.661727653965</v>
      </c>
      <c r="J181" s="331">
        <f t="shared" si="61"/>
        <v>1.5707513580381729</v>
      </c>
      <c r="K181" s="339">
        <f t="shared" si="82"/>
        <v>3.0330720395095843</v>
      </c>
      <c r="L181" s="340">
        <f t="shared" si="83"/>
        <v>1.2348118820396001</v>
      </c>
      <c r="M181" s="328">
        <f t="shared" si="64"/>
        <v>1.0010530533320141</v>
      </c>
      <c r="N181" s="331">
        <f t="shared" si="65"/>
        <v>4.587221513194726E-2</v>
      </c>
      <c r="O181" s="332">
        <f t="shared" si="66"/>
        <v>1.0003257902451599</v>
      </c>
      <c r="P181" s="333">
        <f t="shared" si="67"/>
        <v>7.0213352097331969E-2</v>
      </c>
      <c r="Q181" s="334">
        <f t="shared" si="68"/>
        <v>10.97137724004725</v>
      </c>
      <c r="R181" s="335">
        <f t="shared" si="69"/>
        <v>-92.007181305103273</v>
      </c>
      <c r="S181" s="337">
        <f t="shared" si="70"/>
        <v>87.992818694896727</v>
      </c>
      <c r="U181" s="310">
        <f t="shared" si="76"/>
        <v>1000000000</v>
      </c>
      <c r="V181" s="310">
        <f t="shared" si="77"/>
        <v>103525537.5625</v>
      </c>
      <c r="X181" s="336">
        <f t="shared" si="71"/>
        <v>3.325910570425533</v>
      </c>
      <c r="Y181" s="337">
        <f t="shared" si="72"/>
        <v>-21.876198495528566</v>
      </c>
      <c r="AA181" s="336">
        <f t="shared" si="73"/>
        <v>7.6454666696217179</v>
      </c>
      <c r="AB181" s="337">
        <f t="shared" si="74"/>
        <v>-70.130982809574704</v>
      </c>
      <c r="AD181">
        <f t="shared" si="78"/>
        <v>0</v>
      </c>
      <c r="AE181">
        <f t="shared" si="81"/>
        <v>0</v>
      </c>
    </row>
    <row r="182" spans="1:31" x14ac:dyDescent="0.25">
      <c r="A182" s="338">
        <v>10233</v>
      </c>
      <c r="B182" s="355">
        <f t="shared" si="75"/>
        <v>10.233000000000001</v>
      </c>
      <c r="C182" s="328">
        <f t="shared" si="54"/>
        <v>2.5048028730598242</v>
      </c>
      <c r="D182" s="329">
        <f t="shared" si="55"/>
        <v>1.1601161786048679</v>
      </c>
      <c r="E182" s="329">
        <f t="shared" si="56"/>
        <v>1.0000090037121951</v>
      </c>
      <c r="F182" s="330">
        <f t="shared" si="57"/>
        <v>4.2434996500513448E-3</v>
      </c>
      <c r="G182" s="329">
        <f t="shared" si="58"/>
        <v>1</v>
      </c>
      <c r="H182" s="330">
        <f t="shared" si="59"/>
        <v>0</v>
      </c>
      <c r="I182" s="328">
        <f t="shared" si="60"/>
        <v>22364.971370939929</v>
      </c>
      <c r="J182" s="331">
        <f t="shared" si="61"/>
        <v>1.5707516140168767</v>
      </c>
      <c r="K182" s="339">
        <f t="shared" si="82"/>
        <v>3.0485535250022862</v>
      </c>
      <c r="L182" s="340">
        <f t="shared" si="83"/>
        <v>1.2365848065070586</v>
      </c>
      <c r="M182" s="328">
        <f t="shared" si="64"/>
        <v>1.0010651387818141</v>
      </c>
      <c r="N182" s="331">
        <f t="shared" si="65"/>
        <v>4.613446014610912E-2</v>
      </c>
      <c r="O182" s="332">
        <f t="shared" si="66"/>
        <v>1.0003295571370023</v>
      </c>
      <c r="P182" s="333">
        <f t="shared" si="67"/>
        <v>7.0615721691256461E-2</v>
      </c>
      <c r="Q182" s="334">
        <f t="shared" si="68"/>
        <v>10.924234614042055</v>
      </c>
      <c r="R182" s="335">
        <f t="shared" si="69"/>
        <v>-92.062266664126568</v>
      </c>
      <c r="S182" s="337">
        <f t="shared" si="70"/>
        <v>87.937733335873432</v>
      </c>
      <c r="U182" s="310">
        <f t="shared" si="76"/>
        <v>1000000000</v>
      </c>
      <c r="V182" s="310">
        <f t="shared" si="77"/>
        <v>104714289</v>
      </c>
      <c r="X182" s="336">
        <f t="shared" si="71"/>
        <v>3.3204431498973341</v>
      </c>
      <c r="Y182" s="337">
        <f t="shared" si="72"/>
        <v>-21.789657605058022</v>
      </c>
      <c r="AA182" s="336">
        <f t="shared" si="73"/>
        <v>7.6037914641447202</v>
      </c>
      <c r="AB182" s="337">
        <f t="shared" si="74"/>
        <v>-70.272609059068529</v>
      </c>
      <c r="AD182">
        <f t="shared" si="78"/>
        <v>0</v>
      </c>
      <c r="AE182">
        <f t="shared" si="81"/>
        <v>0</v>
      </c>
    </row>
    <row r="183" spans="1:31" x14ac:dyDescent="0.25">
      <c r="A183" s="338">
        <v>10292.5</v>
      </c>
      <c r="B183" s="355">
        <f t="shared" si="75"/>
        <v>10.2925</v>
      </c>
      <c r="C183" s="328">
        <f t="shared" si="54"/>
        <v>2.5170514000839534</v>
      </c>
      <c r="D183" s="329">
        <f t="shared" si="55"/>
        <v>1.1622341509407996</v>
      </c>
      <c r="E183" s="329">
        <f t="shared" si="56"/>
        <v>1.0000091087206793</v>
      </c>
      <c r="F183" s="330">
        <f t="shared" si="57"/>
        <v>4.2681732718256064E-3</v>
      </c>
      <c r="G183" s="329">
        <f t="shared" si="58"/>
        <v>1</v>
      </c>
      <c r="H183" s="330">
        <f t="shared" si="59"/>
        <v>0</v>
      </c>
      <c r="I183" s="328">
        <f t="shared" si="60"/>
        <v>22495.01298082151</v>
      </c>
      <c r="J183" s="331">
        <f t="shared" si="61"/>
        <v>1.5707518724973515</v>
      </c>
      <c r="K183" s="339">
        <f t="shared" si="82"/>
        <v>3.0643770232142047</v>
      </c>
      <c r="L183" s="340">
        <f t="shared" si="83"/>
        <v>1.2383772761235985</v>
      </c>
      <c r="M183" s="328">
        <f t="shared" si="64"/>
        <v>1.0010775546519073</v>
      </c>
      <c r="N183" s="331">
        <f t="shared" si="65"/>
        <v>4.6402326179647832E-2</v>
      </c>
      <c r="O183" s="332">
        <f t="shared" si="66"/>
        <v>1.0003334276775397</v>
      </c>
      <c r="P183" s="333">
        <f t="shared" si="67"/>
        <v>7.1026732898391245E-2</v>
      </c>
      <c r="Q183" s="334">
        <f t="shared" si="68"/>
        <v>10.876332985336237</v>
      </c>
      <c r="R183" s="335">
        <f t="shared" si="69"/>
        <v>-92.118414512377299</v>
      </c>
      <c r="S183" s="337">
        <f t="shared" si="70"/>
        <v>87.881585487622701</v>
      </c>
      <c r="U183" s="310">
        <f t="shared" si="76"/>
        <v>1000000000</v>
      </c>
      <c r="V183" s="310">
        <f t="shared" si="77"/>
        <v>105935556.25</v>
      </c>
      <c r="X183" s="336">
        <f t="shared" si="71"/>
        <v>3.3149448471617644</v>
      </c>
      <c r="Y183" s="337">
        <f t="shared" si="72"/>
        <v>-21.702319064062024</v>
      </c>
      <c r="AA183" s="336">
        <f t="shared" si="73"/>
        <v>7.5613881381744728</v>
      </c>
      <c r="AB183" s="337">
        <f t="shared" si="74"/>
        <v>-70.416095448315275</v>
      </c>
      <c r="AD183">
        <f t="shared" si="78"/>
        <v>0</v>
      </c>
      <c r="AE183">
        <f t="shared" si="81"/>
        <v>0</v>
      </c>
    </row>
    <row r="184" spans="1:31" x14ac:dyDescent="0.25">
      <c r="A184" s="338">
        <v>10352</v>
      </c>
      <c r="B184" s="355">
        <f t="shared" si="75"/>
        <v>10.352</v>
      </c>
      <c r="C184" s="328">
        <f t="shared" si="54"/>
        <v>2.5293111087286153</v>
      </c>
      <c r="D184" s="329">
        <f t="shared" si="55"/>
        <v>1.1643316007552189</v>
      </c>
      <c r="E184" s="329">
        <f t="shared" si="56"/>
        <v>1.0000092143379564</v>
      </c>
      <c r="F184" s="330">
        <f t="shared" si="57"/>
        <v>4.2928468884030164E-3</v>
      </c>
      <c r="G184" s="329">
        <f t="shared" si="58"/>
        <v>1</v>
      </c>
      <c r="H184" s="330">
        <f t="shared" si="59"/>
        <v>0</v>
      </c>
      <c r="I184" s="328">
        <f t="shared" si="60"/>
        <v>22625.054590704574</v>
      </c>
      <c r="J184" s="331">
        <f t="shared" si="61"/>
        <v>1.5707521280064995</v>
      </c>
      <c r="K184" s="339">
        <f t="shared" si="82"/>
        <v>3.080210265932279</v>
      </c>
      <c r="L184" s="340">
        <f t="shared" si="83"/>
        <v>1.2401513236841051</v>
      </c>
      <c r="M184" s="328">
        <f t="shared" si="64"/>
        <v>1.0010900423497449</v>
      </c>
      <c r="N184" s="331">
        <f t="shared" si="65"/>
        <v>4.6670185549629976E-2</v>
      </c>
      <c r="O184" s="332">
        <f t="shared" si="66"/>
        <v>1.0003373212850979</v>
      </c>
      <c r="P184" s="333">
        <f t="shared" si="67"/>
        <v>7.1437751293810539E-2</v>
      </c>
      <c r="Q184" s="334">
        <f t="shared" si="68"/>
        <v>10.828683981449206</v>
      </c>
      <c r="R184" s="335">
        <f t="shared" si="69"/>
        <v>-92.174441872938928</v>
      </c>
      <c r="S184" s="337">
        <f t="shared" si="70"/>
        <v>87.825558127061072</v>
      </c>
      <c r="U184" s="310">
        <f t="shared" si="76"/>
        <v>1000000000</v>
      </c>
      <c r="V184" s="310">
        <f t="shared" si="77"/>
        <v>107163904</v>
      </c>
      <c r="X184" s="336">
        <f t="shared" si="71"/>
        <v>3.3095320777429564</v>
      </c>
      <c r="Y184" s="337">
        <f t="shared" si="72"/>
        <v>-21.616035477089742</v>
      </c>
      <c r="AA184" s="336">
        <f t="shared" si="73"/>
        <v>7.5191519037062493</v>
      </c>
      <c r="AB184" s="337">
        <f t="shared" si="74"/>
        <v>-70.558406395849161</v>
      </c>
      <c r="AD184">
        <f t="shared" si="78"/>
        <v>0</v>
      </c>
      <c r="AE184">
        <f t="shared" si="81"/>
        <v>0</v>
      </c>
    </row>
    <row r="185" spans="1:31" x14ac:dyDescent="0.25">
      <c r="A185" s="338">
        <v>10411.5</v>
      </c>
      <c r="B185" s="355">
        <f t="shared" si="75"/>
        <v>10.4115</v>
      </c>
      <c r="C185" s="328">
        <f t="shared" si="54"/>
        <v>2.5415818371850456</v>
      </c>
      <c r="D185" s="329">
        <f t="shared" si="55"/>
        <v>1.1664088067064056</v>
      </c>
      <c r="E185" s="329">
        <f t="shared" si="56"/>
        <v>1.0000093205640264</v>
      </c>
      <c r="F185" s="330">
        <f t="shared" si="57"/>
        <v>4.3175204997535337E-3</v>
      </c>
      <c r="G185" s="329">
        <f t="shared" si="58"/>
        <v>1</v>
      </c>
      <c r="H185" s="330">
        <f t="shared" si="59"/>
        <v>0</v>
      </c>
      <c r="I185" s="328">
        <f t="shared" si="60"/>
        <v>22755.096200589105</v>
      </c>
      <c r="J185" s="331">
        <f t="shared" si="61"/>
        <v>1.5707523805952626</v>
      </c>
      <c r="K185" s="339">
        <f t="shared" si="82"/>
        <v>3.0960531036560419</v>
      </c>
      <c r="L185" s="340">
        <f t="shared" si="83"/>
        <v>1.2419072207383366</v>
      </c>
      <c r="M185" s="328">
        <f t="shared" si="64"/>
        <v>1.0011026018726386</v>
      </c>
      <c r="N185" s="331">
        <f t="shared" si="65"/>
        <v>4.6938038217868558E-2</v>
      </c>
      <c r="O185" s="332">
        <f t="shared" si="66"/>
        <v>1.0003412379705423</v>
      </c>
      <c r="P185" s="333">
        <f t="shared" si="67"/>
        <v>7.1848776918425977E-2</v>
      </c>
      <c r="Q185" s="334">
        <f t="shared" si="68"/>
        <v>10.781284928819662</v>
      </c>
      <c r="R185" s="335">
        <f t="shared" si="69"/>
        <v>-92.230349156176246</v>
      </c>
      <c r="S185" s="337">
        <f t="shared" si="70"/>
        <v>87.769650843823754</v>
      </c>
      <c r="U185" s="310">
        <f t="shared" si="76"/>
        <v>1000000000</v>
      </c>
      <c r="V185" s="310">
        <f t="shared" si="77"/>
        <v>108399332.25</v>
      </c>
      <c r="X185" s="336">
        <f t="shared" si="71"/>
        <v>3.3042030468413279</v>
      </c>
      <c r="Y185" s="337">
        <f t="shared" si="72"/>
        <v>-21.530791286216886</v>
      </c>
      <c r="AA185" s="336">
        <f t="shared" si="73"/>
        <v>7.4770818819783376</v>
      </c>
      <c r="AB185" s="337">
        <f t="shared" si="74"/>
        <v>-70.699557869959378</v>
      </c>
      <c r="AD185">
        <f t="shared" si="78"/>
        <v>0</v>
      </c>
      <c r="AE185">
        <f t="shared" si="81"/>
        <v>0</v>
      </c>
    </row>
    <row r="186" spans="1:31" x14ac:dyDescent="0.25">
      <c r="A186" s="338">
        <v>10471</v>
      </c>
      <c r="B186" s="355">
        <f t="shared" si="75"/>
        <v>10.471</v>
      </c>
      <c r="C186" s="328">
        <f t="shared" si="54"/>
        <v>2.5538634266102398</v>
      </c>
      <c r="D186" s="329">
        <f t="shared" si="55"/>
        <v>1.1684660427983642</v>
      </c>
      <c r="E186" s="329">
        <f t="shared" si="56"/>
        <v>1.0000094273988891</v>
      </c>
      <c r="F186" s="330">
        <f t="shared" si="57"/>
        <v>4.3421941058471164E-3</v>
      </c>
      <c r="G186" s="329">
        <f t="shared" si="58"/>
        <v>1</v>
      </c>
      <c r="H186" s="330">
        <f t="shared" si="59"/>
        <v>0</v>
      </c>
      <c r="I186" s="328">
        <f t="shared" si="60"/>
        <v>22885.137810475066</v>
      </c>
      <c r="J186" s="331">
        <f t="shared" si="61"/>
        <v>1.5707526303134247</v>
      </c>
      <c r="K186" s="339">
        <f t="shared" si="82"/>
        <v>3.1119053898397984</v>
      </c>
      <c r="L186" s="340">
        <f t="shared" si="83"/>
        <v>1.2436452337556017</v>
      </c>
      <c r="M186" s="328">
        <f t="shared" si="64"/>
        <v>1.0011152332178852</v>
      </c>
      <c r="N186" s="331">
        <f t="shared" si="65"/>
        <v>4.7205884146182313E-2</v>
      </c>
      <c r="O186" s="332">
        <f t="shared" si="66"/>
        <v>1.0003451777448</v>
      </c>
      <c r="P186" s="333">
        <f t="shared" si="67"/>
        <v>7.2259809813138037E-2</v>
      </c>
      <c r="Q186" s="334">
        <f t="shared" si="68"/>
        <v>10.734133197357178</v>
      </c>
      <c r="R186" s="335">
        <f t="shared" si="69"/>
        <v>-92.28613679680555</v>
      </c>
      <c r="S186" s="337">
        <f t="shared" si="70"/>
        <v>87.71386320319445</v>
      </c>
      <c r="U186" s="310">
        <f t="shared" si="76"/>
        <v>1000000000</v>
      </c>
      <c r="V186" s="310">
        <f t="shared" si="77"/>
        <v>109641841</v>
      </c>
      <c r="X186" s="336">
        <f t="shared" si="71"/>
        <v>3.2989560053596367</v>
      </c>
      <c r="Y186" s="337">
        <f t="shared" si="72"/>
        <v>-21.446571224541458</v>
      </c>
      <c r="AA186" s="336">
        <f t="shared" si="73"/>
        <v>7.4351771919975409</v>
      </c>
      <c r="AB186" s="337">
        <f t="shared" si="74"/>
        <v>-70.839565572264092</v>
      </c>
      <c r="AD186">
        <f t="shared" si="78"/>
        <v>0</v>
      </c>
      <c r="AE186">
        <f t="shared" si="81"/>
        <v>0</v>
      </c>
    </row>
    <row r="187" spans="1:31" x14ac:dyDescent="0.25">
      <c r="A187" s="338">
        <v>10532</v>
      </c>
      <c r="B187" s="355">
        <f t="shared" si="75"/>
        <v>10.532</v>
      </c>
      <c r="C187" s="328">
        <f t="shared" si="54"/>
        <v>2.5664657478364421</v>
      </c>
      <c r="D187" s="329">
        <f t="shared" si="55"/>
        <v>1.1705546926494867</v>
      </c>
      <c r="E187" s="329">
        <f t="shared" si="56"/>
        <v>1.000009537559075</v>
      </c>
      <c r="F187" s="330">
        <f t="shared" si="57"/>
        <v>4.3674897301348888E-3</v>
      </c>
      <c r="G187" s="329">
        <f t="shared" si="58"/>
        <v>1</v>
      </c>
      <c r="H187" s="330">
        <f t="shared" si="59"/>
        <v>0</v>
      </c>
      <c r="I187" s="328">
        <f t="shared" si="60"/>
        <v>23018.457780275581</v>
      </c>
      <c r="J187" s="331">
        <f t="shared" si="61"/>
        <v>1.5707528833978688</v>
      </c>
      <c r="K187" s="339">
        <f t="shared" si="82"/>
        <v>3.128166971873418</v>
      </c>
      <c r="L187" s="340">
        <f t="shared" si="83"/>
        <v>1.2454087699418368</v>
      </c>
      <c r="M187" s="328">
        <f t="shared" si="64"/>
        <v>1.0011282575587086</v>
      </c>
      <c r="N187" s="331">
        <f t="shared" si="65"/>
        <v>4.7480475455955018E-2</v>
      </c>
      <c r="O187" s="332">
        <f t="shared" si="66"/>
        <v>1.0003492408218606</v>
      </c>
      <c r="P187" s="333">
        <f t="shared" si="67"/>
        <v>7.2681212471797998E-2</v>
      </c>
      <c r="Q187" s="334">
        <f t="shared" si="68"/>
        <v>10.68604681043788</v>
      </c>
      <c r="R187" s="335">
        <f t="shared" si="69"/>
        <v>-92.343207122847275</v>
      </c>
      <c r="S187" s="337">
        <f t="shared" si="70"/>
        <v>87.656792877152725</v>
      </c>
      <c r="U187" s="310">
        <f t="shared" si="76"/>
        <v>1000000000</v>
      </c>
      <c r="V187" s="310">
        <f t="shared" si="77"/>
        <v>110923024</v>
      </c>
      <c r="X187" s="336">
        <f t="shared" si="71"/>
        <v>3.2936600170811237</v>
      </c>
      <c r="Y187" s="337">
        <f t="shared" si="72"/>
        <v>-21.361275467765577</v>
      </c>
      <c r="AA187" s="336">
        <f t="shared" si="73"/>
        <v>7.39238679335676</v>
      </c>
      <c r="AB187" s="337">
        <f t="shared" si="74"/>
        <v>-70.981931655081681</v>
      </c>
      <c r="AD187">
        <f t="shared" si="78"/>
        <v>0</v>
      </c>
      <c r="AE187">
        <f t="shared" si="81"/>
        <v>0</v>
      </c>
    </row>
    <row r="188" spans="1:31" x14ac:dyDescent="0.25">
      <c r="A188" s="338">
        <v>10593</v>
      </c>
      <c r="B188" s="355">
        <f t="shared" si="75"/>
        <v>10.593</v>
      </c>
      <c r="C188" s="328">
        <f t="shared" si="54"/>
        <v>2.5790791557174129</v>
      </c>
      <c r="D188" s="329">
        <f t="shared" si="55"/>
        <v>1.172622921683282</v>
      </c>
      <c r="E188" s="329">
        <f t="shared" si="56"/>
        <v>1.0000096483591356</v>
      </c>
      <c r="F188" s="330">
        <f t="shared" si="57"/>
        <v>4.3927853488333864E-3</v>
      </c>
      <c r="G188" s="329">
        <f t="shared" si="58"/>
        <v>1</v>
      </c>
      <c r="H188" s="330">
        <f t="shared" si="59"/>
        <v>0</v>
      </c>
      <c r="I188" s="328">
        <f t="shared" si="60"/>
        <v>23151.777750077556</v>
      </c>
      <c r="J188" s="331">
        <f t="shared" si="61"/>
        <v>1.5707531335675295</v>
      </c>
      <c r="K188" s="339">
        <f t="shared" si="82"/>
        <v>3.1444381820505098</v>
      </c>
      <c r="L188" s="340">
        <f t="shared" si="83"/>
        <v>1.2471540603202236</v>
      </c>
      <c r="M188" s="328">
        <f t="shared" si="64"/>
        <v>1.001141357383023</v>
      </c>
      <c r="N188" s="331">
        <f t="shared" si="65"/>
        <v>4.7755059600436987E-2</v>
      </c>
      <c r="O188" s="332">
        <f t="shared" si="66"/>
        <v>1.0003533281900119</v>
      </c>
      <c r="P188" s="333">
        <f t="shared" si="67"/>
        <v>7.3102622858759528E-2</v>
      </c>
      <c r="Q188" s="334">
        <f t="shared" si="68"/>
        <v>10.638214909300498</v>
      </c>
      <c r="R188" s="335">
        <f t="shared" si="69"/>
        <v>-92.400152695598891</v>
      </c>
      <c r="S188" s="337">
        <f t="shared" si="70"/>
        <v>87.599847304401109</v>
      </c>
      <c r="U188" s="310">
        <f t="shared" si="76"/>
        <v>1000000000</v>
      </c>
      <c r="V188" s="310">
        <f t="shared" si="77"/>
        <v>112211649</v>
      </c>
      <c r="X188" s="336">
        <f t="shared" si="71"/>
        <v>3.2884466225961946</v>
      </c>
      <c r="Y188" s="337">
        <f t="shared" si="72"/>
        <v>-21.277024541228709</v>
      </c>
      <c r="AA188" s="336">
        <f t="shared" si="73"/>
        <v>7.3497682867043075</v>
      </c>
      <c r="AB188" s="337">
        <f t="shared" si="74"/>
        <v>-71.123128154370178</v>
      </c>
      <c r="AD188">
        <f t="shared" si="78"/>
        <v>0</v>
      </c>
      <c r="AE188">
        <f t="shared" si="81"/>
        <v>0</v>
      </c>
    </row>
    <row r="189" spans="1:31" x14ac:dyDescent="0.25">
      <c r="A189" s="338">
        <v>10654</v>
      </c>
      <c r="B189" s="355">
        <f t="shared" si="75"/>
        <v>10.654</v>
      </c>
      <c r="C189" s="328">
        <f t="shared" si="54"/>
        <v>2.5917034883822105</v>
      </c>
      <c r="D189" s="329">
        <f t="shared" si="55"/>
        <v>1.1746710104883353</v>
      </c>
      <c r="E189" s="329">
        <f t="shared" si="56"/>
        <v>1.0000097597990705</v>
      </c>
      <c r="F189" s="330">
        <f t="shared" si="57"/>
        <v>4.4180809619102429E-3</v>
      </c>
      <c r="G189" s="329">
        <f t="shared" si="58"/>
        <v>1</v>
      </c>
      <c r="H189" s="330">
        <f t="shared" si="59"/>
        <v>0</v>
      </c>
      <c r="I189" s="328">
        <f t="shared" si="60"/>
        <v>23285.097719880963</v>
      </c>
      <c r="J189" s="331">
        <f t="shared" si="61"/>
        <v>1.570753380872473</v>
      </c>
      <c r="K189" s="339">
        <f t="shared" si="82"/>
        <v>3.1607188716755878</v>
      </c>
      <c r="L189" s="340">
        <f t="shared" si="83"/>
        <v>1.2488813761249056</v>
      </c>
      <c r="M189" s="328">
        <f t="shared" si="64"/>
        <v>1.0011545326878657</v>
      </c>
      <c r="N189" s="331">
        <f t="shared" si="65"/>
        <v>4.802963653850495E-2</v>
      </c>
      <c r="O189" s="332">
        <f t="shared" si="66"/>
        <v>1.0003574398612338</v>
      </c>
      <c r="P189" s="333">
        <f t="shared" si="67"/>
        <v>7.3524041018058123E-2</v>
      </c>
      <c r="Q189" s="334">
        <f t="shared" si="68"/>
        <v>10.590634795744247</v>
      </c>
      <c r="R189" s="335">
        <f t="shared" si="69"/>
        <v>-92.456974054067771</v>
      </c>
      <c r="S189" s="337">
        <f t="shared" si="70"/>
        <v>87.543025945932229</v>
      </c>
      <c r="U189" s="310">
        <f t="shared" si="76"/>
        <v>1000000000</v>
      </c>
      <c r="V189" s="310">
        <f t="shared" si="77"/>
        <v>113507716</v>
      </c>
      <c r="X189" s="336">
        <f t="shared" si="71"/>
        <v>3.2833140779361605</v>
      </c>
      <c r="Y189" s="337">
        <f t="shared" si="72"/>
        <v>-21.193802904871514</v>
      </c>
      <c r="AA189" s="336">
        <f t="shared" si="73"/>
        <v>7.3073207178080892</v>
      </c>
      <c r="AB189" s="337">
        <f t="shared" si="74"/>
        <v>-71.263171149196239</v>
      </c>
      <c r="AD189">
        <f t="shared" si="78"/>
        <v>0</v>
      </c>
      <c r="AE189">
        <f t="shared" si="81"/>
        <v>0</v>
      </c>
    </row>
    <row r="190" spans="1:31" x14ac:dyDescent="0.25">
      <c r="A190" s="338">
        <v>10715</v>
      </c>
      <c r="B190" s="355">
        <f t="shared" si="75"/>
        <v>10.715</v>
      </c>
      <c r="C190" s="328">
        <f t="shared" si="54"/>
        <v>2.6043385869596709</v>
      </c>
      <c r="D190" s="329">
        <f t="shared" si="55"/>
        <v>1.1766992348910048</v>
      </c>
      <c r="E190" s="329">
        <f t="shared" si="56"/>
        <v>1.0000098718788795</v>
      </c>
      <c r="F190" s="330">
        <f t="shared" si="57"/>
        <v>4.4433765693330848E-3</v>
      </c>
      <c r="G190" s="329">
        <f t="shared" si="58"/>
        <v>1</v>
      </c>
      <c r="H190" s="330">
        <f t="shared" si="59"/>
        <v>0</v>
      </c>
      <c r="I190" s="328">
        <f t="shared" si="60"/>
        <v>23418.417689685775</v>
      </c>
      <c r="J190" s="331">
        <f t="shared" si="61"/>
        <v>1.570753625361625</v>
      </c>
      <c r="K190" s="339">
        <f t="shared" si="82"/>
        <v>3.1770088950153985</v>
      </c>
      <c r="L190" s="340">
        <f t="shared" si="83"/>
        <v>1.250590983460953</v>
      </c>
      <c r="M190" s="328">
        <f t="shared" si="64"/>
        <v>1.0011677834702561</v>
      </c>
      <c r="N190" s="331">
        <f t="shared" si="65"/>
        <v>4.8304206229042156E-2</v>
      </c>
      <c r="O190" s="332">
        <f t="shared" si="66"/>
        <v>1.0003615758475739</v>
      </c>
      <c r="P190" s="333">
        <f t="shared" si="67"/>
        <v>7.3945466993716763E-2</v>
      </c>
      <c r="Q190" s="334">
        <f t="shared" si="68"/>
        <v>10.54330381534686</v>
      </c>
      <c r="R190" s="335">
        <f t="shared" si="69"/>
        <v>-92.513671758214258</v>
      </c>
      <c r="S190" s="337">
        <f t="shared" si="70"/>
        <v>87.486328241785742</v>
      </c>
      <c r="U190" s="310">
        <f t="shared" si="76"/>
        <v>1000000000</v>
      </c>
      <c r="V190" s="310">
        <f t="shared" si="77"/>
        <v>114811225</v>
      </c>
      <c r="X190" s="336">
        <f t="shared" si="71"/>
        <v>3.2782606838200969</v>
      </c>
      <c r="Y190" s="337">
        <f t="shared" si="72"/>
        <v>-21.111595312444006</v>
      </c>
      <c r="AA190" s="336">
        <f t="shared" si="73"/>
        <v>7.2650431315267658</v>
      </c>
      <c r="AB190" s="337">
        <f t="shared" si="74"/>
        <v>-71.402076445770234</v>
      </c>
      <c r="AD190">
        <f t="shared" si="78"/>
        <v>0</v>
      </c>
      <c r="AE190">
        <f t="shared" si="81"/>
        <v>0</v>
      </c>
    </row>
    <row r="191" spans="1:31" x14ac:dyDescent="0.25">
      <c r="A191" s="338">
        <v>10777.5</v>
      </c>
      <c r="B191" s="355">
        <f t="shared" si="75"/>
        <v>10.7775</v>
      </c>
      <c r="C191" s="328">
        <f t="shared" si="54"/>
        <v>2.6172953879101613</v>
      </c>
      <c r="D191" s="329">
        <f t="shared" si="55"/>
        <v>1.1787570140675747</v>
      </c>
      <c r="E191" s="329">
        <f t="shared" si="56"/>
        <v>1.0000099873784187</v>
      </c>
      <c r="F191" s="330">
        <f t="shared" si="57"/>
        <v>4.4692941939911534E-3</v>
      </c>
      <c r="G191" s="329">
        <f t="shared" si="58"/>
        <v>1</v>
      </c>
      <c r="H191" s="330">
        <f t="shared" si="59"/>
        <v>0</v>
      </c>
      <c r="I191" s="328">
        <f t="shared" si="60"/>
        <v>23555.016019405259</v>
      </c>
      <c r="J191" s="331">
        <f t="shared" si="61"/>
        <v>1.5707538729922979</v>
      </c>
      <c r="K191" s="339">
        <f t="shared" si="82"/>
        <v>3.1937090241623132</v>
      </c>
      <c r="L191" s="340">
        <f t="shared" si="83"/>
        <v>1.2523245363060405</v>
      </c>
      <c r="M191" s="328">
        <f t="shared" si="64"/>
        <v>1.0011814383727997</v>
      </c>
      <c r="N191" s="331">
        <f t="shared" si="65"/>
        <v>4.8585520073243731E-2</v>
      </c>
      <c r="O191" s="332">
        <f t="shared" si="66"/>
        <v>1.0003658387705063</v>
      </c>
      <c r="P191" s="333">
        <f t="shared" si="67"/>
        <v>7.4377264056255693E-2</v>
      </c>
      <c r="Q191" s="334">
        <f t="shared" si="68"/>
        <v>10.49506462550961</v>
      </c>
      <c r="R191" s="335">
        <f t="shared" si="69"/>
        <v>-92.571636021646924</v>
      </c>
      <c r="S191" s="337">
        <f t="shared" si="70"/>
        <v>87.428363978353076</v>
      </c>
      <c r="U191" s="310">
        <f t="shared" si="76"/>
        <v>1000000000</v>
      </c>
      <c r="V191" s="310">
        <f t="shared" si="77"/>
        <v>116154506.25</v>
      </c>
      <c r="X191" s="336">
        <f t="shared" si="71"/>
        <v>3.2731633885515632</v>
      </c>
      <c r="Y191" s="337">
        <f t="shared" si="72"/>
        <v>-21.028402334946318</v>
      </c>
      <c r="AA191" s="336">
        <f t="shared" si="73"/>
        <v>7.2219012369580469</v>
      </c>
      <c r="AB191" s="337">
        <f t="shared" si="74"/>
        <v>-71.543233686700603</v>
      </c>
      <c r="AD191">
        <f t="shared" si="78"/>
        <v>0</v>
      </c>
      <c r="AE191">
        <f t="shared" si="81"/>
        <v>0</v>
      </c>
    </row>
    <row r="192" spans="1:31" x14ac:dyDescent="0.25">
      <c r="A192" s="338">
        <v>10840</v>
      </c>
      <c r="B192" s="355">
        <f t="shared" si="75"/>
        <v>10.84</v>
      </c>
      <c r="C192" s="328">
        <f t="shared" si="54"/>
        <v>2.630263162464348</v>
      </c>
      <c r="D192" s="329">
        <f t="shared" si="55"/>
        <v>1.1807945111953424</v>
      </c>
      <c r="E192" s="329">
        <f t="shared" si="56"/>
        <v>1.0000101035496876</v>
      </c>
      <c r="F192" s="330">
        <f t="shared" si="57"/>
        <v>4.4952118126449277E-3</v>
      </c>
      <c r="G192" s="329">
        <f t="shared" si="58"/>
        <v>1</v>
      </c>
      <c r="H192" s="330">
        <f t="shared" si="59"/>
        <v>0</v>
      </c>
      <c r="I192" s="328">
        <f t="shared" si="60"/>
        <v>23691.614349126172</v>
      </c>
      <c r="J192" s="331">
        <f t="shared" si="61"/>
        <v>1.5707541177674509</v>
      </c>
      <c r="K192" s="339">
        <f t="shared" si="82"/>
        <v>3.2104186511921151</v>
      </c>
      <c r="L192" s="340">
        <f t="shared" si="83"/>
        <v>1.254040048627046</v>
      </c>
      <c r="M192" s="328">
        <f t="shared" si="64"/>
        <v>1.0011951725041535</v>
      </c>
      <c r="N192" s="331">
        <f t="shared" si="65"/>
        <v>4.8866826221728402E-2</v>
      </c>
      <c r="O192" s="332">
        <f t="shared" si="66"/>
        <v>1.0003701272449141</v>
      </c>
      <c r="P192" s="333">
        <f t="shared" si="67"/>
        <v>7.4809069417817092E-2</v>
      </c>
      <c r="Q192" s="334">
        <f t="shared" si="68"/>
        <v>10.447081466894252</v>
      </c>
      <c r="R192" s="335">
        <f t="shared" si="69"/>
        <v>-92.629471726474961</v>
      </c>
      <c r="S192" s="337">
        <f t="shared" si="70"/>
        <v>87.370528273525039</v>
      </c>
      <c r="U192" s="310">
        <f t="shared" si="76"/>
        <v>1000000000</v>
      </c>
      <c r="V192" s="310">
        <f t="shared" si="77"/>
        <v>117505600</v>
      </c>
      <c r="X192" s="336">
        <f t="shared" si="71"/>
        <v>3.268145710778577</v>
      </c>
      <c r="Y192" s="337">
        <f t="shared" si="72"/>
        <v>-20.946242398798582</v>
      </c>
      <c r="AA192" s="336">
        <f t="shared" si="73"/>
        <v>7.1789357561156759</v>
      </c>
      <c r="AB192" s="337">
        <f t="shared" si="74"/>
        <v>-71.683229327676401</v>
      </c>
      <c r="AD192">
        <f t="shared" si="78"/>
        <v>0</v>
      </c>
      <c r="AE192">
        <f t="shared" si="81"/>
        <v>0</v>
      </c>
    </row>
    <row r="193" spans="1:31" x14ac:dyDescent="0.25">
      <c r="A193" s="338">
        <v>10902.5</v>
      </c>
      <c r="B193" s="355">
        <f t="shared" si="75"/>
        <v>10.9025</v>
      </c>
      <c r="C193" s="328">
        <f t="shared" si="54"/>
        <v>2.6432417491123559</v>
      </c>
      <c r="D193" s="329">
        <f t="shared" si="55"/>
        <v>1.1828120079926352</v>
      </c>
      <c r="E193" s="329">
        <f t="shared" si="56"/>
        <v>1.0000102203926864</v>
      </c>
      <c r="F193" s="330">
        <f t="shared" si="57"/>
        <v>4.5211294252595867E-3</v>
      </c>
      <c r="G193" s="329">
        <f t="shared" si="58"/>
        <v>1</v>
      </c>
      <c r="H193" s="330">
        <f t="shared" si="59"/>
        <v>0</v>
      </c>
      <c r="I193" s="328">
        <f t="shared" si="60"/>
        <v>23828.212678848486</v>
      </c>
      <c r="J193" s="331">
        <f t="shared" si="61"/>
        <v>1.570754359736193</v>
      </c>
      <c r="K193" s="339">
        <f t="shared" si="82"/>
        <v>3.2271376285690354</v>
      </c>
      <c r="L193" s="340">
        <f t="shared" si="83"/>
        <v>1.2557377906374172</v>
      </c>
      <c r="M193" s="328">
        <f t="shared" si="64"/>
        <v>1.0012089858610569</v>
      </c>
      <c r="N193" s="331">
        <f t="shared" si="65"/>
        <v>4.9148124630292493E-2</v>
      </c>
      <c r="O193" s="332">
        <f t="shared" si="66"/>
        <v>1.0003744412839819</v>
      </c>
      <c r="P193" s="333">
        <f t="shared" si="67"/>
        <v>7.5240883125710395E-2</v>
      </c>
      <c r="Q193" s="334">
        <f t="shared" si="68"/>
        <v>10.399351620975651</v>
      </c>
      <c r="R193" s="335">
        <f t="shared" si="69"/>
        <v>-92.687179534873081</v>
      </c>
      <c r="S193" s="337">
        <f t="shared" si="70"/>
        <v>87.312820465126919</v>
      </c>
      <c r="U193" s="310">
        <f t="shared" si="76"/>
        <v>1000000000</v>
      </c>
      <c r="V193" s="310">
        <f t="shared" si="77"/>
        <v>118864506.25</v>
      </c>
      <c r="X193" s="336">
        <f t="shared" si="71"/>
        <v>3.2632059600585919</v>
      </c>
      <c r="Y193" s="337">
        <f t="shared" si="72"/>
        <v>-20.865100022191704</v>
      </c>
      <c r="AA193" s="336">
        <f t="shared" si="73"/>
        <v>7.1361456609170579</v>
      </c>
      <c r="AB193" s="337">
        <f t="shared" si="74"/>
        <v>-71.822079512681384</v>
      </c>
      <c r="AD193">
        <f t="shared" si="78"/>
        <v>0</v>
      </c>
      <c r="AE193">
        <f t="shared" si="81"/>
        <v>0</v>
      </c>
    </row>
    <row r="194" spans="1:31" x14ac:dyDescent="0.25">
      <c r="A194" s="338">
        <v>10965</v>
      </c>
      <c r="B194" s="355">
        <f t="shared" si="75"/>
        <v>10.965</v>
      </c>
      <c r="C194" s="328">
        <f t="shared" si="54"/>
        <v>2.6562309893675633</v>
      </c>
      <c r="D194" s="329">
        <f t="shared" si="55"/>
        <v>1.1848097813254168</v>
      </c>
      <c r="E194" s="329">
        <f t="shared" si="56"/>
        <v>1.0000103379074141</v>
      </c>
      <c r="F194" s="330">
        <f t="shared" si="57"/>
        <v>4.5470470318003178E-3</v>
      </c>
      <c r="G194" s="329">
        <f t="shared" si="58"/>
        <v>1</v>
      </c>
      <c r="H194" s="330">
        <f t="shared" si="59"/>
        <v>0</v>
      </c>
      <c r="I194" s="328">
        <f t="shared" si="60"/>
        <v>23964.811008572178</v>
      </c>
      <c r="J194" s="331">
        <f t="shared" si="61"/>
        <v>1.5707545989465137</v>
      </c>
      <c r="K194" s="339">
        <f t="shared" si="82"/>
        <v>3.2438658117172063</v>
      </c>
      <c r="L194" s="340">
        <f t="shared" si="83"/>
        <v>1.2574180273912323</v>
      </c>
      <c r="M194" s="328">
        <f t="shared" si="64"/>
        <v>1.0012228784402311</v>
      </c>
      <c r="N194" s="331">
        <f t="shared" si="65"/>
        <v>4.9429415254739678E-2</v>
      </c>
      <c r="O194" s="332">
        <f t="shared" si="66"/>
        <v>1.0003787809009694</v>
      </c>
      <c r="P194" s="333">
        <f t="shared" si="67"/>
        <v>7.5672705227230894E-2</v>
      </c>
      <c r="Q194" s="334">
        <f t="shared" si="68"/>
        <v>10.351872413234505</v>
      </c>
      <c r="R194" s="335">
        <f t="shared" si="69"/>
        <v>-92.744760126541649</v>
      </c>
      <c r="S194" s="337">
        <f t="shared" si="70"/>
        <v>87.255239873458351</v>
      </c>
      <c r="U194" s="310">
        <f t="shared" si="76"/>
        <v>1000000000</v>
      </c>
      <c r="V194" s="310">
        <f t="shared" si="77"/>
        <v>120231225</v>
      </c>
      <c r="X194" s="336">
        <f t="shared" si="71"/>
        <v>3.2583424895036246</v>
      </c>
      <c r="Y194" s="337">
        <f t="shared" si="72"/>
        <v>-20.784960018862975</v>
      </c>
      <c r="AA194" s="336">
        <f t="shared" si="73"/>
        <v>7.0935299237308822</v>
      </c>
      <c r="AB194" s="337">
        <f t="shared" si="74"/>
        <v>-71.95980010767866</v>
      </c>
      <c r="AD194">
        <f t="shared" si="78"/>
        <v>0</v>
      </c>
      <c r="AE194">
        <f t="shared" si="81"/>
        <v>0</v>
      </c>
    </row>
    <row r="195" spans="1:31" x14ac:dyDescent="0.25">
      <c r="A195" s="338">
        <v>11028.75</v>
      </c>
      <c r="B195" s="355">
        <f t="shared" si="75"/>
        <v>11.02875</v>
      </c>
      <c r="C195" s="328">
        <f t="shared" si="54"/>
        <v>2.6694908284933661</v>
      </c>
      <c r="D195" s="329">
        <f t="shared" si="55"/>
        <v>1.1868274731827368</v>
      </c>
      <c r="E195" s="329">
        <f t="shared" si="56"/>
        <v>1.000010458464452</v>
      </c>
      <c r="F195" s="330">
        <f t="shared" si="57"/>
        <v>4.5734829841783927E-3</v>
      </c>
      <c r="G195" s="329">
        <f t="shared" si="58"/>
        <v>1</v>
      </c>
      <c r="H195" s="330">
        <f t="shared" si="59"/>
        <v>0</v>
      </c>
      <c r="I195" s="328">
        <f t="shared" si="60"/>
        <v>24104.141304891742</v>
      </c>
      <c r="J195" s="331">
        <f t="shared" si="61"/>
        <v>1.5707548401479492</v>
      </c>
      <c r="K195" s="339">
        <f t="shared" si="82"/>
        <v>3.2609378953887473</v>
      </c>
      <c r="L195" s="340">
        <f t="shared" si="83"/>
        <v>1.2591141045889382</v>
      </c>
      <c r="M195" s="328">
        <f t="shared" si="64"/>
        <v>1.0012371304823515</v>
      </c>
      <c r="N195" s="331">
        <f t="shared" si="65"/>
        <v>4.9716323626651668E-2</v>
      </c>
      <c r="O195" s="332">
        <f t="shared" si="66"/>
        <v>1.0003832336745002</v>
      </c>
      <c r="P195" s="333">
        <f t="shared" si="67"/>
        <v>7.6113172466930029E-2</v>
      </c>
      <c r="Q195" s="334">
        <f t="shared" si="68"/>
        <v>10.303699099956006</v>
      </c>
      <c r="R195" s="335">
        <f t="shared" si="69"/>
        <v>-92.803361993225693</v>
      </c>
      <c r="S195" s="337">
        <f t="shared" si="70"/>
        <v>87.196638006774307</v>
      </c>
      <c r="U195" s="310">
        <f t="shared" si="76"/>
        <v>1000000000</v>
      </c>
      <c r="V195" s="310">
        <f t="shared" si="77"/>
        <v>121633326.5625</v>
      </c>
      <c r="X195" s="336">
        <f t="shared" si="71"/>
        <v>3.2534586694440533</v>
      </c>
      <c r="Y195" s="337">
        <f t="shared" si="72"/>
        <v>-20.704234412255595</v>
      </c>
      <c r="AA195" s="336">
        <f t="shared" si="73"/>
        <v>7.0502404305119519</v>
      </c>
      <c r="AB195" s="337">
        <f t="shared" si="74"/>
        <v>-72.099127580970077</v>
      </c>
      <c r="AD195">
        <f t="shared" si="78"/>
        <v>0</v>
      </c>
      <c r="AE195">
        <f t="shared" si="81"/>
        <v>0</v>
      </c>
    </row>
    <row r="196" spans="1:31" x14ac:dyDescent="0.25">
      <c r="A196" s="338">
        <v>11092.5</v>
      </c>
      <c r="B196" s="355">
        <f t="shared" si="75"/>
        <v>11.092499999999999</v>
      </c>
      <c r="C196" s="328">
        <f t="shared" si="54"/>
        <v>2.6827614278756933</v>
      </c>
      <c r="D196" s="329">
        <f t="shared" si="55"/>
        <v>1.1888252115992624</v>
      </c>
      <c r="E196" s="329">
        <f t="shared" si="56"/>
        <v>1.0000105797203565</v>
      </c>
      <c r="F196" s="330">
        <f t="shared" si="57"/>
        <v>4.5999189301639785E-3</v>
      </c>
      <c r="G196" s="329">
        <f t="shared" si="58"/>
        <v>1</v>
      </c>
      <c r="H196" s="330">
        <f t="shared" si="59"/>
        <v>0</v>
      </c>
      <c r="I196" s="328">
        <f t="shared" si="60"/>
        <v>24243.471601212688</v>
      </c>
      <c r="J196" s="331">
        <f t="shared" si="61"/>
        <v>1.5707550785769544</v>
      </c>
      <c r="K196" s="339">
        <f t="shared" si="82"/>
        <v>3.2780192620025423</v>
      </c>
      <c r="L196" s="340">
        <f t="shared" si="83"/>
        <v>1.2607925104618889</v>
      </c>
      <c r="M196" s="328">
        <f t="shared" si="64"/>
        <v>1.0012514649403719</v>
      </c>
      <c r="N196" s="331">
        <f t="shared" si="65"/>
        <v>5.0003223807108532E-2</v>
      </c>
      <c r="O196" s="332">
        <f t="shared" si="66"/>
        <v>1.0003877130874075</v>
      </c>
      <c r="P196" s="333">
        <f t="shared" si="67"/>
        <v>7.6553648538709523E-2</v>
      </c>
      <c r="Q196" s="334">
        <f t="shared" si="68"/>
        <v>10.255781065445566</v>
      </c>
      <c r="R196" s="335">
        <f t="shared" si="69"/>
        <v>-92.861832982515025</v>
      </c>
      <c r="S196" s="337">
        <f t="shared" si="70"/>
        <v>87.138167017484975</v>
      </c>
      <c r="U196" s="310">
        <f t="shared" si="76"/>
        <v>1000000000</v>
      </c>
      <c r="V196" s="310">
        <f t="shared" si="77"/>
        <v>123043556.25</v>
      </c>
      <c r="X196" s="336">
        <f t="shared" si="71"/>
        <v>3.2486508829541281</v>
      </c>
      <c r="Y196" s="337">
        <f t="shared" si="72"/>
        <v>-20.624520669791909</v>
      </c>
      <c r="AA196" s="336">
        <f t="shared" si="73"/>
        <v>7.0071301824914372</v>
      </c>
      <c r="AB196" s="337">
        <f t="shared" si="74"/>
        <v>-72.237312312723105</v>
      </c>
      <c r="AD196">
        <f t="shared" si="78"/>
        <v>0</v>
      </c>
      <c r="AE196">
        <f t="shared" si="81"/>
        <v>0</v>
      </c>
    </row>
    <row r="197" spans="1:31" x14ac:dyDescent="0.25">
      <c r="A197" s="338">
        <v>11156.25</v>
      </c>
      <c r="B197" s="355">
        <f t="shared" si="75"/>
        <v>11.15625</v>
      </c>
      <c r="C197" s="328">
        <f t="shared" si="54"/>
        <v>2.6960426286204897</v>
      </c>
      <c r="D197" s="329">
        <f t="shared" si="55"/>
        <v>1.1908032753933968</v>
      </c>
      <c r="E197" s="329">
        <f t="shared" si="56"/>
        <v>1.0000107016751276</v>
      </c>
      <c r="F197" s="330">
        <f t="shared" si="57"/>
        <v>4.6263548697201302E-3</v>
      </c>
      <c r="G197" s="329">
        <f t="shared" si="58"/>
        <v>1</v>
      </c>
      <c r="H197" s="330">
        <f t="shared" si="59"/>
        <v>0</v>
      </c>
      <c r="I197" s="328">
        <f t="shared" si="60"/>
        <v>24382.801897535002</v>
      </c>
      <c r="J197" s="331">
        <f t="shared" si="61"/>
        <v>1.5707553142810566</v>
      </c>
      <c r="K197" s="339">
        <f t="shared" si="82"/>
        <v>3.2951097671943534</v>
      </c>
      <c r="L197" s="340">
        <f t="shared" si="83"/>
        <v>1.2624535104432604</v>
      </c>
      <c r="M197" s="328">
        <f t="shared" si="64"/>
        <v>1.001265881810752</v>
      </c>
      <c r="N197" s="331">
        <f t="shared" si="65"/>
        <v>5.0290115749232624E-2</v>
      </c>
      <c r="O197" s="332">
        <f t="shared" si="66"/>
        <v>1.0003922191540071</v>
      </c>
      <c r="P197" s="333">
        <f t="shared" si="67"/>
        <v>7.6994133492713293E-2</v>
      </c>
      <c r="Q197" s="334">
        <f t="shared" si="68"/>
        <v>10.208115606665629</v>
      </c>
      <c r="R197" s="335">
        <f t="shared" si="69"/>
        <v>-92.920173864239004</v>
      </c>
      <c r="S197" s="337">
        <f t="shared" si="70"/>
        <v>87.079826135760996</v>
      </c>
      <c r="U197" s="310">
        <f t="shared" si="76"/>
        <v>1000000000</v>
      </c>
      <c r="V197" s="310">
        <f t="shared" si="77"/>
        <v>124461914.0625</v>
      </c>
      <c r="X197" s="336">
        <f t="shared" si="71"/>
        <v>3.243917514039794</v>
      </c>
      <c r="Y197" s="337">
        <f t="shared" si="72"/>
        <v>-20.545803583308352</v>
      </c>
      <c r="AA197" s="336">
        <f t="shared" si="73"/>
        <v>6.9641980926258338</v>
      </c>
      <c r="AB197" s="337">
        <f t="shared" si="74"/>
        <v>-72.374370280930663</v>
      </c>
      <c r="AD197">
        <f t="shared" si="78"/>
        <v>0</v>
      </c>
      <c r="AE197">
        <f t="shared" si="81"/>
        <v>0</v>
      </c>
    </row>
    <row r="198" spans="1:31" x14ac:dyDescent="0.25">
      <c r="A198" s="338">
        <v>11220</v>
      </c>
      <c r="B198" s="355">
        <f t="shared" si="75"/>
        <v>11.22</v>
      </c>
      <c r="C198" s="328">
        <f t="shared" si="54"/>
        <v>2.7093342748236044</v>
      </c>
      <c r="D198" s="329">
        <f t="shared" si="55"/>
        <v>1.1927619385345767</v>
      </c>
      <c r="E198" s="329">
        <f t="shared" si="56"/>
        <v>1.0000108243287649</v>
      </c>
      <c r="F198" s="330">
        <f t="shared" si="57"/>
        <v>4.6527908028098988E-3</v>
      </c>
      <c r="G198" s="329">
        <f t="shared" si="58"/>
        <v>1</v>
      </c>
      <c r="H198" s="330">
        <f t="shared" si="59"/>
        <v>0</v>
      </c>
      <c r="I198" s="328">
        <f t="shared" si="60"/>
        <v>24522.132193858652</v>
      </c>
      <c r="J198" s="331">
        <f t="shared" si="61"/>
        <v>1.5707555473067032</v>
      </c>
      <c r="K198" s="339">
        <f t="shared" si="82"/>
        <v>3.3122092695030911</v>
      </c>
      <c r="L198" s="340">
        <f t="shared" si="83"/>
        <v>1.2640973648735445</v>
      </c>
      <c r="M198" s="328">
        <f t="shared" si="64"/>
        <v>1.0012803810899327</v>
      </c>
      <c r="N198" s="331">
        <f t="shared" si="65"/>
        <v>5.0576999406154392E-2</v>
      </c>
      <c r="O198" s="332">
        <f t="shared" si="66"/>
        <v>1.0003967518886974</v>
      </c>
      <c r="P198" s="333">
        <f t="shared" si="67"/>
        <v>7.7434627379069546E-2</v>
      </c>
      <c r="Q198" s="334">
        <f t="shared" si="68"/>
        <v>10.160700064058059</v>
      </c>
      <c r="R198" s="335">
        <f t="shared" si="69"/>
        <v>-92.978385422128738</v>
      </c>
      <c r="S198" s="337">
        <f t="shared" si="70"/>
        <v>87.021614577871262</v>
      </c>
      <c r="U198" s="310">
        <f t="shared" si="76"/>
        <v>1000000000</v>
      </c>
      <c r="V198" s="310">
        <f t="shared" si="77"/>
        <v>125888400</v>
      </c>
      <c r="X198" s="336">
        <f t="shared" si="71"/>
        <v>3.2392569883814386</v>
      </c>
      <c r="Y198" s="337">
        <f t="shared" si="72"/>
        <v>-20.468068236369334</v>
      </c>
      <c r="AA198" s="336">
        <f t="shared" si="73"/>
        <v>6.9214430756766205</v>
      </c>
      <c r="AB198" s="337">
        <f t="shared" si="74"/>
        <v>-72.510317185759433</v>
      </c>
      <c r="AD198">
        <f t="shared" si="78"/>
        <v>0</v>
      </c>
      <c r="AE198">
        <f t="shared" si="81"/>
        <v>0</v>
      </c>
    </row>
    <row r="199" spans="1:31" x14ac:dyDescent="0.25">
      <c r="A199" s="338">
        <v>11285.5</v>
      </c>
      <c r="B199" s="355">
        <f t="shared" si="75"/>
        <v>11.285500000000001</v>
      </c>
      <c r="C199" s="328">
        <f t="shared" si="54"/>
        <v>2.7230015084717709</v>
      </c>
      <c r="D199" s="329">
        <f t="shared" si="55"/>
        <v>1.1947544450221057</v>
      </c>
      <c r="E199" s="329">
        <f t="shared" si="56"/>
        <v>1.0000109510772708</v>
      </c>
      <c r="F199" s="330">
        <f t="shared" si="57"/>
        <v>4.6799524214066451E-3</v>
      </c>
      <c r="G199" s="329">
        <f t="shared" si="58"/>
        <v>1</v>
      </c>
      <c r="H199" s="330">
        <f t="shared" si="59"/>
        <v>0</v>
      </c>
      <c r="I199" s="328">
        <f t="shared" si="60"/>
        <v>24665.287243416089</v>
      </c>
      <c r="J199" s="331">
        <f t="shared" si="61"/>
        <v>1.5707557839870872</v>
      </c>
      <c r="K199" s="339">
        <f t="shared" si="82"/>
        <v>3.329787395200535</v>
      </c>
      <c r="L199" s="340">
        <f t="shared" si="83"/>
        <v>1.2657687550889991</v>
      </c>
      <c r="M199" s="328">
        <f t="shared" si="64"/>
        <v>1.0012953642179323</v>
      </c>
      <c r="N199" s="331">
        <f t="shared" si="65"/>
        <v>5.0871749621982584E-2</v>
      </c>
      <c r="O199" s="332">
        <f t="shared" si="66"/>
        <v>1.0004014368428553</v>
      </c>
      <c r="P199" s="333">
        <f t="shared" si="67"/>
        <v>7.7887222610655935E-2</v>
      </c>
      <c r="Q199" s="334">
        <f t="shared" si="68"/>
        <v>10.112240468882659</v>
      </c>
      <c r="R199" s="335">
        <f t="shared" si="69"/>
        <v>-93.038061083971698</v>
      </c>
      <c r="S199" s="337">
        <f t="shared" si="70"/>
        <v>86.961938916028302</v>
      </c>
      <c r="U199" s="310">
        <f t="shared" si="76"/>
        <v>1000000000</v>
      </c>
      <c r="V199" s="310">
        <f t="shared" si="77"/>
        <v>127362510.25</v>
      </c>
      <c r="X199" s="336">
        <f t="shared" si="71"/>
        <v>3.2345427848722608</v>
      </c>
      <c r="Y199" s="337">
        <f t="shared" si="72"/>
        <v>-20.389206135178828</v>
      </c>
      <c r="AA199" s="336">
        <f t="shared" si="73"/>
        <v>6.8776976840103989</v>
      </c>
      <c r="AB199" s="337">
        <f t="shared" si="74"/>
        <v>-72.648854948792888</v>
      </c>
      <c r="AD199">
        <f t="shared" si="78"/>
        <v>0</v>
      </c>
      <c r="AE199">
        <f t="shared" si="81"/>
        <v>0</v>
      </c>
    </row>
    <row r="200" spans="1:31" x14ac:dyDescent="0.25">
      <c r="A200" s="338">
        <v>11351</v>
      </c>
      <c r="B200" s="355">
        <f t="shared" si="75"/>
        <v>11.351000000000001</v>
      </c>
      <c r="C200" s="328">
        <f t="shared" si="54"/>
        <v>2.7366794446569056</v>
      </c>
      <c r="D200" s="329">
        <f t="shared" si="55"/>
        <v>1.1967270421631349</v>
      </c>
      <c r="E200" s="329">
        <f t="shared" si="56"/>
        <v>1.0000110785635381</v>
      </c>
      <c r="F200" s="330">
        <f t="shared" si="57"/>
        <v>4.7071140330980409E-3</v>
      </c>
      <c r="G200" s="329">
        <f t="shared" si="58"/>
        <v>1</v>
      </c>
      <c r="H200" s="330">
        <f t="shared" si="59"/>
        <v>0</v>
      </c>
      <c r="I200" s="328">
        <f t="shared" si="60"/>
        <v>24808.442292974894</v>
      </c>
      <c r="J200" s="331">
        <f t="shared" si="61"/>
        <v>1.5707560179359823</v>
      </c>
      <c r="K200" s="339">
        <f t="shared" si="82"/>
        <v>3.3473747251001083</v>
      </c>
      <c r="L200" s="340">
        <f t="shared" si="83"/>
        <v>1.2674225866929731</v>
      </c>
      <c r="M200" s="328">
        <f t="shared" si="64"/>
        <v>1.0013104343335522</v>
      </c>
      <c r="N200" s="331">
        <f t="shared" si="65"/>
        <v>5.1166490991203378E-2</v>
      </c>
      <c r="O200" s="332">
        <f t="shared" si="66"/>
        <v>1.0004061499804127</v>
      </c>
      <c r="P200" s="333">
        <f t="shared" si="67"/>
        <v>7.8339827378966914E-2</v>
      </c>
      <c r="Q200" s="334">
        <f t="shared" si="68"/>
        <v>10.064039143735904</v>
      </c>
      <c r="R200" s="335">
        <f t="shared" si="69"/>
        <v>-93.097601942052833</v>
      </c>
      <c r="S200" s="337">
        <f t="shared" si="70"/>
        <v>86.902398057947167</v>
      </c>
      <c r="U200" s="310">
        <f t="shared" si="76"/>
        <v>1000000000</v>
      </c>
      <c r="V200" s="310">
        <f t="shared" si="77"/>
        <v>128845201</v>
      </c>
      <c r="X200" s="336">
        <f t="shared" si="71"/>
        <v>3.2299022390043364</v>
      </c>
      <c r="Y200" s="337">
        <f t="shared" si="72"/>
        <v>-20.311349404945364</v>
      </c>
      <c r="AA200" s="336">
        <f t="shared" si="73"/>
        <v>6.8341369047315652</v>
      </c>
      <c r="AB200" s="337">
        <f t="shared" si="74"/>
        <v>-72.786252537107444</v>
      </c>
      <c r="AD200">
        <f t="shared" si="78"/>
        <v>0</v>
      </c>
      <c r="AE200">
        <f t="shared" si="81"/>
        <v>0</v>
      </c>
    </row>
    <row r="201" spans="1:31" x14ac:dyDescent="0.25">
      <c r="A201" s="338">
        <v>11416.5</v>
      </c>
      <c r="B201" s="355">
        <f t="shared" si="75"/>
        <v>11.416499999999999</v>
      </c>
      <c r="C201" s="328">
        <f t="shared" si="54"/>
        <v>2.7503679237037031</v>
      </c>
      <c r="D201" s="329">
        <f t="shared" si="55"/>
        <v>1.1986800117550795</v>
      </c>
      <c r="E201" s="329">
        <f t="shared" si="56"/>
        <v>1.0000112067875666</v>
      </c>
      <c r="F201" s="330">
        <f t="shared" si="57"/>
        <v>4.7342756378440098E-3</v>
      </c>
      <c r="G201" s="329">
        <f t="shared" si="58"/>
        <v>1</v>
      </c>
      <c r="H201" s="330">
        <f t="shared" si="59"/>
        <v>0</v>
      </c>
      <c r="I201" s="328">
        <f t="shared" si="60"/>
        <v>24951.597342535038</v>
      </c>
      <c r="J201" s="331">
        <f t="shared" si="61"/>
        <v>1.5707562492004028</v>
      </c>
      <c r="K201" s="339">
        <f t="shared" si="82"/>
        <v>3.3649711148819965</v>
      </c>
      <c r="L201" s="340">
        <f t="shared" si="83"/>
        <v>1.2690591260237625</v>
      </c>
      <c r="M201" s="328">
        <f t="shared" si="64"/>
        <v>1.0013255914328647</v>
      </c>
      <c r="N201" s="331">
        <f t="shared" si="65"/>
        <v>5.1461223463007529E-2</v>
      </c>
      <c r="O201" s="332">
        <f t="shared" si="66"/>
        <v>1.0004108913172574</v>
      </c>
      <c r="P201" s="333">
        <f t="shared" si="67"/>
        <v>7.8792441738320701E-2</v>
      </c>
      <c r="Q201" s="334">
        <f t="shared" si="68"/>
        <v>10.016093341031823</v>
      </c>
      <c r="R201" s="335">
        <f t="shared" si="69"/>
        <v>-93.157008885011436</v>
      </c>
      <c r="S201" s="337">
        <f t="shared" si="70"/>
        <v>86.842991114988564</v>
      </c>
      <c r="U201" s="310">
        <f t="shared" si="76"/>
        <v>1000000000</v>
      </c>
      <c r="V201" s="310">
        <f t="shared" si="77"/>
        <v>130336472.25</v>
      </c>
      <c r="X201" s="336">
        <f t="shared" si="71"/>
        <v>3.2253337724487685</v>
      </c>
      <c r="Y201" s="337">
        <f t="shared" si="72"/>
        <v>-20.234482785391233</v>
      </c>
      <c r="AA201" s="336">
        <f t="shared" si="73"/>
        <v>6.7907595685830549</v>
      </c>
      <c r="AB201" s="337">
        <f t="shared" si="74"/>
        <v>-72.922526099620242</v>
      </c>
      <c r="AD201">
        <f t="shared" si="78"/>
        <v>0</v>
      </c>
      <c r="AE201">
        <f t="shared" si="81"/>
        <v>0</v>
      </c>
    </row>
    <row r="202" spans="1:31" x14ac:dyDescent="0.25">
      <c r="A202" s="338">
        <v>11482</v>
      </c>
      <c r="B202" s="355">
        <f t="shared" si="75"/>
        <v>11.481999999999999</v>
      </c>
      <c r="C202" s="328">
        <f t="shared" si="54"/>
        <v>2.7640667889780275</v>
      </c>
      <c r="D202" s="329">
        <f t="shared" si="55"/>
        <v>1.2006136306143029</v>
      </c>
      <c r="E202" s="329">
        <f t="shared" si="56"/>
        <v>1.0000113357493559</v>
      </c>
      <c r="F202" s="330">
        <f t="shared" si="57"/>
        <v>4.7614372356044781E-3</v>
      </c>
      <c r="G202" s="329">
        <f t="shared" si="58"/>
        <v>1</v>
      </c>
      <c r="H202" s="330">
        <f t="shared" si="59"/>
        <v>0</v>
      </c>
      <c r="I202" s="328">
        <f t="shared" si="60"/>
        <v>25094.752392096503</v>
      </c>
      <c r="J202" s="331">
        <f t="shared" si="61"/>
        <v>1.5707564778262899</v>
      </c>
      <c r="K202" s="339">
        <f t="shared" si="82"/>
        <v>3.3825764231558528</v>
      </c>
      <c r="L202" s="340">
        <f t="shared" si="83"/>
        <v>1.2706786342496181</v>
      </c>
      <c r="M202" s="328">
        <f t="shared" si="64"/>
        <v>1.00134083551192</v>
      </c>
      <c r="N202" s="331">
        <f t="shared" si="65"/>
        <v>5.1755946986595074E-2</v>
      </c>
      <c r="O202" s="332">
        <f t="shared" si="66"/>
        <v>1.0004156608693684</v>
      </c>
      <c r="P202" s="333">
        <f t="shared" si="67"/>
        <v>7.9245065743017623E-2</v>
      </c>
      <c r="Q202" s="334">
        <f t="shared" si="68"/>
        <v>9.9684003574381492</v>
      </c>
      <c r="R202" s="335">
        <f t="shared" si="69"/>
        <v>-93.216282812253468</v>
      </c>
      <c r="S202" s="337">
        <f t="shared" si="70"/>
        <v>86.783717187746532</v>
      </c>
      <c r="U202" s="310">
        <f t="shared" si="76"/>
        <v>1000000000</v>
      </c>
      <c r="V202" s="310">
        <f t="shared" si="77"/>
        <v>131836324</v>
      </c>
      <c r="X202" s="336">
        <f t="shared" si="71"/>
        <v>3.2208358479039205</v>
      </c>
      <c r="Y202" s="337">
        <f t="shared" si="72"/>
        <v>-20.158591312399473</v>
      </c>
      <c r="AA202" s="336">
        <f t="shared" si="73"/>
        <v>6.7475645095342323</v>
      </c>
      <c r="AB202" s="337">
        <f t="shared" si="74"/>
        <v>-73.05769149985403</v>
      </c>
      <c r="AD202">
        <f t="shared" si="78"/>
        <v>0</v>
      </c>
      <c r="AE202">
        <f t="shared" si="81"/>
        <v>0</v>
      </c>
    </row>
    <row r="203" spans="1:31" x14ac:dyDescent="0.25">
      <c r="A203" s="338">
        <v>11548.75</v>
      </c>
      <c r="B203" s="355">
        <f t="shared" si="75"/>
        <v>11.54875</v>
      </c>
      <c r="C203" s="328">
        <f t="shared" si="54"/>
        <v>2.7780376093335457</v>
      </c>
      <c r="D203" s="329">
        <f t="shared" si="55"/>
        <v>1.2025645239338405</v>
      </c>
      <c r="E203" s="329">
        <f t="shared" si="56"/>
        <v>1.0000114679312622</v>
      </c>
      <c r="F203" s="330">
        <f t="shared" si="57"/>
        <v>4.7891171772390167E-3</v>
      </c>
      <c r="G203" s="329">
        <f t="shared" si="58"/>
        <v>1</v>
      </c>
      <c r="H203" s="330">
        <f t="shared" si="59"/>
        <v>0</v>
      </c>
      <c r="I203" s="328">
        <f t="shared" si="60"/>
        <v>25240.639408253985</v>
      </c>
      <c r="J203" s="331">
        <f t="shared" si="61"/>
        <v>1.5707567081472036</v>
      </c>
      <c r="K203" s="339">
        <f t="shared" si="82"/>
        <v>3.4005267425949888</v>
      </c>
      <c r="L203" s="340">
        <f t="shared" si="83"/>
        <v>1.2723117925310456</v>
      </c>
      <c r="M203" s="328">
        <f t="shared" si="64"/>
        <v>1.0013564599898612</v>
      </c>
      <c r="N203" s="331">
        <f t="shared" si="65"/>
        <v>5.2056285746324024E-2</v>
      </c>
      <c r="O203" s="332">
        <f t="shared" si="66"/>
        <v>1.0004205504881991</v>
      </c>
      <c r="P203" s="333">
        <f t="shared" si="67"/>
        <v>7.9706337589807483E-2</v>
      </c>
      <c r="Q203" s="334">
        <f t="shared" si="68"/>
        <v>9.9200545508425435</v>
      </c>
      <c r="R203" s="335">
        <f t="shared" si="69"/>
        <v>-93.276552014978876</v>
      </c>
      <c r="S203" s="337">
        <f t="shared" si="70"/>
        <v>86.723447985021124</v>
      </c>
      <c r="U203" s="310">
        <f t="shared" si="76"/>
        <v>1000000000</v>
      </c>
      <c r="V203" s="310">
        <f t="shared" si="77"/>
        <v>133373626.5625</v>
      </c>
      <c r="X203" s="336">
        <f t="shared" si="71"/>
        <v>3.2163231090142315</v>
      </c>
      <c r="Y203" s="337">
        <f t="shared" si="72"/>
        <v>-20.082239575282539</v>
      </c>
      <c r="AA203" s="336">
        <f t="shared" si="73"/>
        <v>6.7037314418283112</v>
      </c>
      <c r="AB203" s="337">
        <f t="shared" si="74"/>
        <v>-73.194312439696347</v>
      </c>
      <c r="AD203">
        <f t="shared" si="78"/>
        <v>0</v>
      </c>
      <c r="AE203">
        <f t="shared" si="81"/>
        <v>0</v>
      </c>
    </row>
    <row r="204" spans="1:31" x14ac:dyDescent="0.25">
      <c r="A204" s="338">
        <v>11615.5</v>
      </c>
      <c r="B204" s="355">
        <f t="shared" si="75"/>
        <v>11.615500000000001</v>
      </c>
      <c r="C204" s="328">
        <f t="shared" si="54"/>
        <v>2.792018897021562</v>
      </c>
      <c r="D204" s="329">
        <f t="shared" si="55"/>
        <v>1.204495885992664</v>
      </c>
      <c r="E204" s="329">
        <f t="shared" si="56"/>
        <v>1.000011600879356</v>
      </c>
      <c r="F204" s="330">
        <f t="shared" si="57"/>
        <v>4.8167971115348563E-3</v>
      </c>
      <c r="G204" s="329">
        <f t="shared" si="58"/>
        <v>1</v>
      </c>
      <c r="H204" s="330">
        <f t="shared" si="59"/>
        <v>0</v>
      </c>
      <c r="I204" s="328">
        <f t="shared" si="60"/>
        <v>25386.526424412787</v>
      </c>
      <c r="J204" s="331">
        <f t="shared" si="61"/>
        <v>1.5707569358209783</v>
      </c>
      <c r="K204" s="339">
        <f t="shared" si="82"/>
        <v>3.418486036673992</v>
      </c>
      <c r="L204" s="340">
        <f t="shared" si="83"/>
        <v>1.2739277952256456</v>
      </c>
      <c r="M204" s="328">
        <f t="shared" si="64"/>
        <v>1.0013721747907072</v>
      </c>
      <c r="N204" s="331">
        <f t="shared" si="65"/>
        <v>5.2356615106550333E-2</v>
      </c>
      <c r="O204" s="332">
        <f t="shared" si="66"/>
        <v>1.0004254694432875</v>
      </c>
      <c r="P204" s="333">
        <f t="shared" si="67"/>
        <v>8.0167619567400331E-2</v>
      </c>
      <c r="Q204" s="334">
        <f t="shared" si="68"/>
        <v>9.8719657725058578</v>
      </c>
      <c r="R204" s="335">
        <f t="shared" si="69"/>
        <v>-93.336684992267905</v>
      </c>
      <c r="S204" s="337">
        <f t="shared" si="70"/>
        <v>86.663315007732095</v>
      </c>
      <c r="U204" s="310">
        <f t="shared" si="76"/>
        <v>1000000000</v>
      </c>
      <c r="V204" s="310">
        <f t="shared" si="77"/>
        <v>134919840.25</v>
      </c>
      <c r="X204" s="336">
        <f t="shared" si="71"/>
        <v>3.2118805314440246</v>
      </c>
      <c r="Y204" s="337">
        <f t="shared" si="72"/>
        <v>-20.006870090665306</v>
      </c>
      <c r="AA204" s="336">
        <f t="shared" si="73"/>
        <v>6.6600852410618341</v>
      </c>
      <c r="AB204" s="337">
        <f t="shared" si="74"/>
        <v>-73.329814901602617</v>
      </c>
      <c r="AD204">
        <f t="shared" si="78"/>
        <v>0</v>
      </c>
      <c r="AE204">
        <f t="shared" si="81"/>
        <v>0</v>
      </c>
    </row>
    <row r="205" spans="1:31" x14ac:dyDescent="0.25">
      <c r="A205" s="338">
        <v>11682.25</v>
      </c>
      <c r="B205" s="355">
        <f t="shared" si="75"/>
        <v>11.68225</v>
      </c>
      <c r="C205" s="328">
        <f t="shared" ref="C205:C268" si="84">SQRT(1+(A205/pole1)^2)</f>
        <v>2.8060104955778193</v>
      </c>
      <c r="D205" s="329">
        <f t="shared" ref="D205:D268" si="85">ATAN(A205/pole1)</f>
        <v>1.2064079944394905</v>
      </c>
      <c r="E205" s="329">
        <f t="shared" ref="E205:E268" si="86">SQRT(1+(A205/Zero1)^2)</f>
        <v>1.0000117345936375</v>
      </c>
      <c r="F205" s="330">
        <f t="shared" ref="F205:F268" si="87">ATAN(A205/Zero1)</f>
        <v>4.8444770384495862E-3</v>
      </c>
      <c r="G205" s="329">
        <f t="shared" ref="G205:G268" si="88">IF(VIN_nom&gt;Vout, 1, SQRT(1+(A205/z_RHP)^2))</f>
        <v>1</v>
      </c>
      <c r="H205" s="330">
        <f t="shared" ref="H205:H268" si="89">IF(VIN_nom&gt;Vout, 0, -ATAN(A205/z_RHP))</f>
        <v>0</v>
      </c>
      <c r="I205" s="328">
        <f t="shared" ref="I205:I268" si="90">SQRT(1+(A205/Pole2)^2)</f>
        <v>25532.413440572891</v>
      </c>
      <c r="J205" s="331">
        <f t="shared" ref="J205:J268" si="91">ATAN(A205/Pole2)</f>
        <v>1.5707571608929898</v>
      </c>
      <c r="K205" s="339">
        <f t="shared" si="82"/>
        <v>3.4364541646854461</v>
      </c>
      <c r="L205" s="340">
        <f t="shared" si="83"/>
        <v>1.2755269029296896</v>
      </c>
      <c r="M205" s="328">
        <f t="shared" ref="M205:M268" si="92">SQRT(1+(A205/pole4)^2)</f>
        <v>1.001387979910205</v>
      </c>
      <c r="N205" s="331">
        <f t="shared" ref="N205:N268" si="93">ATAN(A205/pole4)</f>
        <v>5.2656935013539748E-2</v>
      </c>
      <c r="O205" s="332">
        <f t="shared" ref="O205:O268" si="94">SQRT((1-(V205/pterm2))^2+(A205/pterm1)^2)</f>
        <v>1.0004304177518388</v>
      </c>
      <c r="P205" s="333">
        <f t="shared" ref="P205:P268" si="95">IF((ATAN((A205/pterm1)/(1-A205^2/pterm2))&gt;0),ATAN((A205/pterm1)/(1-A205^2/pterm2)),PI()+ATAN((A205/pterm1)/(1-A205^2/pterm2)))</f>
        <v>8.0628911733206729E-2</v>
      </c>
      <c r="Q205" s="334">
        <f t="shared" ref="Q205:Q268" si="96">20*LOG10(((E205*K205*G205)/(C205*I205*O205*M205))*Adc)</f>
        <v>9.8241312969483339</v>
      </c>
      <c r="R205" s="335">
        <f t="shared" ref="R205:R268" si="97">((F205+L205+H205)-(D205+J205+P205+N205))*radconv</f>
        <v>-93.396682723966691</v>
      </c>
      <c r="S205" s="337">
        <f t="shared" ref="S205:S268" si="98">IF(R205&gt;0,R205,R205+180)</f>
        <v>86.603317276033309</v>
      </c>
      <c r="U205" s="310">
        <f t="shared" si="76"/>
        <v>1000000000</v>
      </c>
      <c r="V205" s="310">
        <f t="shared" si="77"/>
        <v>136474965.0625</v>
      </c>
      <c r="X205" s="336">
        <f t="shared" ref="X205:X268" si="99">20*LOG10((K205/(I205*M205))*AEA*Afb)</f>
        <v>3.2075066117783297</v>
      </c>
      <c r="Y205" s="337">
        <f t="shared" ref="Y205:Y268" si="100">(L205-(J205+N205))*radconv</f>
        <v>-19.932467927002303</v>
      </c>
      <c r="AA205" s="336">
        <f t="shared" ref="AA205:AA268" si="101">20*LOG10((E205*G205/(C205*O205))*Am)</f>
        <v>6.6166246851700015</v>
      </c>
      <c r="AB205" s="337">
        <f t="shared" ref="AB205:AB268" si="102">(F205+H205-(D205+P205))*radconv</f>
        <v>-73.464214796964384</v>
      </c>
      <c r="AD205">
        <f t="shared" si="78"/>
        <v>0</v>
      </c>
      <c r="AE205">
        <f t="shared" si="81"/>
        <v>0</v>
      </c>
    </row>
    <row r="206" spans="1:31" x14ac:dyDescent="0.25">
      <c r="A206" s="338">
        <v>11749</v>
      </c>
      <c r="B206" s="355">
        <f t="shared" ref="B206:B269" si="103">A206/1000</f>
        <v>11.749000000000001</v>
      </c>
      <c r="C206" s="328">
        <f t="shared" si="84"/>
        <v>2.8200122515290218</v>
      </c>
      <c r="D206" s="329">
        <f t="shared" si="85"/>
        <v>1.2083011219780442</v>
      </c>
      <c r="E206" s="329">
        <f t="shared" si="86"/>
        <v>1.000011869074106</v>
      </c>
      <c r="F206" s="330">
        <f t="shared" si="87"/>
        <v>4.8721569579407925E-3</v>
      </c>
      <c r="G206" s="329">
        <f t="shared" si="88"/>
        <v>1</v>
      </c>
      <c r="H206" s="330">
        <f t="shared" si="89"/>
        <v>0</v>
      </c>
      <c r="I206" s="328">
        <f t="shared" si="90"/>
        <v>25678.300456734283</v>
      </c>
      <c r="J206" s="331">
        <f t="shared" si="91"/>
        <v>1.5707573834075825</v>
      </c>
      <c r="K206" s="339">
        <f t="shared" si="82"/>
        <v>3.4544309887809832</v>
      </c>
      <c r="L206" s="340">
        <f t="shared" si="83"/>
        <v>1.2771093711645258</v>
      </c>
      <c r="M206" s="328">
        <f t="shared" si="92"/>
        <v>1.0014038753440784</v>
      </c>
      <c r="N206" s="331">
        <f t="shared" si="93"/>
        <v>5.2957245413568228E-2</v>
      </c>
      <c r="O206" s="332">
        <f t="shared" si="94"/>
        <v>1.0004353954311567</v>
      </c>
      <c r="P206" s="333">
        <f t="shared" si="95"/>
        <v>8.1090214144617534E-2</v>
      </c>
      <c r="Q206" s="334">
        <f t="shared" si="96"/>
        <v>9.7765484423077087</v>
      </c>
      <c r="R206" s="335">
        <f t="shared" si="97"/>
        <v>-93.456546197306082</v>
      </c>
      <c r="S206" s="337">
        <f t="shared" si="98"/>
        <v>86.543453802693918</v>
      </c>
      <c r="U206" s="310">
        <f t="shared" ref="U206:U269" si="104">IF(Q206&lt;0,A206,1000000000)</f>
        <v>1000000000</v>
      </c>
      <c r="V206" s="310">
        <f t="shared" ref="V206:V269" si="105">A206^2</f>
        <v>138039001</v>
      </c>
      <c r="X206" s="336">
        <f t="shared" si="99"/>
        <v>3.2031998856709061</v>
      </c>
      <c r="Y206" s="337">
        <f t="shared" si="100"/>
        <v>-19.859018443461309</v>
      </c>
      <c r="AA206" s="336">
        <f t="shared" si="101"/>
        <v>6.5733485566368035</v>
      </c>
      <c r="AB206" s="337">
        <f t="shared" si="102"/>
        <v>-73.597527753844759</v>
      </c>
      <c r="AD206">
        <f t="shared" ref="AD206:AD269" si="106">SUM((Q207&lt;0)*(Q206&gt;0))*A206</f>
        <v>0</v>
      </c>
      <c r="AE206">
        <f t="shared" si="81"/>
        <v>0</v>
      </c>
    </row>
    <row r="207" spans="1:31" x14ac:dyDescent="0.25">
      <c r="A207" s="338">
        <v>11817.5</v>
      </c>
      <c r="B207" s="355">
        <f t="shared" si="103"/>
        <v>11.817500000000001</v>
      </c>
      <c r="C207" s="328">
        <f t="shared" si="84"/>
        <v>2.8343914971777284</v>
      </c>
      <c r="D207" s="329">
        <f t="shared" si="85"/>
        <v>1.2102244290896849</v>
      </c>
      <c r="E207" s="329">
        <f t="shared" si="86"/>
        <v>1.0000120078768606</v>
      </c>
      <c r="F207" s="330">
        <f t="shared" si="87"/>
        <v>4.900562560442686E-3</v>
      </c>
      <c r="G207" s="329">
        <f t="shared" si="88"/>
        <v>1</v>
      </c>
      <c r="H207" s="330">
        <f t="shared" si="89"/>
        <v>0</v>
      </c>
      <c r="I207" s="328">
        <f t="shared" si="90"/>
        <v>25828.012226129667</v>
      </c>
      <c r="J207" s="331">
        <f t="shared" si="91"/>
        <v>1.5707576091424698</v>
      </c>
      <c r="K207" s="339">
        <f t="shared" si="82"/>
        <v>3.4728880148085066</v>
      </c>
      <c r="L207" s="340">
        <f t="shared" si="83"/>
        <v>1.2787162905293175</v>
      </c>
      <c r="M207" s="328">
        <f t="shared" si="92"/>
        <v>1.0014202814047655</v>
      </c>
      <c r="N207" s="331">
        <f t="shared" si="93"/>
        <v>5.3265419179534486E-2</v>
      </c>
      <c r="O207" s="332">
        <f t="shared" si="94"/>
        <v>1.0004405341655729</v>
      </c>
      <c r="P207" s="333">
        <f t="shared" si="95"/>
        <v>8.1563621338949954E-2</v>
      </c>
      <c r="Q207" s="334">
        <f t="shared" si="96"/>
        <v>9.7279769320971905</v>
      </c>
      <c r="R207" s="335">
        <f t="shared" si="97"/>
        <v>-93.517840582851562</v>
      </c>
      <c r="S207" s="337">
        <f t="shared" si="98"/>
        <v>86.482159417148438</v>
      </c>
      <c r="U207" s="310">
        <f t="shared" si="104"/>
        <v>1000000000</v>
      </c>
      <c r="V207" s="310">
        <f t="shared" si="105"/>
        <v>139653306.25</v>
      </c>
      <c r="X207" s="336">
        <f t="shared" si="99"/>
        <v>3.1988486124685931</v>
      </c>
      <c r="Y207" s="337">
        <f t="shared" si="100"/>
        <v>-19.784618735558738</v>
      </c>
      <c r="AA207" s="336">
        <f t="shared" si="101"/>
        <v>6.5291283196285965</v>
      </c>
      <c r="AB207" s="337">
        <f t="shared" si="102"/>
        <v>-73.733221847292825</v>
      </c>
      <c r="AD207">
        <f t="shared" si="106"/>
        <v>0</v>
      </c>
      <c r="AE207">
        <f t="shared" si="81"/>
        <v>0</v>
      </c>
    </row>
    <row r="208" spans="1:31" x14ac:dyDescent="0.25">
      <c r="A208" s="338">
        <v>11886</v>
      </c>
      <c r="B208" s="355">
        <f t="shared" si="103"/>
        <v>11.885999999999999</v>
      </c>
      <c r="C208" s="328">
        <f t="shared" si="84"/>
        <v>2.8487811216870869</v>
      </c>
      <c r="D208" s="329">
        <f t="shared" si="85"/>
        <v>1.2121283133543599</v>
      </c>
      <c r="E208" s="329">
        <f t="shared" si="86"/>
        <v>1.0000121474865034</v>
      </c>
      <c r="F208" s="330">
        <f t="shared" si="87"/>
        <v>4.9289681550362041E-3</v>
      </c>
      <c r="G208" s="329">
        <f t="shared" si="88"/>
        <v>1</v>
      </c>
      <c r="H208" s="330">
        <f t="shared" si="89"/>
        <v>0</v>
      </c>
      <c r="I208" s="328">
        <f t="shared" si="90"/>
        <v>25977.723995526354</v>
      </c>
      <c r="J208" s="331">
        <f t="shared" si="91"/>
        <v>1.5707578322754991</v>
      </c>
      <c r="K208" s="339">
        <f t="shared" si="82"/>
        <v>3.4913539136638256</v>
      </c>
      <c r="L208" s="340">
        <f t="shared" si="83"/>
        <v>1.2803062158526204</v>
      </c>
      <c r="M208" s="328">
        <f t="shared" si="92"/>
        <v>1.0014367825682871</v>
      </c>
      <c r="N208" s="331">
        <f t="shared" si="93"/>
        <v>5.3573582818906923E-2</v>
      </c>
      <c r="O208" s="332">
        <f t="shared" si="94"/>
        <v>1.0004457038682271</v>
      </c>
      <c r="P208" s="333">
        <f t="shared" si="95"/>
        <v>8.2037039445550783E-2</v>
      </c>
      <c r="Q208" s="334">
        <f t="shared" si="96"/>
        <v>9.6796648235358074</v>
      </c>
      <c r="R208" s="335">
        <f t="shared" si="97"/>
        <v>-93.578995704487284</v>
      </c>
      <c r="S208" s="337">
        <f t="shared" si="98"/>
        <v>86.421004295512716</v>
      </c>
      <c r="U208" s="310">
        <f t="shared" si="104"/>
        <v>1000000000</v>
      </c>
      <c r="V208" s="310">
        <f t="shared" si="105"/>
        <v>141276996</v>
      </c>
      <c r="X208" s="336">
        <f t="shared" si="99"/>
        <v>3.1945650987440892</v>
      </c>
      <c r="Y208" s="337">
        <f t="shared" si="100"/>
        <v>-19.711191985224893</v>
      </c>
      <c r="AA208" s="336">
        <f t="shared" si="101"/>
        <v>6.4850997247917199</v>
      </c>
      <c r="AB208" s="337">
        <f t="shared" si="102"/>
        <v>-73.867803719262383</v>
      </c>
      <c r="AD208">
        <f t="shared" si="106"/>
        <v>0</v>
      </c>
      <c r="AE208">
        <f t="shared" si="81"/>
        <v>0</v>
      </c>
    </row>
    <row r="209" spans="1:31" x14ac:dyDescent="0.25">
      <c r="A209" s="338">
        <v>11954.5</v>
      </c>
      <c r="B209" s="355">
        <f t="shared" si="103"/>
        <v>11.954499999999999</v>
      </c>
      <c r="C209" s="328">
        <f t="shared" si="84"/>
        <v>2.8631809685725034</v>
      </c>
      <c r="D209" s="329">
        <f t="shared" si="85"/>
        <v>1.214013053915787</v>
      </c>
      <c r="E209" s="329">
        <f t="shared" si="86"/>
        <v>1.0000122879030331</v>
      </c>
      <c r="F209" s="330">
        <f t="shared" si="87"/>
        <v>4.9573737416755102E-3</v>
      </c>
      <c r="G209" s="329">
        <f t="shared" si="88"/>
        <v>1</v>
      </c>
      <c r="H209" s="330">
        <f t="shared" si="89"/>
        <v>0</v>
      </c>
      <c r="I209" s="328">
        <f t="shared" si="90"/>
        <v>26127.435764924325</v>
      </c>
      <c r="J209" s="331">
        <f t="shared" si="91"/>
        <v>1.5707580528513976</v>
      </c>
      <c r="K209" s="339">
        <f t="shared" si="82"/>
        <v>3.5098285453018625</v>
      </c>
      <c r="L209" s="340">
        <f t="shared" si="83"/>
        <v>1.2818794073859845</v>
      </c>
      <c r="M209" s="328">
        <f t="shared" si="92"/>
        <v>1.0014533788299418</v>
      </c>
      <c r="N209" s="331">
        <f t="shared" si="93"/>
        <v>5.3881736273658165E-2</v>
      </c>
      <c r="O209" s="332">
        <f t="shared" si="94"/>
        <v>1.0004509045581438</v>
      </c>
      <c r="P209" s="333">
        <f t="shared" si="95"/>
        <v>8.2510468526378306E-2</v>
      </c>
      <c r="Q209" s="334">
        <f t="shared" si="96"/>
        <v>9.6316093552485285</v>
      </c>
      <c r="R209" s="335">
        <f t="shared" si="97"/>
        <v>-93.640012647445218</v>
      </c>
      <c r="S209" s="337">
        <f t="shared" si="98"/>
        <v>86.359987352554782</v>
      </c>
      <c r="U209" s="310">
        <f t="shared" si="104"/>
        <v>1000000000</v>
      </c>
      <c r="V209" s="310">
        <f t="shared" si="105"/>
        <v>142910070.25</v>
      </c>
      <c r="X209" s="336">
        <f t="shared" si="99"/>
        <v>3.190347882511912</v>
      </c>
      <c r="Y209" s="337">
        <f t="shared" si="100"/>
        <v>-19.638723280382262</v>
      </c>
      <c r="AA209" s="336">
        <f t="shared" si="101"/>
        <v>6.441261472736616</v>
      </c>
      <c r="AB209" s="337">
        <f t="shared" si="102"/>
        <v>-74.001289367062952</v>
      </c>
      <c r="AD209">
        <f t="shared" si="106"/>
        <v>0</v>
      </c>
      <c r="AE209">
        <f t="shared" si="81"/>
        <v>0</v>
      </c>
    </row>
    <row r="210" spans="1:31" x14ac:dyDescent="0.25">
      <c r="A210" s="338">
        <v>12023</v>
      </c>
      <c r="B210" s="355">
        <f t="shared" si="103"/>
        <v>12.023</v>
      </c>
      <c r="C210" s="328">
        <f t="shared" si="84"/>
        <v>2.8775908843716005</v>
      </c>
      <c r="D210" s="329">
        <f t="shared" si="85"/>
        <v>1.2158789248762836</v>
      </c>
      <c r="E210" s="329">
        <f t="shared" si="86"/>
        <v>1.0000124291264501</v>
      </c>
      <c r="F210" s="330">
        <f t="shared" si="87"/>
        <v>4.985779320314767E-3</v>
      </c>
      <c r="G210" s="329">
        <f t="shared" si="88"/>
        <v>1</v>
      </c>
      <c r="H210" s="330">
        <f t="shared" si="89"/>
        <v>0</v>
      </c>
      <c r="I210" s="328">
        <f t="shared" si="90"/>
        <v>26277.147534323547</v>
      </c>
      <c r="J210" s="331">
        <f t="shared" si="91"/>
        <v>1.5707582709138717</v>
      </c>
      <c r="K210" s="339">
        <f t="shared" si="82"/>
        <v>3.5283117725451634</v>
      </c>
      <c r="L210" s="340">
        <f t="shared" si="83"/>
        <v>1.2834361202627993</v>
      </c>
      <c r="M210" s="328">
        <f t="shared" si="92"/>
        <v>1.0014700701850017</v>
      </c>
      <c r="N210" s="331">
        <f t="shared" si="93"/>
        <v>5.4189879485772377E-2</v>
      </c>
      <c r="O210" s="332">
        <f t="shared" si="94"/>
        <v>1.000456136254458</v>
      </c>
      <c r="P210" s="333">
        <f t="shared" si="95"/>
        <v>8.2983908643368284E-2</v>
      </c>
      <c r="Q210" s="334">
        <f t="shared" si="96"/>
        <v>9.583807810092825</v>
      </c>
      <c r="R210" s="335">
        <f t="shared" si="97"/>
        <v>-93.700892501296337</v>
      </c>
      <c r="S210" s="337">
        <f t="shared" si="98"/>
        <v>86.299107498703663</v>
      </c>
      <c r="U210" s="310">
        <f t="shared" si="104"/>
        <v>1000000000</v>
      </c>
      <c r="V210" s="310">
        <f t="shared" si="105"/>
        <v>144552529</v>
      </c>
      <c r="X210" s="336">
        <f t="shared" si="99"/>
        <v>3.1861955400250159</v>
      </c>
      <c r="Y210" s="337">
        <f t="shared" si="100"/>
        <v>-19.567198002144568</v>
      </c>
      <c r="AA210" s="336">
        <f t="shared" si="101"/>
        <v>6.3976122700678122</v>
      </c>
      <c r="AB210" s="337">
        <f t="shared" si="102"/>
        <v>-74.133694499151787</v>
      </c>
      <c r="AD210">
        <f t="shared" si="106"/>
        <v>0</v>
      </c>
      <c r="AE210">
        <f t="shared" si="81"/>
        <v>0</v>
      </c>
    </row>
    <row r="211" spans="1:31" x14ac:dyDescent="0.25">
      <c r="A211" s="338">
        <v>12093</v>
      </c>
      <c r="B211" s="355">
        <f t="shared" si="103"/>
        <v>12.093</v>
      </c>
      <c r="C211" s="328">
        <f t="shared" si="84"/>
        <v>2.892326591222333</v>
      </c>
      <c r="D211" s="329">
        <f t="shared" si="85"/>
        <v>1.2177664404701907</v>
      </c>
      <c r="E211" s="329">
        <f t="shared" si="86"/>
        <v>1.0000125742759343</v>
      </c>
      <c r="F211" s="330">
        <f t="shared" si="87"/>
        <v>5.0148069106117858E-3</v>
      </c>
      <c r="G211" s="329">
        <f t="shared" si="88"/>
        <v>1</v>
      </c>
      <c r="H211" s="330">
        <f t="shared" si="89"/>
        <v>0</v>
      </c>
      <c r="I211" s="328">
        <f t="shared" si="90"/>
        <v>26430.137663637899</v>
      </c>
      <c r="J211" s="331">
        <f t="shared" si="91"/>
        <v>1.5707584911992987</v>
      </c>
      <c r="K211" s="339">
        <f t="shared" si="82"/>
        <v>3.5472084821693066</v>
      </c>
      <c r="L211" s="340">
        <f t="shared" si="83"/>
        <v>1.2850101581359046</v>
      </c>
      <c r="M211" s="328">
        <f t="shared" si="92"/>
        <v>1.0014872252789497</v>
      </c>
      <c r="N211" s="331">
        <f t="shared" si="93"/>
        <v>5.4504759717575332E-2</v>
      </c>
      <c r="O211" s="332">
        <f t="shared" si="94"/>
        <v>1.0004615145657811</v>
      </c>
      <c r="P211" s="333">
        <f t="shared" si="95"/>
        <v>8.3467727527928734E-2</v>
      </c>
      <c r="Q211" s="334">
        <f t="shared" si="96"/>
        <v>9.5352190580507035</v>
      </c>
      <c r="R211" s="335">
        <f t="shared" si="97"/>
        <v>-93.762965003220842</v>
      </c>
      <c r="S211" s="337">
        <f t="shared" si="98"/>
        <v>86.237034996779158</v>
      </c>
      <c r="U211" s="310">
        <f t="shared" si="104"/>
        <v>1000000000</v>
      </c>
      <c r="V211" s="310">
        <f t="shared" si="105"/>
        <v>146240649</v>
      </c>
      <c r="X211" s="336">
        <f t="shared" si="99"/>
        <v>3.1820178477011667</v>
      </c>
      <c r="Y211" s="337">
        <f t="shared" si="100"/>
        <v>-19.495066204899128</v>
      </c>
      <c r="AA211" s="336">
        <f t="shared" si="101"/>
        <v>6.3532012103495337</v>
      </c>
      <c r="AB211" s="337">
        <f t="shared" si="102"/>
        <v>-74.267898798321724</v>
      </c>
      <c r="AD211">
        <f t="shared" si="106"/>
        <v>0</v>
      </c>
      <c r="AE211">
        <f t="shared" si="81"/>
        <v>0</v>
      </c>
    </row>
    <row r="212" spans="1:31" x14ac:dyDescent="0.25">
      <c r="A212" s="338">
        <v>12163</v>
      </c>
      <c r="B212" s="355">
        <f t="shared" si="103"/>
        <v>12.163</v>
      </c>
      <c r="C212" s="328">
        <f t="shared" si="84"/>
        <v>2.9070724981217917</v>
      </c>
      <c r="D212" s="329">
        <f t="shared" si="85"/>
        <v>1.219634814102277</v>
      </c>
      <c r="E212" s="329">
        <f t="shared" si="86"/>
        <v>1.00001272026803</v>
      </c>
      <c r="F212" s="330">
        <f t="shared" si="87"/>
        <v>5.0438344924577739E-3</v>
      </c>
      <c r="G212" s="329">
        <f t="shared" si="88"/>
        <v>1</v>
      </c>
      <c r="H212" s="330">
        <f t="shared" si="89"/>
        <v>0</v>
      </c>
      <c r="I212" s="328">
        <f t="shared" si="90"/>
        <v>26583.127792953514</v>
      </c>
      <c r="J212" s="331">
        <f t="shared" si="91"/>
        <v>1.5707587089491704</v>
      </c>
      <c r="K212" s="339">
        <f t="shared" si="82"/>
        <v>3.5661138871872384</v>
      </c>
      <c r="L212" s="340">
        <f t="shared" si="83"/>
        <v>1.286567510616907</v>
      </c>
      <c r="M212" s="328">
        <f t="shared" si="92"/>
        <v>1.0015044796665085</v>
      </c>
      <c r="N212" s="331">
        <f t="shared" si="93"/>
        <v>5.4819629130788756E-2</v>
      </c>
      <c r="O212" s="332">
        <f t="shared" si="94"/>
        <v>1.0004669252970648</v>
      </c>
      <c r="P212" s="333">
        <f t="shared" si="95"/>
        <v>8.3951558067979187E-2</v>
      </c>
      <c r="Q212" s="334">
        <f t="shared" si="96"/>
        <v>9.4868898717344159</v>
      </c>
      <c r="R212" s="335">
        <f t="shared" si="97"/>
        <v>-93.824896657226745</v>
      </c>
      <c r="S212" s="337">
        <f t="shared" si="98"/>
        <v>86.175103342773255</v>
      </c>
      <c r="U212" s="310">
        <f t="shared" si="104"/>
        <v>1000000000</v>
      </c>
      <c r="V212" s="310">
        <f t="shared" si="105"/>
        <v>147938569</v>
      </c>
      <c r="X212" s="336">
        <f t="shared" si="99"/>
        <v>3.1779050124234649</v>
      </c>
      <c r="Y212" s="337">
        <f t="shared" si="100"/>
        <v>-19.423889645065657</v>
      </c>
      <c r="AA212" s="336">
        <f t="shared" si="101"/>
        <v>6.308984859310951</v>
      </c>
      <c r="AB212" s="337">
        <f t="shared" si="102"/>
        <v>-74.401007012161088</v>
      </c>
      <c r="AD212">
        <f t="shared" si="106"/>
        <v>0</v>
      </c>
      <c r="AE212">
        <f t="shared" si="81"/>
        <v>0</v>
      </c>
    </row>
    <row r="213" spans="1:31" x14ac:dyDescent="0.25">
      <c r="A213" s="338">
        <v>12233</v>
      </c>
      <c r="B213" s="355">
        <f t="shared" si="103"/>
        <v>12.233000000000001</v>
      </c>
      <c r="C213" s="328">
        <f t="shared" si="84"/>
        <v>2.9218284506369212</v>
      </c>
      <c r="D213" s="329">
        <f t="shared" si="85"/>
        <v>1.2214843226434349</v>
      </c>
      <c r="E213" s="329">
        <f t="shared" si="86"/>
        <v>1.0000128671027364</v>
      </c>
      <c r="F213" s="330">
        <f t="shared" si="87"/>
        <v>5.072862065803819E-3</v>
      </c>
      <c r="G213" s="329">
        <f t="shared" si="88"/>
        <v>1</v>
      </c>
      <c r="H213" s="330">
        <f t="shared" si="89"/>
        <v>0</v>
      </c>
      <c r="I213" s="328">
        <f t="shared" si="90"/>
        <v>26736.117922270383</v>
      </c>
      <c r="J213" s="331">
        <f t="shared" si="91"/>
        <v>1.5707589242070139</v>
      </c>
      <c r="K213" s="339">
        <f t="shared" si="82"/>
        <v>3.5850278500352255</v>
      </c>
      <c r="L213" s="340">
        <f t="shared" si="83"/>
        <v>1.288108434178608</v>
      </c>
      <c r="M213" s="328">
        <f t="shared" si="92"/>
        <v>1.0015218333425455</v>
      </c>
      <c r="N213" s="331">
        <f t="shared" si="93"/>
        <v>5.51344876635394E-2</v>
      </c>
      <c r="O213" s="332">
        <f t="shared" si="94"/>
        <v>1.0004723684690822</v>
      </c>
      <c r="P213" s="333">
        <f t="shared" si="95"/>
        <v>8.4435400329540292E-2</v>
      </c>
      <c r="Q213" s="334">
        <f t="shared" si="96"/>
        <v>9.4388174884834442</v>
      </c>
      <c r="R213" s="335">
        <f t="shared" si="97"/>
        <v>-93.886688634772852</v>
      </c>
      <c r="S213" s="337">
        <f t="shared" si="98"/>
        <v>86.113311365227148</v>
      </c>
      <c r="U213" s="310">
        <f t="shared" si="104"/>
        <v>1000000000</v>
      </c>
      <c r="V213" s="310">
        <f t="shared" si="105"/>
        <v>149646289</v>
      </c>
      <c r="X213" s="336">
        <f t="shared" si="99"/>
        <v>3.173855631097477</v>
      </c>
      <c r="Y213" s="337">
        <f t="shared" si="100"/>
        <v>-19.353653626783899</v>
      </c>
      <c r="AA213" s="336">
        <f t="shared" si="101"/>
        <v>6.2649618573859689</v>
      </c>
      <c r="AB213" s="337">
        <f t="shared" si="102"/>
        <v>-74.533035007988957</v>
      </c>
      <c r="AD213">
        <f t="shared" si="106"/>
        <v>0</v>
      </c>
      <c r="AE213">
        <f t="shared" si="81"/>
        <v>0</v>
      </c>
    </row>
    <row r="214" spans="1:31" x14ac:dyDescent="0.25">
      <c r="A214" s="338">
        <v>12303</v>
      </c>
      <c r="B214" s="355">
        <f t="shared" si="103"/>
        <v>12.303000000000001</v>
      </c>
      <c r="C214" s="328">
        <f t="shared" si="84"/>
        <v>2.9365942973345205</v>
      </c>
      <c r="D214" s="329">
        <f t="shared" si="85"/>
        <v>1.2233152379178396</v>
      </c>
      <c r="E214" s="329">
        <f t="shared" si="86"/>
        <v>1.0000130147800537</v>
      </c>
      <c r="F214" s="330">
        <f t="shared" si="87"/>
        <v>5.1018896306010047E-3</v>
      </c>
      <c r="G214" s="329">
        <f t="shared" si="88"/>
        <v>1</v>
      </c>
      <c r="H214" s="330">
        <f t="shared" si="89"/>
        <v>0</v>
      </c>
      <c r="I214" s="328">
        <f t="shared" si="90"/>
        <v>26889.108051588475</v>
      </c>
      <c r="J214" s="331">
        <f t="shared" si="91"/>
        <v>1.5707591370153653</v>
      </c>
      <c r="K214" s="339">
        <f t="shared" si="82"/>
        <v>3.6039502359757161</v>
      </c>
      <c r="L214" s="340">
        <f t="shared" si="83"/>
        <v>1.2896331802231566</v>
      </c>
      <c r="M214" s="328">
        <f t="shared" si="92"/>
        <v>1.0015392863019006</v>
      </c>
      <c r="N214" s="331">
        <f t="shared" si="93"/>
        <v>5.5449335253966898E-2</v>
      </c>
      <c r="O214" s="332">
        <f t="shared" si="94"/>
        <v>1.000477844102726</v>
      </c>
      <c r="P214" s="333">
        <f t="shared" si="95"/>
        <v>8.4919254378607714E-2</v>
      </c>
      <c r="Q214" s="334">
        <f t="shared" si="96"/>
        <v>9.390999189761347</v>
      </c>
      <c r="R214" s="335">
        <f t="shared" si="97"/>
        <v>-93.948342108632033</v>
      </c>
      <c r="S214" s="337">
        <f t="shared" si="98"/>
        <v>86.051657891367967</v>
      </c>
      <c r="U214" s="310">
        <f t="shared" si="104"/>
        <v>1000000000</v>
      </c>
      <c r="V214" s="310">
        <f t="shared" si="105"/>
        <v>151363809</v>
      </c>
      <c r="X214" s="336">
        <f t="shared" si="99"/>
        <v>3.1698683374056769</v>
      </c>
      <c r="Y214" s="337">
        <f t="shared" si="100"/>
        <v>-19.284343744664536</v>
      </c>
      <c r="AA214" s="336">
        <f t="shared" si="101"/>
        <v>6.2211308523556692</v>
      </c>
      <c r="AB214" s="337">
        <f t="shared" si="102"/>
        <v>-74.663998363967494</v>
      </c>
      <c r="AD214">
        <f t="shared" si="106"/>
        <v>0</v>
      </c>
      <c r="AE214">
        <f t="shared" si="81"/>
        <v>0</v>
      </c>
    </row>
    <row r="215" spans="1:31" x14ac:dyDescent="0.25">
      <c r="A215" s="338">
        <v>12374.5</v>
      </c>
      <c r="B215" s="355">
        <f t="shared" si="103"/>
        <v>12.374499999999999</v>
      </c>
      <c r="C215" s="328">
        <f t="shared" si="84"/>
        <v>2.9516866151244754</v>
      </c>
      <c r="D215" s="329">
        <f t="shared" si="85"/>
        <v>1.2251664693802686</v>
      </c>
      <c r="E215" s="329">
        <f t="shared" si="86"/>
        <v>1.0000131664917722</v>
      </c>
      <c r="F215" s="330">
        <f t="shared" si="87"/>
        <v>5.1315392057673806E-3</v>
      </c>
      <c r="G215" s="329">
        <f t="shared" si="88"/>
        <v>1</v>
      </c>
      <c r="H215" s="330">
        <f t="shared" si="89"/>
        <v>0</v>
      </c>
      <c r="I215" s="328">
        <f t="shared" si="90"/>
        <v>27045.376540821762</v>
      </c>
      <c r="J215" s="331">
        <f t="shared" si="91"/>
        <v>1.5707593518983292</v>
      </c>
      <c r="K215" s="339">
        <f t="shared" ref="K215:K278" si="107">SQRT(1+(A215/Zero2)^2)</f>
        <v>3.6232866601707969</v>
      </c>
      <c r="L215" s="340">
        <f t="shared" ref="L215:L278" si="108">ATAN(A215/Zero2)</f>
        <v>1.291174154394731</v>
      </c>
      <c r="M215" s="328">
        <f t="shared" si="92"/>
        <v>1.0015572157452064</v>
      </c>
      <c r="N215" s="331">
        <f t="shared" si="93"/>
        <v>5.5770918217616518E-2</v>
      </c>
      <c r="O215" s="332">
        <f t="shared" si="94"/>
        <v>1.0004834706057135</v>
      </c>
      <c r="P215" s="333">
        <f t="shared" si="95"/>
        <v>8.541348896641561E-2</v>
      </c>
      <c r="Q215" s="334">
        <f t="shared" si="96"/>
        <v>9.342415741597982</v>
      </c>
      <c r="R215" s="335">
        <f t="shared" si="97"/>
        <v>-94.011174960949702</v>
      </c>
      <c r="S215" s="337">
        <f t="shared" si="98"/>
        <v>85.988825039050298</v>
      </c>
      <c r="U215" s="310">
        <f t="shared" si="104"/>
        <v>1000000000</v>
      </c>
      <c r="V215" s="310">
        <f t="shared" si="105"/>
        <v>153128250.25</v>
      </c>
      <c r="X215" s="336">
        <f t="shared" si="99"/>
        <v>3.165858315896422</v>
      </c>
      <c r="Y215" s="337">
        <f t="shared" si="100"/>
        <v>-19.214490086682186</v>
      </c>
      <c r="AA215" s="336">
        <f t="shared" si="101"/>
        <v>6.1765574257015601</v>
      </c>
      <c r="AB215" s="337">
        <f t="shared" si="102"/>
        <v>-74.796684874267513</v>
      </c>
      <c r="AD215">
        <f t="shared" si="106"/>
        <v>0</v>
      </c>
      <c r="AE215">
        <f t="shared" si="81"/>
        <v>0</v>
      </c>
    </row>
    <row r="216" spans="1:31" x14ac:dyDescent="0.25">
      <c r="A216" s="338">
        <v>12446</v>
      </c>
      <c r="B216" s="355">
        <f t="shared" si="103"/>
        <v>12.446</v>
      </c>
      <c r="C216" s="328">
        <f t="shared" si="84"/>
        <v>2.9667889455774268</v>
      </c>
      <c r="D216" s="329">
        <f t="shared" si="85"/>
        <v>1.2269988598173558</v>
      </c>
      <c r="E216" s="329">
        <f t="shared" si="86"/>
        <v>1.0000133190825995</v>
      </c>
      <c r="F216" s="330">
        <f t="shared" si="87"/>
        <v>5.1611887719114364E-3</v>
      </c>
      <c r="G216" s="329">
        <f t="shared" si="88"/>
        <v>1</v>
      </c>
      <c r="H216" s="330">
        <f t="shared" si="89"/>
        <v>0</v>
      </c>
      <c r="I216" s="328">
        <f t="shared" si="90"/>
        <v>27201.64503005629</v>
      </c>
      <c r="J216" s="331">
        <f t="shared" si="91"/>
        <v>1.570759564312366</v>
      </c>
      <c r="K216" s="339">
        <f t="shared" si="107"/>
        <v>3.6426315968706953</v>
      </c>
      <c r="L216" s="340">
        <f t="shared" si="108"/>
        <v>1.2926987648405464</v>
      </c>
      <c r="M216" s="328">
        <f t="shared" si="92"/>
        <v>1.0015752487614407</v>
      </c>
      <c r="N216" s="331">
        <f t="shared" si="93"/>
        <v>5.6092489634540388E-2</v>
      </c>
      <c r="O216" s="332">
        <f t="shared" si="94"/>
        <v>1.0004891310208894</v>
      </c>
      <c r="P216" s="333">
        <f t="shared" si="95"/>
        <v>8.5907735991424608E-2</v>
      </c>
      <c r="Q216" s="334">
        <f t="shared" si="96"/>
        <v>9.2940917872516859</v>
      </c>
      <c r="R216" s="335">
        <f t="shared" si="97"/>
        <v>-94.073865784534831</v>
      </c>
      <c r="S216" s="337">
        <f t="shared" si="98"/>
        <v>85.926134215465169</v>
      </c>
      <c r="U216" s="310">
        <f t="shared" si="104"/>
        <v>1000000000</v>
      </c>
      <c r="V216" s="310">
        <f t="shared" si="105"/>
        <v>154902916</v>
      </c>
      <c r="X216" s="336">
        <f t="shared" si="99"/>
        <v>3.1619103023730712</v>
      </c>
      <c r="Y216" s="337">
        <f t="shared" si="100"/>
        <v>-19.145573198086268</v>
      </c>
      <c r="AA216" s="336">
        <f t="shared" si="101"/>
        <v>6.1321814848786147</v>
      </c>
      <c r="AB216" s="337">
        <f t="shared" si="102"/>
        <v>-74.928292586448592</v>
      </c>
      <c r="AD216">
        <f t="shared" si="106"/>
        <v>0</v>
      </c>
      <c r="AE216">
        <f t="shared" si="81"/>
        <v>0</v>
      </c>
    </row>
    <row r="217" spans="1:31" x14ac:dyDescent="0.25">
      <c r="A217" s="338">
        <v>12517.5</v>
      </c>
      <c r="B217" s="355">
        <f t="shared" si="103"/>
        <v>12.5175</v>
      </c>
      <c r="C217" s="328">
        <f t="shared" si="84"/>
        <v>2.9819011365610257</v>
      </c>
      <c r="D217" s="329">
        <f t="shared" si="85"/>
        <v>1.2288126832870512</v>
      </c>
      <c r="E217" s="329">
        <f t="shared" si="86"/>
        <v>1.0000134725525351</v>
      </c>
      <c r="F217" s="330">
        <f t="shared" si="87"/>
        <v>5.1908383289810452E-3</v>
      </c>
      <c r="G217" s="329">
        <f t="shared" si="88"/>
        <v>1</v>
      </c>
      <c r="H217" s="330">
        <f t="shared" si="89"/>
        <v>0</v>
      </c>
      <c r="I217" s="328">
        <f t="shared" si="90"/>
        <v>27357.913519292029</v>
      </c>
      <c r="J217" s="331">
        <f t="shared" si="91"/>
        <v>1.5707597742997834</v>
      </c>
      <c r="K217" s="339">
        <f t="shared" si="107"/>
        <v>3.6619849111699985</v>
      </c>
      <c r="L217" s="340">
        <f t="shared" si="108"/>
        <v>1.2942072638593265</v>
      </c>
      <c r="M217" s="328">
        <f t="shared" si="92"/>
        <v>1.001593385345009</v>
      </c>
      <c r="N217" s="331">
        <f t="shared" si="93"/>
        <v>5.641404943885775E-2</v>
      </c>
      <c r="O217" s="332">
        <f t="shared" si="94"/>
        <v>1.0004948253709036</v>
      </c>
      <c r="P217" s="333">
        <f t="shared" si="95"/>
        <v>8.6401995523882461E-2</v>
      </c>
      <c r="Q217" s="334">
        <f t="shared" si="96"/>
        <v>9.2460245660532525</v>
      </c>
      <c r="R217" s="335">
        <f t="shared" si="97"/>
        <v>-94.136415828776535</v>
      </c>
      <c r="S217" s="337">
        <f t="shared" si="98"/>
        <v>85.863584171223465</v>
      </c>
      <c r="U217" s="310">
        <f t="shared" si="104"/>
        <v>1000000000</v>
      </c>
      <c r="V217" s="310">
        <f t="shared" si="105"/>
        <v>156687806.25</v>
      </c>
      <c r="X217" s="336">
        <f t="shared" si="99"/>
        <v>3.1580229523938481</v>
      </c>
      <c r="Y217" s="337">
        <f t="shared" si="100"/>
        <v>-19.077578621874054</v>
      </c>
      <c r="AA217" s="336">
        <f t="shared" si="101"/>
        <v>6.0880016136594062</v>
      </c>
      <c r="AB217" s="337">
        <f t="shared" si="102"/>
        <v>-75.058837206902496</v>
      </c>
      <c r="AD217">
        <f t="shared" si="106"/>
        <v>0</v>
      </c>
      <c r="AE217">
        <f t="shared" si="81"/>
        <v>0</v>
      </c>
    </row>
    <row r="218" spans="1:31" x14ac:dyDescent="0.25">
      <c r="A218" s="338">
        <v>12589</v>
      </c>
      <c r="B218" s="355">
        <f t="shared" si="103"/>
        <v>12.589</v>
      </c>
      <c r="C218" s="328">
        <f t="shared" si="84"/>
        <v>2.9970230389130377</v>
      </c>
      <c r="D218" s="329">
        <f t="shared" si="85"/>
        <v>1.2306082088102186</v>
      </c>
      <c r="E218" s="329">
        <f t="shared" si="86"/>
        <v>1.0000136269015785</v>
      </c>
      <c r="F218" s="330">
        <f t="shared" si="87"/>
        <v>5.2204878769240822E-3</v>
      </c>
      <c r="G218" s="329">
        <f t="shared" si="88"/>
        <v>1</v>
      </c>
      <c r="H218" s="330">
        <f t="shared" si="89"/>
        <v>0</v>
      </c>
      <c r="I218" s="328">
        <f t="shared" si="90"/>
        <v>27514.182008528962</v>
      </c>
      <c r="J218" s="331">
        <f t="shared" si="91"/>
        <v>1.570759981901928</v>
      </c>
      <c r="K218" s="339">
        <f t="shared" si="107"/>
        <v>3.6813464709423376</v>
      </c>
      <c r="L218" s="340">
        <f t="shared" si="108"/>
        <v>1.2956998987388271</v>
      </c>
      <c r="M218" s="328">
        <f t="shared" si="92"/>
        <v>1.0016116254902854</v>
      </c>
      <c r="N218" s="331">
        <f t="shared" si="93"/>
        <v>5.6735597564702221E-2</v>
      </c>
      <c r="O218" s="332">
        <f t="shared" si="94"/>
        <v>1.000500553678537</v>
      </c>
      <c r="P218" s="333">
        <f t="shared" si="95"/>
        <v>8.6896267634008886E-2</v>
      </c>
      <c r="Q218" s="334">
        <f t="shared" si="96"/>
        <v>9.1982113612939269</v>
      </c>
      <c r="R218" s="335">
        <f t="shared" si="97"/>
        <v>-94.198826341511591</v>
      </c>
      <c r="S218" s="337">
        <f t="shared" si="98"/>
        <v>85.801173658488409</v>
      </c>
      <c r="U218" s="310">
        <f t="shared" si="104"/>
        <v>1000000000</v>
      </c>
      <c r="V218" s="310">
        <f t="shared" si="105"/>
        <v>158482921</v>
      </c>
      <c r="X218" s="336">
        <f t="shared" si="99"/>
        <v>3.1541949568124128</v>
      </c>
      <c r="Y218" s="337">
        <f t="shared" si="100"/>
        <v>-19.010492188095917</v>
      </c>
      <c r="AA218" s="336">
        <f t="shared" si="101"/>
        <v>6.0440164044815159</v>
      </c>
      <c r="AB218" s="337">
        <f t="shared" si="102"/>
        <v>-75.188334153415653</v>
      </c>
      <c r="AD218">
        <f t="shared" si="106"/>
        <v>0</v>
      </c>
      <c r="AE218">
        <f t="shared" ref="AE218:AE281" si="109">IF(AD218&gt;0,S218,0)</f>
        <v>0</v>
      </c>
    </row>
    <row r="219" spans="1:31" x14ac:dyDescent="0.25">
      <c r="A219" s="338">
        <v>12662.25</v>
      </c>
      <c r="B219" s="355">
        <f t="shared" si="103"/>
        <v>12.66225</v>
      </c>
      <c r="C219" s="328">
        <f t="shared" si="84"/>
        <v>3.0125249756750696</v>
      </c>
      <c r="D219" s="329">
        <f t="shared" si="85"/>
        <v>1.2324289816277934</v>
      </c>
      <c r="E219" s="329">
        <f t="shared" si="86"/>
        <v>1.0000137859400413</v>
      </c>
      <c r="F219" s="330">
        <f t="shared" si="87"/>
        <v>5.2508631035846198E-3</v>
      </c>
      <c r="G219" s="329">
        <f t="shared" si="88"/>
        <v>1</v>
      </c>
      <c r="H219" s="330">
        <f t="shared" si="89"/>
        <v>0</v>
      </c>
      <c r="I219" s="328">
        <f t="shared" si="90"/>
        <v>27674.275251000181</v>
      </c>
      <c r="J219" s="331">
        <f t="shared" si="91"/>
        <v>1.5707601921539296</v>
      </c>
      <c r="K219" s="339">
        <f t="shared" si="107"/>
        <v>3.7011903304208991</v>
      </c>
      <c r="L219" s="340">
        <f t="shared" si="108"/>
        <v>1.2972128687126276</v>
      </c>
      <c r="M219" s="328">
        <f t="shared" si="92"/>
        <v>1.0016304194615868</v>
      </c>
      <c r="N219" s="331">
        <f t="shared" si="93"/>
        <v>5.7065003569998503E-2</v>
      </c>
      <c r="O219" s="332">
        <f t="shared" si="94"/>
        <v>1.0005064574279428</v>
      </c>
      <c r="P219" s="333">
        <f t="shared" si="95"/>
        <v>8.7402650429851098E-2</v>
      </c>
      <c r="Q219" s="334">
        <f t="shared" si="96"/>
        <v>9.1494885265571373</v>
      </c>
      <c r="R219" s="335">
        <f t="shared" si="97"/>
        <v>-94.262620990587337</v>
      </c>
      <c r="S219" s="337">
        <f t="shared" si="98"/>
        <v>85.737379009412663</v>
      </c>
      <c r="U219" s="310">
        <f t="shared" si="104"/>
        <v>1000000000</v>
      </c>
      <c r="V219" s="310">
        <f t="shared" si="105"/>
        <v>160332575.0625</v>
      </c>
      <c r="X219" s="336">
        <f t="shared" si="99"/>
        <v>3.1503334875965479</v>
      </c>
      <c r="Y219" s="337">
        <f t="shared" si="100"/>
        <v>-18.942691014391716</v>
      </c>
      <c r="AA219" s="336">
        <f t="shared" si="101"/>
        <v>5.9991550389605894</v>
      </c>
      <c r="AB219" s="337">
        <f t="shared" si="102"/>
        <v>-75.319929976195596</v>
      </c>
      <c r="AD219">
        <f t="shared" si="106"/>
        <v>0</v>
      </c>
      <c r="AE219">
        <f t="shared" si="109"/>
        <v>0</v>
      </c>
    </row>
    <row r="220" spans="1:31" x14ac:dyDescent="0.25">
      <c r="A220" s="338">
        <v>12735.5</v>
      </c>
      <c r="B220" s="355">
        <f t="shared" si="103"/>
        <v>12.7355</v>
      </c>
      <c r="C220" s="328">
        <f t="shared" si="84"/>
        <v>3.0280367973239053</v>
      </c>
      <c r="D220" s="329">
        <f t="shared" si="85"/>
        <v>1.2342311057057684</v>
      </c>
      <c r="E220" s="329">
        <f t="shared" si="86"/>
        <v>1.0000139459011708</v>
      </c>
      <c r="F220" s="330">
        <f t="shared" si="87"/>
        <v>5.281238320555607E-3</v>
      </c>
      <c r="G220" s="329">
        <f t="shared" si="88"/>
        <v>1</v>
      </c>
      <c r="H220" s="330">
        <f t="shared" si="89"/>
        <v>0</v>
      </c>
      <c r="I220" s="328">
        <f t="shared" si="90"/>
        <v>27834.368493472612</v>
      </c>
      <c r="J220" s="331">
        <f t="shared" si="91"/>
        <v>1.5707603999873438</v>
      </c>
      <c r="K220" s="339">
        <f t="shared" si="107"/>
        <v>3.7210425718384981</v>
      </c>
      <c r="L220" s="340">
        <f t="shared" si="108"/>
        <v>1.2987096983030091</v>
      </c>
      <c r="M220" s="328">
        <f t="shared" si="92"/>
        <v>1.0016493221140335</v>
      </c>
      <c r="N220" s="331">
        <f t="shared" si="93"/>
        <v>5.7394397178246813E-2</v>
      </c>
      <c r="O220" s="332">
        <f t="shared" si="94"/>
        <v>1.0005123968663916</v>
      </c>
      <c r="P220" s="333">
        <f t="shared" si="95"/>
        <v>8.7909046575698105E-2</v>
      </c>
      <c r="Q220" s="334">
        <f t="shared" si="96"/>
        <v>9.1010266597088023</v>
      </c>
      <c r="R220" s="335">
        <f t="shared" si="97"/>
        <v>-94.326271838020958</v>
      </c>
      <c r="S220" s="337">
        <f t="shared" si="98"/>
        <v>85.673728161979042</v>
      </c>
      <c r="U220" s="310">
        <f t="shared" si="104"/>
        <v>1000000000</v>
      </c>
      <c r="V220" s="310">
        <f t="shared" si="105"/>
        <v>162192960.25</v>
      </c>
      <c r="X220" s="336">
        <f t="shared" si="99"/>
        <v>3.1465316410195516</v>
      </c>
      <c r="Y220" s="337">
        <f t="shared" si="100"/>
        <v>-18.875813767664848</v>
      </c>
      <c r="AA220" s="336">
        <f t="shared" si="101"/>
        <v>5.9544950186892507</v>
      </c>
      <c r="AB220" s="337">
        <f t="shared" si="102"/>
        <v>-75.45045807035612</v>
      </c>
      <c r="AD220">
        <f t="shared" si="106"/>
        <v>0</v>
      </c>
      <c r="AE220">
        <f t="shared" si="109"/>
        <v>0</v>
      </c>
    </row>
    <row r="221" spans="1:31" x14ac:dyDescent="0.25">
      <c r="A221" s="338">
        <v>12808.75</v>
      </c>
      <c r="B221" s="355">
        <f t="shared" si="103"/>
        <v>12.80875</v>
      </c>
      <c r="C221" s="328">
        <f t="shared" si="84"/>
        <v>3.0435583527213899</v>
      </c>
      <c r="D221" s="329">
        <f t="shared" si="85"/>
        <v>1.2360148545633156</v>
      </c>
      <c r="E221" s="329">
        <f t="shared" si="86"/>
        <v>1.0000141067849668</v>
      </c>
      <c r="F221" s="330">
        <f t="shared" si="87"/>
        <v>5.3116135277809975E-3</v>
      </c>
      <c r="G221" s="329">
        <f t="shared" si="88"/>
        <v>1</v>
      </c>
      <c r="H221" s="330">
        <f t="shared" si="89"/>
        <v>0</v>
      </c>
      <c r="I221" s="328">
        <f t="shared" si="90"/>
        <v>27994.461735946228</v>
      </c>
      <c r="J221" s="331">
        <f t="shared" si="91"/>
        <v>1.5707606054436649</v>
      </c>
      <c r="K221" s="339">
        <f t="shared" si="107"/>
        <v>3.7409030617512005</v>
      </c>
      <c r="L221" s="340">
        <f t="shared" si="108"/>
        <v>1.3001906378170964</v>
      </c>
      <c r="M221" s="328">
        <f t="shared" si="92"/>
        <v>1.0016683334414722</v>
      </c>
      <c r="N221" s="331">
        <f t="shared" si="93"/>
        <v>5.7723778318672522E-2</v>
      </c>
      <c r="O221" s="332">
        <f t="shared" si="94"/>
        <v>1.000518372018802</v>
      </c>
      <c r="P221" s="333">
        <f t="shared" si="95"/>
        <v>8.8415456146960572E-2</v>
      </c>
      <c r="Q221" s="334">
        <f t="shared" si="96"/>
        <v>9.0528229769928235</v>
      </c>
      <c r="R221" s="335">
        <f t="shared" si="97"/>
        <v>-94.389780216411069</v>
      </c>
      <c r="S221" s="337">
        <f t="shared" si="98"/>
        <v>85.610219783588931</v>
      </c>
      <c r="U221" s="310">
        <f t="shared" si="104"/>
        <v>1000000000</v>
      </c>
      <c r="V221" s="310">
        <f t="shared" si="105"/>
        <v>164064076.5625</v>
      </c>
      <c r="X221" s="336">
        <f t="shared" si="99"/>
        <v>3.1427881176489474</v>
      </c>
      <c r="Y221" s="337">
        <f t="shared" si="100"/>
        <v>-18.809846104695779</v>
      </c>
      <c r="AA221" s="336">
        <f t="shared" si="101"/>
        <v>5.9100348593438765</v>
      </c>
      <c r="AB221" s="337">
        <f t="shared" si="102"/>
        <v>-75.579934111715303</v>
      </c>
      <c r="AD221">
        <f t="shared" si="106"/>
        <v>0</v>
      </c>
      <c r="AE221">
        <f t="shared" si="109"/>
        <v>0</v>
      </c>
    </row>
    <row r="222" spans="1:31" x14ac:dyDescent="0.25">
      <c r="A222" s="338">
        <v>12882</v>
      </c>
      <c r="B222" s="355">
        <f t="shared" si="103"/>
        <v>12.882</v>
      </c>
      <c r="C222" s="328">
        <f t="shared" si="84"/>
        <v>3.0590894937029316</v>
      </c>
      <c r="D222" s="329">
        <f t="shared" si="85"/>
        <v>1.237780496637894</v>
      </c>
      <c r="E222" s="329">
        <f t="shared" si="86"/>
        <v>1.0000142685914286</v>
      </c>
      <c r="F222" s="330">
        <f t="shared" si="87"/>
        <v>5.341988725204745E-3</v>
      </c>
      <c r="G222" s="329">
        <f t="shared" si="88"/>
        <v>1</v>
      </c>
      <c r="H222" s="330">
        <f t="shared" si="89"/>
        <v>0</v>
      </c>
      <c r="I222" s="328">
        <f t="shared" si="90"/>
        <v>28154.554978421016</v>
      </c>
      <c r="J222" s="331">
        <f t="shared" si="91"/>
        <v>1.5707608085634426</v>
      </c>
      <c r="K222" s="339">
        <f t="shared" si="107"/>
        <v>3.7607716694790563</v>
      </c>
      <c r="L222" s="340">
        <f t="shared" si="108"/>
        <v>1.3016559325545105</v>
      </c>
      <c r="M222" s="328">
        <f t="shared" si="92"/>
        <v>1.0016874534377151</v>
      </c>
      <c r="N222" s="331">
        <f t="shared" si="93"/>
        <v>5.8053146920517162E-2</v>
      </c>
      <c r="O222" s="332">
        <f t="shared" si="94"/>
        <v>1.000524382910235</v>
      </c>
      <c r="P222" s="333">
        <f t="shared" si="95"/>
        <v>8.8921879219017605E-2</v>
      </c>
      <c r="Q222" s="334">
        <f t="shared" si="96"/>
        <v>9.004874738994058</v>
      </c>
      <c r="R222" s="335">
        <f t="shared" si="97"/>
        <v>-94.453147454049486</v>
      </c>
      <c r="S222" s="337">
        <f t="shared" si="98"/>
        <v>85.546852545950514</v>
      </c>
      <c r="U222" s="310">
        <f t="shared" si="104"/>
        <v>1000000000</v>
      </c>
      <c r="V222" s="310">
        <f t="shared" si="105"/>
        <v>165945924</v>
      </c>
      <c r="X222" s="336">
        <f t="shared" si="99"/>
        <v>3.1391016523164699</v>
      </c>
      <c r="Y222" s="337">
        <f t="shared" si="100"/>
        <v>-18.744773969120683</v>
      </c>
      <c r="AA222" s="336">
        <f t="shared" si="101"/>
        <v>5.8657730866775868</v>
      </c>
      <c r="AB222" s="337">
        <f t="shared" si="102"/>
        <v>-75.708373484928813</v>
      </c>
      <c r="AD222">
        <f t="shared" si="106"/>
        <v>0</v>
      </c>
      <c r="AE222">
        <f t="shared" si="109"/>
        <v>0</v>
      </c>
    </row>
    <row r="223" spans="1:31" x14ac:dyDescent="0.25">
      <c r="A223" s="338">
        <v>12957.25</v>
      </c>
      <c r="B223" s="355">
        <f t="shared" si="103"/>
        <v>12.95725</v>
      </c>
      <c r="C223" s="328">
        <f t="shared" si="84"/>
        <v>3.0750545222608929</v>
      </c>
      <c r="D223" s="329">
        <f t="shared" si="85"/>
        <v>1.2395757690803155</v>
      </c>
      <c r="E223" s="329">
        <f t="shared" si="86"/>
        <v>1.0000144357766121</v>
      </c>
      <c r="F223" s="330">
        <f t="shared" si="87"/>
        <v>5.3731932692891128E-3</v>
      </c>
      <c r="G223" s="329">
        <f t="shared" si="88"/>
        <v>1</v>
      </c>
      <c r="H223" s="330">
        <f t="shared" si="89"/>
        <v>0</v>
      </c>
      <c r="I223" s="328">
        <f t="shared" si="90"/>
        <v>28319.019367449204</v>
      </c>
      <c r="J223" s="331">
        <f t="shared" si="91"/>
        <v>1.570761014837684</v>
      </c>
      <c r="K223" s="339">
        <f t="shared" si="107"/>
        <v>3.7811910836320028</v>
      </c>
      <c r="L223" s="340">
        <f t="shared" si="108"/>
        <v>1.303145196582334</v>
      </c>
      <c r="M223" s="328">
        <f t="shared" si="92"/>
        <v>1.0017072086350083</v>
      </c>
      <c r="N223" s="331">
        <f t="shared" si="93"/>
        <v>5.8391495390613099E-2</v>
      </c>
      <c r="O223" s="332">
        <f t="shared" si="94"/>
        <v>1.0005305951641144</v>
      </c>
      <c r="P223" s="333">
        <f t="shared" si="95"/>
        <v>8.9442143680124667E-2</v>
      </c>
      <c r="Q223" s="334">
        <f t="shared" si="96"/>
        <v>8.9558805032167381</v>
      </c>
      <c r="R223" s="335">
        <f t="shared" si="97"/>
        <v>-94.518099271934744</v>
      </c>
      <c r="S223" s="337">
        <f t="shared" si="98"/>
        <v>85.481900728065256</v>
      </c>
      <c r="U223" s="310">
        <f t="shared" si="104"/>
        <v>1000000000</v>
      </c>
      <c r="V223" s="310">
        <f t="shared" si="105"/>
        <v>167890327.5625</v>
      </c>
      <c r="X223" s="336">
        <f t="shared" si="99"/>
        <v>3.1353726544659946</v>
      </c>
      <c r="Y223" s="337">
        <f t="shared" si="100"/>
        <v>-18.678843183655065</v>
      </c>
      <c r="AA223" s="336">
        <f t="shared" si="101"/>
        <v>5.8205078487507453</v>
      </c>
      <c r="AB223" s="337">
        <f t="shared" si="102"/>
        <v>-75.839256088279669</v>
      </c>
      <c r="AD223">
        <f t="shared" si="106"/>
        <v>0</v>
      </c>
      <c r="AE223">
        <f t="shared" si="109"/>
        <v>0</v>
      </c>
    </row>
    <row r="224" spans="1:31" x14ac:dyDescent="0.25">
      <c r="A224" s="338">
        <v>13032.5</v>
      </c>
      <c r="B224" s="355">
        <f t="shared" si="103"/>
        <v>13.032500000000001</v>
      </c>
      <c r="C224" s="328">
        <f t="shared" si="84"/>
        <v>3.0910293593319014</v>
      </c>
      <c r="D224" s="329">
        <f t="shared" si="85"/>
        <v>1.2413524908023899</v>
      </c>
      <c r="E224" s="329">
        <f t="shared" si="86"/>
        <v>1.0000146039355331</v>
      </c>
      <c r="F224" s="330">
        <f t="shared" si="87"/>
        <v>5.4043978029093753E-3</v>
      </c>
      <c r="G224" s="329">
        <f t="shared" si="88"/>
        <v>1</v>
      </c>
      <c r="H224" s="330">
        <f t="shared" si="89"/>
        <v>0</v>
      </c>
      <c r="I224" s="328">
        <f t="shared" si="90"/>
        <v>28483.483756478592</v>
      </c>
      <c r="J224" s="331">
        <f t="shared" si="91"/>
        <v>1.5707612187298596</v>
      </c>
      <c r="K224" s="339">
        <f t="shared" si="107"/>
        <v>3.8016187940156119</v>
      </c>
      <c r="L224" s="340">
        <f t="shared" si="108"/>
        <v>1.3046184589538214</v>
      </c>
      <c r="M224" s="328">
        <f t="shared" si="92"/>
        <v>1.0017270785028987</v>
      </c>
      <c r="N224" s="331">
        <f t="shared" si="93"/>
        <v>5.8729830476743509E-2</v>
      </c>
      <c r="O224" s="332">
        <f t="shared" si="94"/>
        <v>1.0005368451893608</v>
      </c>
      <c r="P224" s="333">
        <f t="shared" si="95"/>
        <v>8.996242255050807E-2</v>
      </c>
      <c r="Q224" s="334">
        <f t="shared" si="96"/>
        <v>8.9071501304028526</v>
      </c>
      <c r="R224" s="335">
        <f t="shared" si="97"/>
        <v>-94.582904962073485</v>
      </c>
      <c r="S224" s="337">
        <f t="shared" si="98"/>
        <v>85.417095037926515</v>
      </c>
      <c r="U224" s="310">
        <f t="shared" si="104"/>
        <v>1000000000</v>
      </c>
      <c r="V224" s="310">
        <f t="shared" si="105"/>
        <v>169846056.25</v>
      </c>
      <c r="X224" s="336">
        <f t="shared" si="99"/>
        <v>3.1317012726584408</v>
      </c>
      <c r="Y224" s="337">
        <f t="shared" si="100"/>
        <v>-18.61382832223671</v>
      </c>
      <c r="AA224" s="336">
        <f t="shared" si="101"/>
        <v>5.7754488577444105</v>
      </c>
      <c r="AB224" s="337">
        <f t="shared" si="102"/>
        <v>-75.969076639836771</v>
      </c>
      <c r="AD224">
        <f t="shared" si="106"/>
        <v>0</v>
      </c>
      <c r="AE224">
        <f t="shared" si="109"/>
        <v>0</v>
      </c>
    </row>
    <row r="225" spans="1:31" x14ac:dyDescent="0.25">
      <c r="A225" s="338">
        <v>13107.75</v>
      </c>
      <c r="B225" s="355">
        <f t="shared" si="103"/>
        <v>13.107749999999999</v>
      </c>
      <c r="C225" s="328">
        <f t="shared" si="84"/>
        <v>3.1070138536233656</v>
      </c>
      <c r="D225" s="329">
        <f t="shared" si="85"/>
        <v>1.2431109368103024</v>
      </c>
      <c r="E225" s="329">
        <f t="shared" si="86"/>
        <v>1.0000147730681905</v>
      </c>
      <c r="F225" s="330">
        <f t="shared" si="87"/>
        <v>5.435602326004766E-3</v>
      </c>
      <c r="G225" s="329">
        <f t="shared" si="88"/>
        <v>1</v>
      </c>
      <c r="H225" s="330">
        <f t="shared" si="89"/>
        <v>0</v>
      </c>
      <c r="I225" s="328">
        <f t="shared" si="90"/>
        <v>28647.948145509148</v>
      </c>
      <c r="J225" s="331">
        <f t="shared" si="91"/>
        <v>1.5707614202809947</v>
      </c>
      <c r="K225" s="339">
        <f t="shared" si="107"/>
        <v>3.8220546676074587</v>
      </c>
      <c r="L225" s="340">
        <f t="shared" si="108"/>
        <v>1.3060759698961084</v>
      </c>
      <c r="M225" s="328">
        <f t="shared" si="92"/>
        <v>1.0017470630345624</v>
      </c>
      <c r="N225" s="331">
        <f t="shared" si="93"/>
        <v>5.9068152102248257E-2</v>
      </c>
      <c r="O225" s="332">
        <f t="shared" si="94"/>
        <v>1.0005431330136163</v>
      </c>
      <c r="P225" s="333">
        <f t="shared" si="95"/>
        <v>9.0482715911786304E-2</v>
      </c>
      <c r="Q225" s="334">
        <f t="shared" si="96"/>
        <v>8.8586807904645379</v>
      </c>
      <c r="R225" s="335">
        <f t="shared" si="97"/>
        <v>-94.647565946838881</v>
      </c>
      <c r="S225" s="337">
        <f t="shared" si="98"/>
        <v>85.352434053161119</v>
      </c>
      <c r="U225" s="310">
        <f t="shared" si="104"/>
        <v>1000000000</v>
      </c>
      <c r="V225" s="310">
        <f t="shared" si="105"/>
        <v>171813110.0625</v>
      </c>
      <c r="X225" s="336">
        <f t="shared" si="99"/>
        <v>3.1280862412689148</v>
      </c>
      <c r="Y225" s="337">
        <f t="shared" si="100"/>
        <v>-18.549715045865103</v>
      </c>
      <c r="AA225" s="336">
        <f t="shared" si="101"/>
        <v>5.7305945491956241</v>
      </c>
      <c r="AB225" s="337">
        <f t="shared" si="102"/>
        <v>-76.097850900973768</v>
      </c>
      <c r="AD225">
        <f t="shared" si="106"/>
        <v>0</v>
      </c>
      <c r="AE225">
        <f t="shared" si="109"/>
        <v>0</v>
      </c>
    </row>
    <row r="226" spans="1:31" x14ac:dyDescent="0.25">
      <c r="A226" s="338">
        <v>13183</v>
      </c>
      <c r="B226" s="355">
        <f t="shared" si="103"/>
        <v>13.183</v>
      </c>
      <c r="C226" s="328">
        <f t="shared" si="84"/>
        <v>3.1230078568496049</v>
      </c>
      <c r="D226" s="329">
        <f t="shared" si="85"/>
        <v>1.2448513769338403</v>
      </c>
      <c r="E226" s="329">
        <f t="shared" si="86"/>
        <v>1.0000149431745846</v>
      </c>
      <c r="F226" s="330">
        <f t="shared" si="87"/>
        <v>5.466806838514522E-3</v>
      </c>
      <c r="G226" s="329">
        <f t="shared" si="88"/>
        <v>1</v>
      </c>
      <c r="H226" s="330">
        <f t="shared" si="89"/>
        <v>0</v>
      </c>
      <c r="I226" s="328">
        <f t="shared" si="90"/>
        <v>28812.412534540854</v>
      </c>
      <c r="J226" s="331">
        <f t="shared" si="91"/>
        <v>1.5707616195311782</v>
      </c>
      <c r="K226" s="339">
        <f t="shared" si="107"/>
        <v>3.8424985741623767</v>
      </c>
      <c r="L226" s="340">
        <f t="shared" si="108"/>
        <v>1.307517974581919</v>
      </c>
      <c r="M226" s="328">
        <f t="shared" si="92"/>
        <v>1.0017671622231379</v>
      </c>
      <c r="N226" s="331">
        <f t="shared" si="93"/>
        <v>5.9406460190485649E-2</v>
      </c>
      <c r="O226" s="332">
        <f t="shared" si="94"/>
        <v>1.0005494586646815</v>
      </c>
      <c r="P226" s="333">
        <f t="shared" si="95"/>
        <v>9.1003023845541986E-2</v>
      </c>
      <c r="Q226" s="334">
        <f t="shared" si="96"/>
        <v>8.8104696985402953</v>
      </c>
      <c r="R226" s="335">
        <f t="shared" si="97"/>
        <v>-94.712083641560071</v>
      </c>
      <c r="S226" s="337">
        <f t="shared" si="98"/>
        <v>85.287916358439929</v>
      </c>
      <c r="U226" s="310">
        <f t="shared" si="104"/>
        <v>1000000000</v>
      </c>
      <c r="V226" s="310">
        <f t="shared" si="105"/>
        <v>173791489</v>
      </c>
      <c r="X226" s="336">
        <f t="shared" si="99"/>
        <v>3.1245263282777254</v>
      </c>
      <c r="Y226" s="337">
        <f t="shared" si="100"/>
        <v>-18.486489305083541</v>
      </c>
      <c r="AA226" s="336">
        <f t="shared" si="101"/>
        <v>5.685943370262569</v>
      </c>
      <c r="AB226" s="337">
        <f t="shared" si="102"/>
        <v>-76.22559433647649</v>
      </c>
      <c r="AD226">
        <f t="shared" si="106"/>
        <v>0</v>
      </c>
      <c r="AE226">
        <f t="shared" si="109"/>
        <v>0</v>
      </c>
    </row>
    <row r="227" spans="1:31" x14ac:dyDescent="0.25">
      <c r="A227" s="338">
        <v>13259.75</v>
      </c>
      <c r="B227" s="355">
        <f t="shared" si="103"/>
        <v>13.25975</v>
      </c>
      <c r="C227" s="328">
        <f t="shared" si="84"/>
        <v>3.1393303218544619</v>
      </c>
      <c r="D227" s="329">
        <f t="shared" si="85"/>
        <v>1.2466082368966322</v>
      </c>
      <c r="E227" s="329">
        <f t="shared" si="86"/>
        <v>1.0000151176748477</v>
      </c>
      <c r="F227" s="330">
        <f t="shared" si="87"/>
        <v>5.4986333569176779E-3</v>
      </c>
      <c r="G227" s="329">
        <f t="shared" si="88"/>
        <v>1</v>
      </c>
      <c r="H227" s="330">
        <f t="shared" si="89"/>
        <v>0</v>
      </c>
      <c r="I227" s="328">
        <f t="shared" si="90"/>
        <v>28980.155283487977</v>
      </c>
      <c r="J227" s="331">
        <f t="shared" si="91"/>
        <v>1.5707618204235396</v>
      </c>
      <c r="K227" s="339">
        <f t="shared" si="107"/>
        <v>3.8633581429598931</v>
      </c>
      <c r="L227" s="340">
        <f t="shared" si="108"/>
        <v>1.3089729996598141</v>
      </c>
      <c r="M227" s="328">
        <f t="shared" si="92"/>
        <v>1.0017877801608042</v>
      </c>
      <c r="N227" s="331">
        <f t="shared" si="93"/>
        <v>5.9751497937365596E-2</v>
      </c>
      <c r="O227" s="332">
        <f t="shared" si="94"/>
        <v>1.0005559494028118</v>
      </c>
      <c r="P227" s="333">
        <f t="shared" si="95"/>
        <v>9.153371846167048E-2</v>
      </c>
      <c r="Q227" s="334">
        <f t="shared" si="96"/>
        <v>8.7615607675556024</v>
      </c>
      <c r="R227" s="335">
        <f t="shared" si="97"/>
        <v>-94.777741260136239</v>
      </c>
      <c r="S227" s="337">
        <f t="shared" si="98"/>
        <v>85.222258739863761</v>
      </c>
      <c r="U227" s="310">
        <f t="shared" si="104"/>
        <v>1000000000</v>
      </c>
      <c r="V227" s="310">
        <f t="shared" si="105"/>
        <v>175820970.0625</v>
      </c>
      <c r="X227" s="336">
        <f t="shared" si="99"/>
        <v>3.12095098735711</v>
      </c>
      <c r="Y227" s="337">
        <f t="shared" si="100"/>
        <v>-18.422903225915178</v>
      </c>
      <c r="AA227" s="336">
        <f t="shared" si="101"/>
        <v>5.6406097801984911</v>
      </c>
      <c r="AB227" s="337">
        <f t="shared" si="102"/>
        <v>-76.354838034221046</v>
      </c>
      <c r="AD227">
        <f t="shared" si="106"/>
        <v>0</v>
      </c>
      <c r="AE227">
        <f t="shared" si="109"/>
        <v>0</v>
      </c>
    </row>
    <row r="228" spans="1:31" x14ac:dyDescent="0.25">
      <c r="A228" s="338">
        <v>13336.5</v>
      </c>
      <c r="B228" s="355">
        <f t="shared" si="103"/>
        <v>13.336499999999999</v>
      </c>
      <c r="C228" s="328">
        <f t="shared" si="84"/>
        <v>3.1556623763247829</v>
      </c>
      <c r="D228" s="329">
        <f t="shared" si="85"/>
        <v>1.2483469170071013</v>
      </c>
      <c r="E228" s="329">
        <f t="shared" si="86"/>
        <v>1.0000152931880535</v>
      </c>
      <c r="F228" s="330">
        <f t="shared" si="87"/>
        <v>5.530459864181294E-3</v>
      </c>
      <c r="G228" s="329">
        <f t="shared" si="88"/>
        <v>1</v>
      </c>
      <c r="H228" s="330">
        <f t="shared" si="89"/>
        <v>0</v>
      </c>
      <c r="I228" s="328">
        <f t="shared" si="90"/>
        <v>29147.898032436256</v>
      </c>
      <c r="J228" s="331">
        <f t="shared" si="91"/>
        <v>1.5707620190036766</v>
      </c>
      <c r="K228" s="339">
        <f t="shared" si="107"/>
        <v>3.8842258030060899</v>
      </c>
      <c r="L228" s="340">
        <f t="shared" si="108"/>
        <v>1.310412393770398</v>
      </c>
      <c r="M228" s="328">
        <f t="shared" si="92"/>
        <v>1.0018085173574371</v>
      </c>
      <c r="N228" s="331">
        <f t="shared" si="93"/>
        <v>6.0096521440921917E-2</v>
      </c>
      <c r="O228" s="332">
        <f t="shared" si="94"/>
        <v>1.0005624795497507</v>
      </c>
      <c r="P228" s="333">
        <f t="shared" si="95"/>
        <v>9.2064428408340976E-2</v>
      </c>
      <c r="Q228" s="334">
        <f t="shared" si="96"/>
        <v>8.7129147705724499</v>
      </c>
      <c r="R228" s="335">
        <f t="shared" si="97"/>
        <v>-94.84325276880918</v>
      </c>
      <c r="S228" s="337">
        <f t="shared" si="98"/>
        <v>85.15674723119082</v>
      </c>
      <c r="U228" s="310">
        <f t="shared" si="104"/>
        <v>1000000000</v>
      </c>
      <c r="V228" s="310">
        <f t="shared" si="105"/>
        <v>177862232.25</v>
      </c>
      <c r="X228" s="336">
        <f t="shared" si="99"/>
        <v>3.1174304976421388</v>
      </c>
      <c r="Y228" s="337">
        <f t="shared" si="100"/>
        <v>-18.360211786641432</v>
      </c>
      <c r="AA228" s="336">
        <f t="shared" si="101"/>
        <v>5.5954842729303111</v>
      </c>
      <c r="AB228" s="337">
        <f t="shared" si="102"/>
        <v>-76.483040982167736</v>
      </c>
      <c r="AD228">
        <f t="shared" si="106"/>
        <v>0</v>
      </c>
      <c r="AE228">
        <f t="shared" si="109"/>
        <v>0</v>
      </c>
    </row>
    <row r="229" spans="1:31" x14ac:dyDescent="0.25">
      <c r="A229" s="338">
        <v>13413.25</v>
      </c>
      <c r="B229" s="355">
        <f t="shared" si="103"/>
        <v>13.41325</v>
      </c>
      <c r="C229" s="328">
        <f t="shared" si="84"/>
        <v>3.1720038721374801</v>
      </c>
      <c r="D229" s="329">
        <f t="shared" si="85"/>
        <v>1.2500676876475103</v>
      </c>
      <c r="E229" s="329">
        <f t="shared" si="86"/>
        <v>1.0000154697142007</v>
      </c>
      <c r="F229" s="330">
        <f t="shared" si="87"/>
        <v>5.5622863602409001E-3</v>
      </c>
      <c r="G229" s="329">
        <f t="shared" si="88"/>
        <v>1</v>
      </c>
      <c r="H229" s="330">
        <f t="shared" si="89"/>
        <v>0</v>
      </c>
      <c r="I229" s="328">
        <f t="shared" si="90"/>
        <v>29315.640781385675</v>
      </c>
      <c r="J229" s="331">
        <f t="shared" si="91"/>
        <v>1.570762215311281</v>
      </c>
      <c r="K229" s="339">
        <f t="shared" si="107"/>
        <v>3.9051014245895419</v>
      </c>
      <c r="L229" s="340">
        <f t="shared" si="108"/>
        <v>1.3118364015777761</v>
      </c>
      <c r="M229" s="328">
        <f t="shared" si="92"/>
        <v>1.001829373805631</v>
      </c>
      <c r="N229" s="331">
        <f t="shared" si="93"/>
        <v>6.044153061989762E-2</v>
      </c>
      <c r="O229" s="332">
        <f t="shared" si="94"/>
        <v>1.0005690491355061</v>
      </c>
      <c r="P229" s="333">
        <f t="shared" si="95"/>
        <v>9.2595153771995814E-2</v>
      </c>
      <c r="Q229" s="334">
        <f t="shared" si="96"/>
        <v>8.6645288920030907</v>
      </c>
      <c r="R229" s="335">
        <f t="shared" si="97"/>
        <v>-94.908619643695729</v>
      </c>
      <c r="S229" s="337">
        <f t="shared" si="98"/>
        <v>85.091380356304271</v>
      </c>
      <c r="U229" s="310">
        <f t="shared" si="104"/>
        <v>1000000000</v>
      </c>
      <c r="V229" s="310">
        <f t="shared" si="105"/>
        <v>179915275.5625</v>
      </c>
      <c r="X229" s="336">
        <f t="shared" si="99"/>
        <v>3.1139636533293018</v>
      </c>
      <c r="Y229" s="337">
        <f t="shared" si="100"/>
        <v>-18.29840096666015</v>
      </c>
      <c r="AA229" s="336">
        <f t="shared" si="101"/>
        <v>5.5505652386737907</v>
      </c>
      <c r="AB229" s="337">
        <f t="shared" si="102"/>
        <v>-76.610218677035576</v>
      </c>
      <c r="AD229">
        <f t="shared" si="106"/>
        <v>0</v>
      </c>
      <c r="AE229">
        <f t="shared" si="109"/>
        <v>0</v>
      </c>
    </row>
    <row r="230" spans="1:31" x14ac:dyDescent="0.25">
      <c r="A230" s="338">
        <v>13490</v>
      </c>
      <c r="B230" s="355">
        <f t="shared" si="103"/>
        <v>13.49</v>
      </c>
      <c r="C230" s="328">
        <f t="shared" si="84"/>
        <v>3.1883546641214524</v>
      </c>
      <c r="D230" s="329">
        <f t="shared" si="85"/>
        <v>1.2517708140828012</v>
      </c>
      <c r="E230" s="329">
        <f t="shared" si="86"/>
        <v>1.0000156472532893</v>
      </c>
      <c r="F230" s="330">
        <f t="shared" si="87"/>
        <v>5.594112845032027E-3</v>
      </c>
      <c r="G230" s="329">
        <f t="shared" si="88"/>
        <v>1</v>
      </c>
      <c r="H230" s="330">
        <f t="shared" si="89"/>
        <v>0</v>
      </c>
      <c r="I230" s="328">
        <f t="shared" si="90"/>
        <v>29483.383530336207</v>
      </c>
      <c r="J230" s="331">
        <f t="shared" si="91"/>
        <v>1.5707624093851407</v>
      </c>
      <c r="K230" s="339">
        <f t="shared" si="107"/>
        <v>3.9259848807087132</v>
      </c>
      <c r="L230" s="340">
        <f t="shared" si="108"/>
        <v>1.3132452627928879</v>
      </c>
      <c r="M230" s="328">
        <f t="shared" si="92"/>
        <v>1.0018503494979378</v>
      </c>
      <c r="N230" s="331">
        <f t="shared" si="93"/>
        <v>6.0786525393056089E-2</v>
      </c>
      <c r="O230" s="332">
        <f t="shared" si="94"/>
        <v>1.0005756581902592</v>
      </c>
      <c r="P230" s="333">
        <f t="shared" si="95"/>
        <v>9.3125894639037518E-2</v>
      </c>
      <c r="Q230" s="334">
        <f t="shared" si="96"/>
        <v>8.6164003610924258</v>
      </c>
      <c r="R230" s="335">
        <f t="shared" si="97"/>
        <v>-94.973843351454477</v>
      </c>
      <c r="S230" s="337">
        <f t="shared" si="98"/>
        <v>85.026156648545523</v>
      </c>
      <c r="U230" s="310">
        <f t="shared" si="104"/>
        <v>1000000000</v>
      </c>
      <c r="V230" s="310">
        <f t="shared" si="105"/>
        <v>181980100</v>
      </c>
      <c r="X230" s="336">
        <f t="shared" si="99"/>
        <v>3.1105492806226303</v>
      </c>
      <c r="Y230" s="337">
        <f t="shared" si="100"/>
        <v>-18.237457029114072</v>
      </c>
      <c r="AA230" s="336">
        <f t="shared" si="101"/>
        <v>5.5058510804697978</v>
      </c>
      <c r="AB230" s="337">
        <f t="shared" si="102"/>
        <v>-76.736386322340408</v>
      </c>
      <c r="AD230">
        <f t="shared" si="106"/>
        <v>0</v>
      </c>
      <c r="AE230">
        <f t="shared" si="109"/>
        <v>0</v>
      </c>
    </row>
    <row r="231" spans="1:31" x14ac:dyDescent="0.25">
      <c r="A231" s="338">
        <v>13568.5</v>
      </c>
      <c r="B231" s="355">
        <f t="shared" si="103"/>
        <v>13.5685</v>
      </c>
      <c r="C231" s="328">
        <f t="shared" si="84"/>
        <v>3.2050877437059846</v>
      </c>
      <c r="D231" s="329">
        <f t="shared" si="85"/>
        <v>1.2534947930104192</v>
      </c>
      <c r="E231" s="329">
        <f t="shared" si="86"/>
        <v>1.0000158298883486</v>
      </c>
      <c r="F231" s="330">
        <f t="shared" si="87"/>
        <v>5.6266650034201126E-3</v>
      </c>
      <c r="G231" s="329">
        <f t="shared" si="88"/>
        <v>1</v>
      </c>
      <c r="H231" s="330">
        <f t="shared" si="89"/>
        <v>0</v>
      </c>
      <c r="I231" s="328">
        <f t="shared" si="90"/>
        <v>29654.951032521276</v>
      </c>
      <c r="J231" s="331">
        <f t="shared" si="91"/>
        <v>1.5707626056129229</v>
      </c>
      <c r="K231" s="339">
        <f t="shared" si="107"/>
        <v>3.9473524817569756</v>
      </c>
      <c r="L231" s="340">
        <f t="shared" si="108"/>
        <v>1.3146708240986924</v>
      </c>
      <c r="M231" s="328">
        <f t="shared" si="92"/>
        <v>1.0018719268090444</v>
      </c>
      <c r="N231" s="331">
        <f t="shared" si="93"/>
        <v>6.1139371509624667E-2</v>
      </c>
      <c r="O231" s="332">
        <f t="shared" si="94"/>
        <v>1.0005824588008843</v>
      </c>
      <c r="P231" s="333">
        <f t="shared" si="95"/>
        <v>9.3668753217047485E-2</v>
      </c>
      <c r="Q231" s="334">
        <f t="shared" si="96"/>
        <v>8.5674378112720433</v>
      </c>
      <c r="R231" s="335">
        <f t="shared" si="97"/>
        <v>-95.040407662216268</v>
      </c>
      <c r="S231" s="337">
        <f t="shared" si="98"/>
        <v>84.959592337783732</v>
      </c>
      <c r="U231" s="310">
        <f t="shared" si="104"/>
        <v>1000000000</v>
      </c>
      <c r="V231" s="310">
        <f t="shared" si="105"/>
        <v>184104192.25</v>
      </c>
      <c r="X231" s="336">
        <f t="shared" si="99"/>
        <v>3.1071101446674385</v>
      </c>
      <c r="Y231" s="337">
        <f t="shared" si="100"/>
        <v>-18.176006219104799</v>
      </c>
      <c r="AA231" s="336">
        <f t="shared" si="101"/>
        <v>5.4603276666046066</v>
      </c>
      <c r="AB231" s="337">
        <f t="shared" si="102"/>
        <v>-76.864401443111461</v>
      </c>
      <c r="AD231">
        <f t="shared" si="106"/>
        <v>0</v>
      </c>
      <c r="AE231">
        <f t="shared" si="109"/>
        <v>0</v>
      </c>
    </row>
    <row r="232" spans="1:31" x14ac:dyDescent="0.25">
      <c r="A232" s="338">
        <v>13647</v>
      </c>
      <c r="B232" s="355">
        <f t="shared" si="103"/>
        <v>13.647</v>
      </c>
      <c r="C232" s="328">
        <f t="shared" si="84"/>
        <v>3.2218302501780922</v>
      </c>
      <c r="D232" s="329">
        <f t="shared" si="85"/>
        <v>1.2552008593676169</v>
      </c>
      <c r="E232" s="329">
        <f t="shared" si="86"/>
        <v>1.0000160135830676</v>
      </c>
      <c r="F232" s="330">
        <f t="shared" si="87"/>
        <v>5.659217149883565E-3</v>
      </c>
      <c r="G232" s="329">
        <f t="shared" si="88"/>
        <v>1</v>
      </c>
      <c r="H232" s="330">
        <f t="shared" si="89"/>
        <v>0</v>
      </c>
      <c r="I232" s="328">
        <f t="shared" si="90"/>
        <v>29826.518534707473</v>
      </c>
      <c r="J232" s="331">
        <f t="shared" si="91"/>
        <v>1.5707627995832301</v>
      </c>
      <c r="K232" s="339">
        <f t="shared" si="107"/>
        <v>3.9687280183245424</v>
      </c>
      <c r="L232" s="340">
        <f t="shared" si="108"/>
        <v>1.3160810321216809</v>
      </c>
      <c r="M232" s="328">
        <f t="shared" si="92"/>
        <v>1.0018936288482068</v>
      </c>
      <c r="N232" s="331">
        <f t="shared" si="93"/>
        <v>6.1492202384104785E-2</v>
      </c>
      <c r="O232" s="332">
        <f t="shared" si="94"/>
        <v>1.0005893007653324</v>
      </c>
      <c r="P232" s="333">
        <f t="shared" si="95"/>
        <v>9.4211628196207223E-2</v>
      </c>
      <c r="Q232" s="334">
        <f t="shared" si="96"/>
        <v>8.5187387548825164</v>
      </c>
      <c r="R232" s="335">
        <f t="shared" si="97"/>
        <v>-95.106825274348338</v>
      </c>
      <c r="S232" s="337">
        <f t="shared" si="98"/>
        <v>84.893174725651662</v>
      </c>
      <c r="U232" s="310">
        <f t="shared" si="104"/>
        <v>1000000000</v>
      </c>
      <c r="V232" s="310">
        <f t="shared" si="105"/>
        <v>186240609</v>
      </c>
      <c r="X232" s="336">
        <f t="shared" si="99"/>
        <v>3.103723514796533</v>
      </c>
      <c r="Y232" s="337">
        <f t="shared" si="100"/>
        <v>-18.115434084752419</v>
      </c>
      <c r="AA232" s="336">
        <f t="shared" si="101"/>
        <v>5.4150152400859808</v>
      </c>
      <c r="AB232" s="337">
        <f t="shared" si="102"/>
        <v>-76.99139118959593</v>
      </c>
      <c r="AD232">
        <f t="shared" si="106"/>
        <v>0</v>
      </c>
      <c r="AE232">
        <f t="shared" si="109"/>
        <v>0</v>
      </c>
    </row>
    <row r="233" spans="1:31" x14ac:dyDescent="0.25">
      <c r="A233" s="338">
        <v>13725.5</v>
      </c>
      <c r="B233" s="355">
        <f t="shared" si="103"/>
        <v>13.7255</v>
      </c>
      <c r="C233" s="328">
        <f t="shared" si="84"/>
        <v>3.238582037335159</v>
      </c>
      <c r="D233" s="329">
        <f t="shared" si="85"/>
        <v>1.2568892811070638</v>
      </c>
      <c r="E233" s="329">
        <f t="shared" si="86"/>
        <v>1.0000161983374452</v>
      </c>
      <c r="F233" s="330">
        <f t="shared" si="87"/>
        <v>5.6917692843534012E-3</v>
      </c>
      <c r="G233" s="329">
        <f t="shared" si="88"/>
        <v>1</v>
      </c>
      <c r="H233" s="330">
        <f t="shared" si="89"/>
        <v>0</v>
      </c>
      <c r="I233" s="328">
        <f t="shared" si="90"/>
        <v>29998.086036894783</v>
      </c>
      <c r="J233" s="331">
        <f t="shared" si="91"/>
        <v>1.5707629913347958</v>
      </c>
      <c r="K233" s="339">
        <f t="shared" si="107"/>
        <v>3.9901113628766414</v>
      </c>
      <c r="L233" s="340">
        <f t="shared" si="108"/>
        <v>1.3174761280460192</v>
      </c>
      <c r="M233" s="328">
        <f t="shared" si="92"/>
        <v>1.0019154556073202</v>
      </c>
      <c r="N233" s="331">
        <f t="shared" si="93"/>
        <v>6.1845017929642226E-2</v>
      </c>
      <c r="O233" s="332">
        <f t="shared" si="94"/>
        <v>1.000596184116455</v>
      </c>
      <c r="P233" s="333">
        <f t="shared" si="95"/>
        <v>9.4754519668834608E-2</v>
      </c>
      <c r="Q233" s="334">
        <f t="shared" si="96"/>
        <v>8.4703003666210499</v>
      </c>
      <c r="R233" s="335">
        <f t="shared" si="97"/>
        <v>-95.173097724109283</v>
      </c>
      <c r="S233" s="337">
        <f t="shared" si="98"/>
        <v>84.826902275890717</v>
      </c>
      <c r="U233" s="310">
        <f t="shared" si="104"/>
        <v>1000000000</v>
      </c>
      <c r="V233" s="310">
        <f t="shared" si="105"/>
        <v>188389350.25</v>
      </c>
      <c r="X233" s="336">
        <f t="shared" si="99"/>
        <v>3.1003882325745007</v>
      </c>
      <c r="Y233" s="337">
        <f t="shared" si="100"/>
        <v>-18.055726804465042</v>
      </c>
      <c r="AA233" s="336">
        <f t="shared" si="101"/>
        <v>5.3699121340465483</v>
      </c>
      <c r="AB233" s="337">
        <f t="shared" si="102"/>
        <v>-77.11737091964423</v>
      </c>
      <c r="AD233">
        <f t="shared" si="106"/>
        <v>0</v>
      </c>
      <c r="AE233">
        <f t="shared" si="109"/>
        <v>0</v>
      </c>
    </row>
    <row r="234" spans="1:31" x14ac:dyDescent="0.25">
      <c r="A234" s="338">
        <v>13804</v>
      </c>
      <c r="B234" s="355">
        <f t="shared" si="103"/>
        <v>13.804</v>
      </c>
      <c r="C234" s="328">
        <f t="shared" si="84"/>
        <v>3.2553429619037502</v>
      </c>
      <c r="D234" s="329">
        <f t="shared" si="85"/>
        <v>1.2585603210699579</v>
      </c>
      <c r="E234" s="329">
        <f t="shared" si="86"/>
        <v>1.0000163841514811</v>
      </c>
      <c r="F234" s="330">
        <f t="shared" si="87"/>
        <v>5.7243214067606435E-3</v>
      </c>
      <c r="G234" s="329">
        <f t="shared" si="88"/>
        <v>1</v>
      </c>
      <c r="H234" s="330">
        <f t="shared" si="89"/>
        <v>0</v>
      </c>
      <c r="I234" s="328">
        <f t="shared" si="90"/>
        <v>30169.653539083178</v>
      </c>
      <c r="J234" s="331">
        <f t="shared" si="91"/>
        <v>1.5707631809054721</v>
      </c>
      <c r="K234" s="339">
        <f t="shared" si="107"/>
        <v>4.0115023905517084</v>
      </c>
      <c r="L234" s="340">
        <f t="shared" si="108"/>
        <v>1.3188563481496183</v>
      </c>
      <c r="M234" s="328">
        <f t="shared" si="92"/>
        <v>1.0019374070782334</v>
      </c>
      <c r="N234" s="331">
        <f t="shared" si="93"/>
        <v>6.2197818059405545E-2</v>
      </c>
      <c r="O234" s="332">
        <f t="shared" si="94"/>
        <v>1.0006031088872915</v>
      </c>
      <c r="P234" s="333">
        <f t="shared" si="95"/>
        <v>9.5297427727203038E-2</v>
      </c>
      <c r="Q234" s="334">
        <f t="shared" si="96"/>
        <v>8.4221198661487158</v>
      </c>
      <c r="R234" s="335">
        <f t="shared" si="97"/>
        <v>-95.239226535947807</v>
      </c>
      <c r="S234" s="337">
        <f t="shared" si="98"/>
        <v>84.760773464052193</v>
      </c>
      <c r="U234" s="310">
        <f t="shared" si="104"/>
        <v>1000000000</v>
      </c>
      <c r="V234" s="310">
        <f t="shared" si="105"/>
        <v>190550416</v>
      </c>
      <c r="X234" s="336">
        <f t="shared" si="99"/>
        <v>3.0971031703900094</v>
      </c>
      <c r="Y234" s="337">
        <f t="shared" si="100"/>
        <v>-17.996870837709238</v>
      </c>
      <c r="AA234" s="336">
        <f t="shared" si="101"/>
        <v>5.3250166957587064</v>
      </c>
      <c r="AB234" s="337">
        <f t="shared" si="102"/>
        <v>-77.242355698238597</v>
      </c>
      <c r="AD234">
        <f t="shared" si="106"/>
        <v>0</v>
      </c>
      <c r="AE234">
        <f t="shared" si="109"/>
        <v>0</v>
      </c>
    </row>
    <row r="235" spans="1:31" x14ac:dyDescent="0.25">
      <c r="A235" s="338">
        <v>13884.25</v>
      </c>
      <c r="B235" s="355">
        <f t="shared" si="103"/>
        <v>13.88425</v>
      </c>
      <c r="C235" s="328">
        <f t="shared" si="84"/>
        <v>3.2724868366816295</v>
      </c>
      <c r="D235" s="329">
        <f t="shared" si="85"/>
        <v>1.2602509146666045</v>
      </c>
      <c r="E235" s="329">
        <f t="shared" si="86"/>
        <v>1.0000165752032235</v>
      </c>
      <c r="F235" s="330">
        <f t="shared" si="87"/>
        <v>5.7575992008845785E-3</v>
      </c>
      <c r="G235" s="329">
        <f t="shared" si="88"/>
        <v>1</v>
      </c>
      <c r="H235" s="330">
        <f t="shared" si="89"/>
        <v>0</v>
      </c>
      <c r="I235" s="328">
        <f t="shared" si="90"/>
        <v>30345.045794506183</v>
      </c>
      <c r="J235" s="331">
        <f t="shared" si="91"/>
        <v>1.570763372486409</v>
      </c>
      <c r="K235" s="339">
        <f t="shared" si="107"/>
        <v>4.0333781029226401</v>
      </c>
      <c r="L235" s="340">
        <f t="shared" si="108"/>
        <v>1.3202522015761462</v>
      </c>
      <c r="M235" s="328">
        <f t="shared" si="92"/>
        <v>1.0019599768177003</v>
      </c>
      <c r="N235" s="331">
        <f t="shared" si="93"/>
        <v>6.2558467134714565E-2</v>
      </c>
      <c r="O235" s="332">
        <f t="shared" si="94"/>
        <v>1.0006102308816653</v>
      </c>
      <c r="P235" s="333">
        <f t="shared" si="95"/>
        <v>9.585245607198345E-2</v>
      </c>
      <c r="Q235" s="334">
        <f t="shared" si="96"/>
        <v>8.3731290043034718</v>
      </c>
      <c r="R235" s="335">
        <f t="shared" si="97"/>
        <v>-95.306682655016573</v>
      </c>
      <c r="S235" s="337">
        <f t="shared" si="98"/>
        <v>84.693317344983427</v>
      </c>
      <c r="U235" s="310">
        <f t="shared" si="104"/>
        <v>1000000000</v>
      </c>
      <c r="V235" s="310">
        <f t="shared" si="105"/>
        <v>192772398.0625</v>
      </c>
      <c r="X235" s="336">
        <f t="shared" si="99"/>
        <v>3.0937956431837508</v>
      </c>
      <c r="Y235" s="337">
        <f t="shared" si="100"/>
        <v>-17.937568974162172</v>
      </c>
      <c r="AA235" s="336">
        <f t="shared" si="101"/>
        <v>5.2793333611197237</v>
      </c>
      <c r="AB235" s="337">
        <f t="shared" si="102"/>
        <v>-77.369113680854383</v>
      </c>
      <c r="AD235">
        <f t="shared" si="106"/>
        <v>0</v>
      </c>
      <c r="AE235">
        <f t="shared" si="109"/>
        <v>0</v>
      </c>
    </row>
    <row r="236" spans="1:31" x14ac:dyDescent="0.25">
      <c r="A236" s="338">
        <v>13964.5</v>
      </c>
      <c r="B236" s="355">
        <f t="shared" si="103"/>
        <v>13.964499999999999</v>
      </c>
      <c r="C236" s="328">
        <f t="shared" si="84"/>
        <v>3.2896399670735361</v>
      </c>
      <c r="D236" s="329">
        <f t="shared" si="85"/>
        <v>1.2619238825193149</v>
      </c>
      <c r="E236" s="329">
        <f t="shared" si="86"/>
        <v>1.0000167673623954</v>
      </c>
      <c r="F236" s="330">
        <f t="shared" si="87"/>
        <v>5.7908769822563131E-3</v>
      </c>
      <c r="G236" s="329">
        <f t="shared" si="88"/>
        <v>1</v>
      </c>
      <c r="H236" s="330">
        <f t="shared" si="89"/>
        <v>0</v>
      </c>
      <c r="I236" s="328">
        <f t="shared" si="90"/>
        <v>30520.43804993029</v>
      </c>
      <c r="J236" s="331">
        <f t="shared" si="91"/>
        <v>1.5707635618654241</v>
      </c>
      <c r="K236" s="339">
        <f t="shared" si="107"/>
        <v>4.0552615891604109</v>
      </c>
      <c r="L236" s="340">
        <f t="shared" si="108"/>
        <v>1.3216329927274038</v>
      </c>
      <c r="M236" s="328">
        <f t="shared" si="92"/>
        <v>1.0019826768739715</v>
      </c>
      <c r="N236" s="331">
        <f t="shared" si="93"/>
        <v>6.2919099915819066E-2</v>
      </c>
      <c r="O236" s="332">
        <f t="shared" si="94"/>
        <v>1.0006173962335072</v>
      </c>
      <c r="P236" s="333">
        <f t="shared" si="95"/>
        <v>9.6407501945111995E-2</v>
      </c>
      <c r="Q236" s="334">
        <f t="shared" si="96"/>
        <v>8.3244019201102617</v>
      </c>
      <c r="R236" s="335">
        <f t="shared" si="97"/>
        <v>-95.373991843430659</v>
      </c>
      <c r="S236" s="337">
        <f t="shared" si="98"/>
        <v>84.626008156569341</v>
      </c>
      <c r="U236" s="310">
        <f t="shared" si="104"/>
        <v>1000000000</v>
      </c>
      <c r="V236" s="310">
        <f t="shared" si="105"/>
        <v>195007260.25</v>
      </c>
      <c r="X236" s="336">
        <f t="shared" si="99"/>
        <v>3.0905383113617768</v>
      </c>
      <c r="Y236" s="337">
        <f t="shared" si="100"/>
        <v>-17.879129055668976</v>
      </c>
      <c r="AA236" s="336">
        <f t="shared" si="101"/>
        <v>5.2338636087484849</v>
      </c>
      <c r="AB236" s="337">
        <f t="shared" si="102"/>
        <v>-77.494862787761704</v>
      </c>
      <c r="AD236">
        <f t="shared" si="106"/>
        <v>0</v>
      </c>
      <c r="AE236">
        <f t="shared" si="109"/>
        <v>0</v>
      </c>
    </row>
    <row r="237" spans="1:31" x14ac:dyDescent="0.25">
      <c r="A237" s="338">
        <v>14044.75</v>
      </c>
      <c r="B237" s="355">
        <f t="shared" si="103"/>
        <v>14.044750000000001</v>
      </c>
      <c r="C237" s="328">
        <f t="shared" si="84"/>
        <v>3.3068022090465865</v>
      </c>
      <c r="D237" s="329">
        <f t="shared" si="85"/>
        <v>1.263579489621693</v>
      </c>
      <c r="E237" s="329">
        <f t="shared" si="86"/>
        <v>1.0000169606289964</v>
      </c>
      <c r="F237" s="330">
        <f t="shared" si="87"/>
        <v>5.8241547508021503E-3</v>
      </c>
      <c r="G237" s="329">
        <f t="shared" si="88"/>
        <v>1</v>
      </c>
      <c r="H237" s="330">
        <f t="shared" si="89"/>
        <v>0</v>
      </c>
      <c r="I237" s="328">
        <f t="shared" si="90"/>
        <v>30695.830305355477</v>
      </c>
      <c r="J237" s="331">
        <f t="shared" si="91"/>
        <v>1.5707637490802615</v>
      </c>
      <c r="K237" s="339">
        <f t="shared" si="107"/>
        <v>4.0771527240899408</v>
      </c>
      <c r="L237" s="340">
        <f t="shared" si="108"/>
        <v>1.3229989589134352</v>
      </c>
      <c r="M237" s="328">
        <f t="shared" si="92"/>
        <v>1.0020055072381904</v>
      </c>
      <c r="N237" s="331">
        <f t="shared" si="93"/>
        <v>6.3279716310024714E-2</v>
      </c>
      <c r="O237" s="332">
        <f t="shared" si="94"/>
        <v>1.0006246049787273</v>
      </c>
      <c r="P237" s="333">
        <f t="shared" si="95"/>
        <v>9.6962565445025642E-2</v>
      </c>
      <c r="Q237" s="334">
        <f t="shared" si="96"/>
        <v>8.2759357826299009</v>
      </c>
      <c r="R237" s="335">
        <f t="shared" si="97"/>
        <v>-95.44115568983716</v>
      </c>
      <c r="S237" s="337">
        <f t="shared" si="98"/>
        <v>84.55884431016284</v>
      </c>
      <c r="U237" s="310">
        <f t="shared" si="104"/>
        <v>1000000000</v>
      </c>
      <c r="V237" s="310">
        <f t="shared" si="105"/>
        <v>197255002.5625</v>
      </c>
      <c r="X237" s="336">
        <f t="shared" si="99"/>
        <v>3.0873300639188339</v>
      </c>
      <c r="Y237" s="337">
        <f t="shared" si="100"/>
        <v>-17.821537482217234</v>
      </c>
      <c r="AA237" s="336">
        <f t="shared" si="101"/>
        <v>5.1886057187110701</v>
      </c>
      <c r="AB237" s="337">
        <f t="shared" si="102"/>
        <v>-77.619618207619922</v>
      </c>
      <c r="AD237">
        <f t="shared" si="106"/>
        <v>0</v>
      </c>
      <c r="AE237">
        <f t="shared" si="109"/>
        <v>0</v>
      </c>
    </row>
    <row r="238" spans="1:31" x14ac:dyDescent="0.25">
      <c r="A238" s="338">
        <v>14125</v>
      </c>
      <c r="B238" s="355">
        <f t="shared" si="103"/>
        <v>14.125</v>
      </c>
      <c r="C238" s="328">
        <f t="shared" si="84"/>
        <v>3.3239734214668406</v>
      </c>
      <c r="D238" s="329">
        <f t="shared" si="85"/>
        <v>1.2652179958767211</v>
      </c>
      <c r="E238" s="329">
        <f t="shared" si="86"/>
        <v>1.0000171550030255</v>
      </c>
      <c r="F238" s="330">
        <f t="shared" si="87"/>
        <v>5.8574325064483937E-3</v>
      </c>
      <c r="G238" s="329">
        <f t="shared" si="88"/>
        <v>1</v>
      </c>
      <c r="H238" s="330">
        <f t="shared" si="89"/>
        <v>0</v>
      </c>
      <c r="I238" s="328">
        <f t="shared" si="90"/>
        <v>30871.222560781727</v>
      </c>
      <c r="J238" s="331">
        <f t="shared" si="91"/>
        <v>1.5707639341678081</v>
      </c>
      <c r="K238" s="339">
        <f t="shared" si="107"/>
        <v>4.0990513851668728</v>
      </c>
      <c r="L238" s="340">
        <f t="shared" si="108"/>
        <v>1.3243503325970496</v>
      </c>
      <c r="M238" s="328">
        <f t="shared" si="92"/>
        <v>1.0020284679014497</v>
      </c>
      <c r="N238" s="331">
        <f t="shared" si="93"/>
        <v>6.3640316224662721E-2</v>
      </c>
      <c r="O238" s="332">
        <f t="shared" si="94"/>
        <v>1.0006318571534405</v>
      </c>
      <c r="P238" s="333">
        <f t="shared" si="95"/>
        <v>9.7517646670111452E-2</v>
      </c>
      <c r="Q238" s="334">
        <f t="shared" si="96"/>
        <v>8.2277278059421661</v>
      </c>
      <c r="R238" s="335">
        <f t="shared" si="97"/>
        <v>-95.508175768887469</v>
      </c>
      <c r="S238" s="337">
        <f t="shared" si="98"/>
        <v>84.491824231112531</v>
      </c>
      <c r="U238" s="310">
        <f t="shared" si="104"/>
        <v>1000000000</v>
      </c>
      <c r="V238" s="310">
        <f t="shared" si="105"/>
        <v>199515625</v>
      </c>
      <c r="X238" s="336">
        <f t="shared" si="99"/>
        <v>3.0841698194652869</v>
      </c>
      <c r="Y238" s="337">
        <f t="shared" si="100"/>
        <v>-17.764780931473034</v>
      </c>
      <c r="AA238" s="336">
        <f t="shared" si="101"/>
        <v>5.1435579864768783</v>
      </c>
      <c r="AB238" s="337">
        <f t="shared" si="102"/>
        <v>-77.743394837414428</v>
      </c>
      <c r="AD238">
        <f t="shared" si="106"/>
        <v>0</v>
      </c>
      <c r="AE238">
        <f t="shared" si="109"/>
        <v>0</v>
      </c>
    </row>
    <row r="239" spans="1:31" x14ac:dyDescent="0.25">
      <c r="A239" s="338">
        <v>14207.25</v>
      </c>
      <c r="B239" s="355">
        <f t="shared" si="103"/>
        <v>14.20725</v>
      </c>
      <c r="C239" s="328">
        <f t="shared" si="84"/>
        <v>3.3415817407595312</v>
      </c>
      <c r="D239" s="329">
        <f t="shared" si="85"/>
        <v>1.2668798584403134</v>
      </c>
      <c r="E239" s="329">
        <f t="shared" si="86"/>
        <v>1.0000173553704375</v>
      </c>
      <c r="F239" s="330">
        <f t="shared" si="87"/>
        <v>5.8915396007973384E-3</v>
      </c>
      <c r="G239" s="329">
        <f t="shared" si="88"/>
        <v>1</v>
      </c>
      <c r="H239" s="330">
        <f t="shared" si="89"/>
        <v>0</v>
      </c>
      <c r="I239" s="328">
        <f t="shared" si="90"/>
        <v>31050.985962761744</v>
      </c>
      <c r="J239" s="331">
        <f t="shared" si="91"/>
        <v>1.5707641216983701</v>
      </c>
      <c r="K239" s="339">
        <f t="shared" si="107"/>
        <v>4.1215034915817927</v>
      </c>
      <c r="L239" s="340">
        <f t="shared" si="108"/>
        <v>1.3257204810801528</v>
      </c>
      <c r="M239" s="328">
        <f t="shared" si="92"/>
        <v>1.002052135994203</v>
      </c>
      <c r="N239" s="331">
        <f t="shared" si="93"/>
        <v>6.4009885855383322E-2</v>
      </c>
      <c r="O239" s="332">
        <f t="shared" si="94"/>
        <v>1.0006393351722271</v>
      </c>
      <c r="P239" s="333">
        <f t="shared" si="95"/>
        <v>9.8086580191390632E-2</v>
      </c>
      <c r="Q239" s="334">
        <f t="shared" si="96"/>
        <v>8.1785834076191986</v>
      </c>
      <c r="R239" s="335">
        <f t="shared" si="97"/>
        <v>-95.576718576423744</v>
      </c>
      <c r="S239" s="337">
        <f t="shared" si="98"/>
        <v>84.423281423576256</v>
      </c>
      <c r="U239" s="310">
        <f t="shared" si="104"/>
        <v>1000000000</v>
      </c>
      <c r="V239" s="310">
        <f t="shared" si="105"/>
        <v>201845952.5625</v>
      </c>
      <c r="X239" s="336">
        <f t="shared" si="99"/>
        <v>3.0809795261466948</v>
      </c>
      <c r="Y239" s="337">
        <f t="shared" si="100"/>
        <v>-17.707462730805691</v>
      </c>
      <c r="AA239" s="336">
        <f t="shared" si="101"/>
        <v>5.0976038814725051</v>
      </c>
      <c r="AB239" s="337">
        <f t="shared" si="102"/>
        <v>-77.869255845618042</v>
      </c>
      <c r="AD239">
        <f t="shared" si="106"/>
        <v>0</v>
      </c>
      <c r="AE239">
        <f t="shared" si="109"/>
        <v>0</v>
      </c>
    </row>
    <row r="240" spans="1:31" x14ac:dyDescent="0.25">
      <c r="A240" s="338">
        <v>14289.5</v>
      </c>
      <c r="B240" s="355">
        <f t="shared" si="103"/>
        <v>14.2895</v>
      </c>
      <c r="C240" s="328">
        <f t="shared" si="84"/>
        <v>3.3591991920242847</v>
      </c>
      <c r="D240" s="329">
        <f t="shared" si="85"/>
        <v>1.268524294099735</v>
      </c>
      <c r="E240" s="329">
        <f t="shared" si="86"/>
        <v>1.0000175569011633</v>
      </c>
      <c r="F240" s="330">
        <f t="shared" si="87"/>
        <v>5.9256466814389466E-3</v>
      </c>
      <c r="G240" s="329">
        <f t="shared" si="88"/>
        <v>1</v>
      </c>
      <c r="H240" s="330">
        <f t="shared" si="89"/>
        <v>0</v>
      </c>
      <c r="I240" s="328">
        <f t="shared" si="90"/>
        <v>31230.749364742835</v>
      </c>
      <c r="J240" s="331">
        <f t="shared" si="91"/>
        <v>1.5707643070700898</v>
      </c>
      <c r="K240" s="339">
        <f t="shared" si="107"/>
        <v>4.1439632514729965</v>
      </c>
      <c r="L240" s="340">
        <f t="shared" si="108"/>
        <v>1.3270757800195603</v>
      </c>
      <c r="M240" s="328">
        <f t="shared" si="92"/>
        <v>1.0020759409424764</v>
      </c>
      <c r="N240" s="331">
        <f t="shared" si="93"/>
        <v>6.4379437977854989E-2</v>
      </c>
      <c r="O240" s="332">
        <f t="shared" si="94"/>
        <v>1.0006468588896749</v>
      </c>
      <c r="P240" s="333">
        <f t="shared" si="95"/>
        <v>9.86555325414675E-2</v>
      </c>
      <c r="Q240" s="334">
        <f t="shared" si="96"/>
        <v>8.1297044131928047</v>
      </c>
      <c r="R240" s="335">
        <f t="shared" si="97"/>
        <v>-95.645113664837027</v>
      </c>
      <c r="S240" s="337">
        <f t="shared" si="98"/>
        <v>84.354886335162973</v>
      </c>
      <c r="U240" s="310">
        <f t="shared" si="104"/>
        <v>1000000000</v>
      </c>
      <c r="V240" s="310">
        <f t="shared" si="105"/>
        <v>204189810.25</v>
      </c>
      <c r="X240" s="336">
        <f t="shared" si="99"/>
        <v>3.0778374494780869</v>
      </c>
      <c r="Y240" s="337">
        <f t="shared" si="100"/>
        <v>-17.650994219479482</v>
      </c>
      <c r="AA240" s="336">
        <f t="shared" si="101"/>
        <v>5.0518669637147182</v>
      </c>
      <c r="AB240" s="337">
        <f t="shared" si="102"/>
        <v>-77.994119445357569</v>
      </c>
      <c r="AD240">
        <f t="shared" si="106"/>
        <v>0</v>
      </c>
      <c r="AE240">
        <f t="shared" si="109"/>
        <v>0</v>
      </c>
    </row>
    <row r="241" spans="1:31" x14ac:dyDescent="0.25">
      <c r="A241" s="338">
        <v>14371.75</v>
      </c>
      <c r="B241" s="355">
        <f t="shared" si="103"/>
        <v>14.37175</v>
      </c>
      <c r="C241" s="328">
        <f t="shared" si="84"/>
        <v>3.3768256323321322</v>
      </c>
      <c r="D241" s="329">
        <f t="shared" si="85"/>
        <v>1.2701515667872367</v>
      </c>
      <c r="E241" s="329">
        <f t="shared" si="86"/>
        <v>1.0000177595952022</v>
      </c>
      <c r="F241" s="330">
        <f t="shared" si="87"/>
        <v>5.9597537482938721E-3</v>
      </c>
      <c r="G241" s="329">
        <f t="shared" si="88"/>
        <v>1</v>
      </c>
      <c r="H241" s="330">
        <f t="shared" si="89"/>
        <v>0</v>
      </c>
      <c r="I241" s="328">
        <f t="shared" si="90"/>
        <v>31410.512766724994</v>
      </c>
      <c r="J241" s="331">
        <f t="shared" si="91"/>
        <v>1.5707644903200324</v>
      </c>
      <c r="K241" s="339">
        <f t="shared" si="107"/>
        <v>4.1664305410689009</v>
      </c>
      <c r="L241" s="340">
        <f t="shared" si="108"/>
        <v>1.3284164646221628</v>
      </c>
      <c r="M241" s="328">
        <f t="shared" si="92"/>
        <v>1.0020998827365168</v>
      </c>
      <c r="N241" s="331">
        <f t="shared" si="93"/>
        <v>6.4748972492390491E-2</v>
      </c>
      <c r="O241" s="332">
        <f t="shared" si="94"/>
        <v>1.0006544283453387</v>
      </c>
      <c r="P241" s="333">
        <f t="shared" si="95"/>
        <v>9.9224503826105245E-2</v>
      </c>
      <c r="Q241" s="334">
        <f t="shared" si="96"/>
        <v>8.0810879641854285</v>
      </c>
      <c r="R241" s="335">
        <f t="shared" si="97"/>
        <v>-95.71336268244562</v>
      </c>
      <c r="S241" s="337">
        <f t="shared" si="98"/>
        <v>84.28663731755438</v>
      </c>
      <c r="U241" s="310">
        <f t="shared" si="104"/>
        <v>1000000000</v>
      </c>
      <c r="V241" s="310">
        <f t="shared" si="105"/>
        <v>206547198.0625</v>
      </c>
      <c r="X241" s="336">
        <f t="shared" si="99"/>
        <v>3.0747425160210788</v>
      </c>
      <c r="Y241" s="337">
        <f t="shared" si="100"/>
        <v>-17.59536191754421</v>
      </c>
      <c r="AA241" s="336">
        <f t="shared" si="101"/>
        <v>5.0063454481643515</v>
      </c>
      <c r="AB241" s="337">
        <f t="shared" si="102"/>
        <v>-78.11800076490141</v>
      </c>
      <c r="AD241">
        <f t="shared" si="106"/>
        <v>0</v>
      </c>
      <c r="AE241">
        <f t="shared" si="109"/>
        <v>0</v>
      </c>
    </row>
    <row r="242" spans="1:31" x14ac:dyDescent="0.25">
      <c r="A242" s="338">
        <v>14454</v>
      </c>
      <c r="B242" s="355">
        <f t="shared" si="103"/>
        <v>14.454000000000001</v>
      </c>
      <c r="C242" s="328">
        <f t="shared" si="84"/>
        <v>3.3944609216506811</v>
      </c>
      <c r="D242" s="329">
        <f t="shared" si="85"/>
        <v>1.2717619353180196</v>
      </c>
      <c r="E242" s="329">
        <f t="shared" si="86"/>
        <v>1.0000179634525532</v>
      </c>
      <c r="F242" s="330">
        <f t="shared" si="87"/>
        <v>5.9938608012827712E-3</v>
      </c>
      <c r="G242" s="329">
        <f t="shared" si="88"/>
        <v>1</v>
      </c>
      <c r="H242" s="330">
        <f t="shared" si="89"/>
        <v>0</v>
      </c>
      <c r="I242" s="328">
        <f t="shared" si="90"/>
        <v>31590.276168708191</v>
      </c>
      <c r="J242" s="331">
        <f t="shared" si="91"/>
        <v>1.5707646714844199</v>
      </c>
      <c r="K242" s="339">
        <f t="shared" si="107"/>
        <v>4.188905239212275</v>
      </c>
      <c r="L242" s="340">
        <f t="shared" si="108"/>
        <v>1.3297427652597309</v>
      </c>
      <c r="M242" s="328">
        <f t="shared" si="92"/>
        <v>1.0021239613665165</v>
      </c>
      <c r="N242" s="331">
        <f t="shared" si="93"/>
        <v>6.5118489299331339E-2</v>
      </c>
      <c r="O242" s="332">
        <f t="shared" si="94"/>
        <v>1.0006620435790012</v>
      </c>
      <c r="P242" s="333">
        <f t="shared" si="95"/>
        <v>9.9793494151010756E-2</v>
      </c>
      <c r="Q242" s="334">
        <f t="shared" si="96"/>
        <v>8.0327312476665629</v>
      </c>
      <c r="R242" s="335">
        <f t="shared" si="97"/>
        <v>-95.781467261364455</v>
      </c>
      <c r="S242" s="337">
        <f t="shared" si="98"/>
        <v>84.218532738635545</v>
      </c>
      <c r="U242" s="310">
        <f t="shared" si="104"/>
        <v>1000000000</v>
      </c>
      <c r="V242" s="310">
        <f t="shared" si="105"/>
        <v>208918116</v>
      </c>
      <c r="X242" s="336">
        <f t="shared" si="99"/>
        <v>3.07169368107275</v>
      </c>
      <c r="Y242" s="337">
        <f t="shared" si="100"/>
        <v>-17.540552622035083</v>
      </c>
      <c r="AA242" s="336">
        <f t="shared" si="101"/>
        <v>4.9610375665938129</v>
      </c>
      <c r="AB242" s="337">
        <f t="shared" si="102"/>
        <v>-78.240914639329361</v>
      </c>
      <c r="AD242">
        <f t="shared" si="106"/>
        <v>0</v>
      </c>
      <c r="AE242">
        <f t="shared" si="109"/>
        <v>0</v>
      </c>
    </row>
    <row r="243" spans="1:31" x14ac:dyDescent="0.25">
      <c r="A243" s="338">
        <v>14622.5</v>
      </c>
      <c r="B243" s="355">
        <f t="shared" si="103"/>
        <v>14.6225</v>
      </c>
      <c r="C243" s="328">
        <f t="shared" si="84"/>
        <v>3.4306162017135935</v>
      </c>
      <c r="D243" s="329">
        <f t="shared" si="85"/>
        <v>1.2750092647647435</v>
      </c>
      <c r="E243" s="329">
        <f t="shared" si="86"/>
        <v>1.0000183847140358</v>
      </c>
      <c r="F243" s="330">
        <f t="shared" si="87"/>
        <v>6.0637335652909867E-3</v>
      </c>
      <c r="G243" s="329">
        <f t="shared" si="88"/>
        <v>1</v>
      </c>
      <c r="H243" s="330">
        <f t="shared" si="89"/>
        <v>0</v>
      </c>
      <c r="I243" s="328">
        <f t="shared" si="90"/>
        <v>31958.545265783334</v>
      </c>
      <c r="J243" s="331">
        <f t="shared" si="91"/>
        <v>1.5707650362592402</v>
      </c>
      <c r="K243" s="339">
        <f t="shared" si="107"/>
        <v>4.2349702679559851</v>
      </c>
      <c r="L243" s="340">
        <f t="shared" si="108"/>
        <v>1.3324158956741559</v>
      </c>
      <c r="M243" s="328">
        <f t="shared" si="92"/>
        <v>1.002173716888374</v>
      </c>
      <c r="N243" s="331">
        <f t="shared" si="93"/>
        <v>6.5875437618974547E-2</v>
      </c>
      <c r="O243" s="332">
        <f t="shared" si="94"/>
        <v>1.0006777875147423</v>
      </c>
      <c r="P243" s="333">
        <f t="shared" si="95"/>
        <v>0.10095920596624863</v>
      </c>
      <c r="Q243" s="334">
        <f t="shared" si="96"/>
        <v>7.9344655847155989</v>
      </c>
      <c r="R243" s="335">
        <f t="shared" si="97"/>
        <v>-95.920544239418447</v>
      </c>
      <c r="S243" s="337">
        <f t="shared" si="98"/>
        <v>84.079455760581553</v>
      </c>
      <c r="U243" s="310">
        <f t="shared" si="104"/>
        <v>1000000000</v>
      </c>
      <c r="V243" s="310">
        <f t="shared" si="105"/>
        <v>213817506.25</v>
      </c>
      <c r="X243" s="336">
        <f t="shared" si="99"/>
        <v>3.065587438624747</v>
      </c>
      <c r="Y243" s="337">
        <f t="shared" si="100"/>
        <v>-17.430784375157803</v>
      </c>
      <c r="AA243" s="336">
        <f t="shared" si="101"/>
        <v>4.868878146090851</v>
      </c>
      <c r="AB243" s="337">
        <f t="shared" si="102"/>
        <v>-78.489759864260634</v>
      </c>
      <c r="AD243">
        <f t="shared" si="106"/>
        <v>0</v>
      </c>
      <c r="AE243">
        <f t="shared" si="109"/>
        <v>0</v>
      </c>
    </row>
    <row r="244" spans="1:31" x14ac:dyDescent="0.25">
      <c r="A244" s="338">
        <v>14706.75</v>
      </c>
      <c r="B244" s="355">
        <f t="shared" si="103"/>
        <v>14.70675</v>
      </c>
      <c r="C244" s="328">
        <f t="shared" si="84"/>
        <v>3.4487071945053476</v>
      </c>
      <c r="D244" s="329">
        <f t="shared" si="85"/>
        <v>1.276607388003969</v>
      </c>
      <c r="E244" s="329">
        <f t="shared" si="86"/>
        <v>1.0000185971756357</v>
      </c>
      <c r="F244" s="330">
        <f t="shared" si="87"/>
        <v>6.0986699251341942E-3</v>
      </c>
      <c r="G244" s="329">
        <f t="shared" si="88"/>
        <v>1</v>
      </c>
      <c r="H244" s="330">
        <f t="shared" si="89"/>
        <v>0</v>
      </c>
      <c r="I244" s="328">
        <f t="shared" si="90"/>
        <v>32142.679814322473</v>
      </c>
      <c r="J244" s="331">
        <f t="shared" si="91"/>
        <v>1.570765215512143</v>
      </c>
      <c r="K244" s="339">
        <f t="shared" si="107"/>
        <v>4.2580139462216033</v>
      </c>
      <c r="L244" s="340">
        <f t="shared" si="108"/>
        <v>1.3337307668829548</v>
      </c>
      <c r="M244" s="328">
        <f t="shared" si="92"/>
        <v>1.0021988099643218</v>
      </c>
      <c r="N244" s="331">
        <f t="shared" si="93"/>
        <v>6.625388348558163E-2</v>
      </c>
      <c r="O244" s="332">
        <f t="shared" si="94"/>
        <v>1.0006857317009739</v>
      </c>
      <c r="P244" s="333">
        <f t="shared" si="95"/>
        <v>0.10154209229003544</v>
      </c>
      <c r="Q244" s="334">
        <f t="shared" si="96"/>
        <v>7.8857299001783812</v>
      </c>
      <c r="R244" s="335">
        <f t="shared" si="97"/>
        <v>-95.989862227063441</v>
      </c>
      <c r="S244" s="337">
        <f t="shared" si="98"/>
        <v>84.010137772936559</v>
      </c>
      <c r="U244" s="310">
        <f t="shared" si="104"/>
        <v>1000000000</v>
      </c>
      <c r="V244" s="310">
        <f t="shared" si="105"/>
        <v>216288495.5625</v>
      </c>
      <c r="X244" s="336">
        <f t="shared" si="99"/>
        <v>3.0626026384287903</v>
      </c>
      <c r="Y244" s="337">
        <f t="shared" si="100"/>
        <v>-17.377141425594619</v>
      </c>
      <c r="AA244" s="336">
        <f t="shared" si="101"/>
        <v>4.8231272617495868</v>
      </c>
      <c r="AB244" s="337">
        <f t="shared" si="102"/>
        <v>-78.612720801468839</v>
      </c>
      <c r="AD244">
        <f t="shared" si="106"/>
        <v>0</v>
      </c>
      <c r="AE244">
        <f t="shared" si="109"/>
        <v>0</v>
      </c>
    </row>
    <row r="245" spans="1:31" x14ac:dyDescent="0.25">
      <c r="A245" s="338">
        <v>14791</v>
      </c>
      <c r="B245" s="355">
        <f t="shared" si="103"/>
        <v>14.791</v>
      </c>
      <c r="C245" s="328">
        <f t="shared" si="84"/>
        <v>3.4668069033486875</v>
      </c>
      <c r="D245" s="329">
        <f t="shared" si="85"/>
        <v>1.2781888280960192</v>
      </c>
      <c r="E245" s="329">
        <f t="shared" si="86"/>
        <v>1.0000188108578072</v>
      </c>
      <c r="F245" s="330">
        <f t="shared" si="87"/>
        <v>6.1336062700897689E-3</v>
      </c>
      <c r="G245" s="329">
        <f t="shared" si="88"/>
        <v>1</v>
      </c>
      <c r="H245" s="330">
        <f t="shared" si="89"/>
        <v>0</v>
      </c>
      <c r="I245" s="328">
        <f t="shared" si="90"/>
        <v>32326.814362862639</v>
      </c>
      <c r="J245" s="331">
        <f t="shared" si="91"/>
        <v>1.5707653927229854</v>
      </c>
      <c r="K245" s="339">
        <f t="shared" si="107"/>
        <v>4.2810649068510305</v>
      </c>
      <c r="L245" s="340">
        <f t="shared" si="108"/>
        <v>1.3350314807385604</v>
      </c>
      <c r="M245" s="328">
        <f t="shared" si="92"/>
        <v>1.0022240465692602</v>
      </c>
      <c r="N245" s="331">
        <f t="shared" si="93"/>
        <v>6.663231034739564E-2</v>
      </c>
      <c r="O245" s="332">
        <f t="shared" si="94"/>
        <v>1.0006937240910232</v>
      </c>
      <c r="P245" s="333">
        <f t="shared" si="95"/>
        <v>0.10212499904243251</v>
      </c>
      <c r="Q245" s="334">
        <f t="shared" si="96"/>
        <v>7.8372551851381225</v>
      </c>
      <c r="R245" s="335">
        <f t="shared" si="97"/>
        <v>-96.059035462803521</v>
      </c>
      <c r="S245" s="337">
        <f t="shared" si="98"/>
        <v>83.940964537196479</v>
      </c>
      <c r="U245" s="310">
        <f t="shared" si="104"/>
        <v>1000000000</v>
      </c>
      <c r="V245" s="310">
        <f t="shared" si="105"/>
        <v>218773681</v>
      </c>
      <c r="X245" s="336">
        <f t="shared" si="99"/>
        <v>3.059662033581465</v>
      </c>
      <c r="Y245" s="337">
        <f t="shared" si="100"/>
        <v>-17.32430842672353</v>
      </c>
      <c r="AA245" s="336">
        <f t="shared" si="101"/>
        <v>4.7775931515566574</v>
      </c>
      <c r="AB245" s="337">
        <f t="shared" si="102"/>
        <v>-78.73472703607996</v>
      </c>
      <c r="AD245">
        <f t="shared" si="106"/>
        <v>0</v>
      </c>
      <c r="AE245">
        <f t="shared" si="109"/>
        <v>0</v>
      </c>
    </row>
    <row r="246" spans="1:31" x14ac:dyDescent="0.25">
      <c r="A246" s="338">
        <v>14877.25</v>
      </c>
      <c r="B246" s="355">
        <f t="shared" si="103"/>
        <v>14.87725</v>
      </c>
      <c r="C246" s="328">
        <f t="shared" si="84"/>
        <v>3.485345165965466</v>
      </c>
      <c r="D246" s="329">
        <f t="shared" si="85"/>
        <v>1.2797907910637583</v>
      </c>
      <c r="E246" s="329">
        <f t="shared" si="86"/>
        <v>1.0000190308769294</v>
      </c>
      <c r="F246" s="330">
        <f t="shared" si="87"/>
        <v>6.1693719489695079E-3</v>
      </c>
      <c r="G246" s="329">
        <f t="shared" si="88"/>
        <v>1</v>
      </c>
      <c r="H246" s="330">
        <f t="shared" si="89"/>
        <v>0</v>
      </c>
      <c r="I246" s="328">
        <f t="shared" si="90"/>
        <v>32515.320057956716</v>
      </c>
      <c r="J246" s="331">
        <f t="shared" si="91"/>
        <v>1.5707655720614855</v>
      </c>
      <c r="K246" s="339">
        <f t="shared" si="107"/>
        <v>4.3046704928757364</v>
      </c>
      <c r="L246" s="340">
        <f t="shared" si="108"/>
        <v>1.3363486395150139</v>
      </c>
      <c r="M246" s="328">
        <f t="shared" si="92"/>
        <v>1.00225003093168</v>
      </c>
      <c r="N246" s="331">
        <f t="shared" si="93"/>
        <v>6.7019700837658125E-2</v>
      </c>
      <c r="O246" s="332">
        <f t="shared" si="94"/>
        <v>1.0007019561911923</v>
      </c>
      <c r="P246" s="333">
        <f t="shared" si="95"/>
        <v>0.10272176462393096</v>
      </c>
      <c r="Q246" s="334">
        <f t="shared" si="96"/>
        <v>7.7878971581507193</v>
      </c>
      <c r="R246" s="335">
        <f t="shared" si="97"/>
        <v>-96.129702583214566</v>
      </c>
      <c r="S246" s="337">
        <f t="shared" si="98"/>
        <v>83.870297416785434</v>
      </c>
      <c r="U246" s="310">
        <f t="shared" si="104"/>
        <v>1000000000</v>
      </c>
      <c r="V246" s="310">
        <f t="shared" si="105"/>
        <v>221332567.5625</v>
      </c>
      <c r="X246" s="336">
        <f t="shared" si="99"/>
        <v>3.0566963804296661</v>
      </c>
      <c r="Y246" s="337">
        <f t="shared" si="100"/>
        <v>-17.27104690327797</v>
      </c>
      <c r="AA246" s="336">
        <f t="shared" si="101"/>
        <v>4.7312007777210541</v>
      </c>
      <c r="AB246" s="337">
        <f t="shared" si="102"/>
        <v>-78.858655679936575</v>
      </c>
      <c r="AD246">
        <f t="shared" si="106"/>
        <v>0</v>
      </c>
      <c r="AE246">
        <f t="shared" si="109"/>
        <v>0</v>
      </c>
    </row>
    <row r="247" spans="1:31" x14ac:dyDescent="0.25">
      <c r="A247" s="338">
        <v>14963.5</v>
      </c>
      <c r="B247" s="355">
        <f t="shared" si="103"/>
        <v>14.9635</v>
      </c>
      <c r="C247" s="328">
        <f t="shared" si="84"/>
        <v>3.5038922783138835</v>
      </c>
      <c r="D247" s="329">
        <f t="shared" si="85"/>
        <v>1.2813757987592924</v>
      </c>
      <c r="E247" s="329">
        <f t="shared" si="86"/>
        <v>1.0000192521752591</v>
      </c>
      <c r="F247" s="330">
        <f t="shared" si="87"/>
        <v>6.2051376120655323E-3</v>
      </c>
      <c r="G247" s="329">
        <f t="shared" si="88"/>
        <v>1</v>
      </c>
      <c r="H247" s="330">
        <f t="shared" si="89"/>
        <v>0</v>
      </c>
      <c r="I247" s="328">
        <f t="shared" si="90"/>
        <v>32703.825753051835</v>
      </c>
      <c r="J247" s="331">
        <f t="shared" si="91"/>
        <v>1.5707657493325622</v>
      </c>
      <c r="K247" s="339">
        <f t="shared" si="107"/>
        <v>4.3282834656367841</v>
      </c>
      <c r="L247" s="340">
        <f t="shared" si="108"/>
        <v>1.3376514289981918</v>
      </c>
      <c r="M247" s="328">
        <f t="shared" si="92"/>
        <v>1.0022761656953449</v>
      </c>
      <c r="N247" s="331">
        <f t="shared" si="93"/>
        <v>6.7407071183318235E-2</v>
      </c>
      <c r="O247" s="332">
        <f t="shared" si="94"/>
        <v>1.0007102389045348</v>
      </c>
      <c r="P247" s="333">
        <f t="shared" si="95"/>
        <v>0.10331855185567874</v>
      </c>
      <c r="Q247" s="334">
        <f t="shared" si="96"/>
        <v>7.7388067687589812</v>
      </c>
      <c r="R247" s="335">
        <f t="shared" si="97"/>
        <v>-96.200221506663794</v>
      </c>
      <c r="S247" s="337">
        <f t="shared" si="98"/>
        <v>83.799778493336206</v>
      </c>
      <c r="U247" s="310">
        <f t="shared" si="104"/>
        <v>1000000000</v>
      </c>
      <c r="V247" s="310">
        <f t="shared" si="105"/>
        <v>223906332.25</v>
      </c>
      <c r="X247" s="336">
        <f t="shared" si="99"/>
        <v>3.0537749953951305</v>
      </c>
      <c r="Y247" s="337">
        <f t="shared" si="100"/>
        <v>-17.218607407037307</v>
      </c>
      <c r="AA247" s="336">
        <f t="shared" si="101"/>
        <v>4.6850317733638498</v>
      </c>
      <c r="AB247" s="337">
        <f t="shared" si="102"/>
        <v>-78.981614099626498</v>
      </c>
      <c r="AD247">
        <f t="shared" si="106"/>
        <v>0</v>
      </c>
      <c r="AE247">
        <f t="shared" si="109"/>
        <v>0</v>
      </c>
    </row>
    <row r="248" spans="1:31" x14ac:dyDescent="0.25">
      <c r="A248" s="338">
        <v>15049.75</v>
      </c>
      <c r="B248" s="355">
        <f t="shared" si="103"/>
        <v>15.04975</v>
      </c>
      <c r="C248" s="328">
        <f t="shared" si="84"/>
        <v>3.5224481006017054</v>
      </c>
      <c r="D248" s="329">
        <f t="shared" si="85"/>
        <v>1.2829441111100783</v>
      </c>
      <c r="E248" s="329">
        <f t="shared" si="86"/>
        <v>1.0000194747527955</v>
      </c>
      <c r="F248" s="330">
        <f t="shared" si="87"/>
        <v>6.2409032592863518E-3</v>
      </c>
      <c r="G248" s="329">
        <f t="shared" si="88"/>
        <v>1</v>
      </c>
      <c r="H248" s="330">
        <f t="shared" si="89"/>
        <v>0</v>
      </c>
      <c r="I248" s="328">
        <f t="shared" si="90"/>
        <v>32892.331448147968</v>
      </c>
      <c r="J248" s="331">
        <f t="shared" si="91"/>
        <v>1.5707659245717605</v>
      </c>
      <c r="K248" s="339">
        <f t="shared" si="107"/>
        <v>4.3519037048952107</v>
      </c>
      <c r="L248" s="340">
        <f t="shared" si="108"/>
        <v>1.3389400787001851</v>
      </c>
      <c r="M248" s="328">
        <f t="shared" si="92"/>
        <v>1.0023024508484901</v>
      </c>
      <c r="N248" s="331">
        <f t="shared" si="93"/>
        <v>6.7794421269702004E-2</v>
      </c>
      <c r="O248" s="332">
        <f t="shared" si="94"/>
        <v>1.000718572278799</v>
      </c>
      <c r="P248" s="333">
        <f t="shared" si="95"/>
        <v>0.10391536085909085</v>
      </c>
      <c r="Q248" s="334">
        <f t="shared" si="96"/>
        <v>7.6899811187802856</v>
      </c>
      <c r="R248" s="335">
        <f t="shared" si="97"/>
        <v>-96.270593978251384</v>
      </c>
      <c r="S248" s="337">
        <f t="shared" si="98"/>
        <v>83.729406021748616</v>
      </c>
      <c r="U248" s="310">
        <f t="shared" si="104"/>
        <v>1000000000</v>
      </c>
      <c r="V248" s="310">
        <f t="shared" si="105"/>
        <v>226494975.0625</v>
      </c>
      <c r="X248" s="336">
        <f t="shared" si="99"/>
        <v>3.0508968828681122</v>
      </c>
      <c r="Y248" s="337">
        <f t="shared" si="100"/>
        <v>-17.166976783393579</v>
      </c>
      <c r="AA248" s="336">
        <f t="shared" si="101"/>
        <v>4.6390842359121738</v>
      </c>
      <c r="AB248" s="337">
        <f t="shared" si="102"/>
        <v>-79.103617194857804</v>
      </c>
      <c r="AD248">
        <f t="shared" si="106"/>
        <v>0</v>
      </c>
      <c r="AE248">
        <f t="shared" si="109"/>
        <v>0</v>
      </c>
    </row>
    <row r="249" spans="1:31" x14ac:dyDescent="0.25">
      <c r="A249" s="338">
        <v>15136</v>
      </c>
      <c r="B249" s="355">
        <f t="shared" si="103"/>
        <v>15.135999999999999</v>
      </c>
      <c r="C249" s="328">
        <f t="shared" si="84"/>
        <v>3.5410124959019211</v>
      </c>
      <c r="D249" s="329">
        <f t="shared" si="85"/>
        <v>1.2844959829250693</v>
      </c>
      <c r="E249" s="329">
        <f t="shared" si="86"/>
        <v>1.000019698609538</v>
      </c>
      <c r="F249" s="330">
        <f t="shared" si="87"/>
        <v>6.2766688905404738E-3</v>
      </c>
      <c r="G249" s="329">
        <f t="shared" si="88"/>
        <v>1</v>
      </c>
      <c r="H249" s="330">
        <f t="shared" si="89"/>
        <v>0</v>
      </c>
      <c r="I249" s="328">
        <f t="shared" si="90"/>
        <v>33080.837143245102</v>
      </c>
      <c r="J249" s="331">
        <f t="shared" si="91"/>
        <v>1.5707660978138154</v>
      </c>
      <c r="K249" s="339">
        <f t="shared" si="107"/>
        <v>4.3755310929717641</v>
      </c>
      <c r="L249" s="340">
        <f t="shared" si="108"/>
        <v>1.340214813365866</v>
      </c>
      <c r="M249" s="328">
        <f t="shared" si="92"/>
        <v>1.0023288863792839</v>
      </c>
      <c r="N249" s="331">
        <f t="shared" si="93"/>
        <v>6.8181750982171829E-2</v>
      </c>
      <c r="O249" s="332">
        <f t="shared" si="94"/>
        <v>1.0007269563620063</v>
      </c>
      <c r="P249" s="333">
        <f t="shared" si="95"/>
        <v>0.10451219175551109</v>
      </c>
      <c r="Q249" s="334">
        <f t="shared" si="96"/>
        <v>7.6414173563368557</v>
      </c>
      <c r="R249" s="335">
        <f t="shared" si="97"/>
        <v>-96.340821722901921</v>
      </c>
      <c r="S249" s="337">
        <f t="shared" si="98"/>
        <v>83.659178277098079</v>
      </c>
      <c r="U249" s="310">
        <f t="shared" si="104"/>
        <v>1000000000</v>
      </c>
      <c r="V249" s="310">
        <f t="shared" si="105"/>
        <v>229098496</v>
      </c>
      <c r="X249" s="336">
        <f t="shared" si="99"/>
        <v>3.0480610740609522</v>
      </c>
      <c r="Y249" s="337">
        <f t="shared" si="100"/>
        <v>-17.116142150836076</v>
      </c>
      <c r="AA249" s="336">
        <f t="shared" si="101"/>
        <v>4.5933562822759049</v>
      </c>
      <c r="AB249" s="337">
        <f t="shared" si="102"/>
        <v>-79.224679572065838</v>
      </c>
      <c r="AD249">
        <f t="shared" si="106"/>
        <v>0</v>
      </c>
      <c r="AE249">
        <f t="shared" si="109"/>
        <v>0</v>
      </c>
    </row>
    <row r="250" spans="1:31" x14ac:dyDescent="0.25">
      <c r="A250" s="338">
        <v>15224</v>
      </c>
      <c r="B250" s="355">
        <f t="shared" si="103"/>
        <v>15.224</v>
      </c>
      <c r="C250" s="328">
        <f t="shared" si="84"/>
        <v>3.559962256623479</v>
      </c>
      <c r="D250" s="329">
        <f t="shared" si="85"/>
        <v>1.2860626568914675</v>
      </c>
      <c r="E250" s="329">
        <f t="shared" si="86"/>
        <v>1.0000199283267017</v>
      </c>
      <c r="F250" s="330">
        <f t="shared" si="87"/>
        <v>6.3131601847184601E-3</v>
      </c>
      <c r="G250" s="329">
        <f t="shared" si="88"/>
        <v>1</v>
      </c>
      <c r="H250" s="330">
        <f t="shared" si="89"/>
        <v>0</v>
      </c>
      <c r="I250" s="328">
        <f t="shared" si="90"/>
        <v>33273.16759157709</v>
      </c>
      <c r="J250" s="331">
        <f t="shared" si="91"/>
        <v>1.57076627254781</v>
      </c>
      <c r="K250" s="339">
        <f t="shared" si="107"/>
        <v>4.399645125684728</v>
      </c>
      <c r="L250" s="340">
        <f t="shared" si="108"/>
        <v>1.3415012991638937</v>
      </c>
      <c r="M250" s="328">
        <f t="shared" si="92"/>
        <v>1.0023560132561342</v>
      </c>
      <c r="N250" s="331">
        <f t="shared" si="93"/>
        <v>6.8576918441278348E-2</v>
      </c>
      <c r="O250" s="332">
        <f t="shared" si="94"/>
        <v>1.0007355628698569</v>
      </c>
      <c r="P250" s="333">
        <f t="shared" si="95"/>
        <v>0.10512115495397881</v>
      </c>
      <c r="Q250" s="334">
        <f t="shared" si="96"/>
        <v>7.5921352422379575</v>
      </c>
      <c r="R250" s="335">
        <f t="shared" si="97"/>
        <v>-96.412326985634522</v>
      </c>
      <c r="S250" s="337">
        <f t="shared" si="98"/>
        <v>83.587673014365478</v>
      </c>
      <c r="U250" s="310">
        <f t="shared" si="104"/>
        <v>1000000000</v>
      </c>
      <c r="V250" s="310">
        <f t="shared" si="105"/>
        <v>231770176</v>
      </c>
      <c r="X250" s="336">
        <f t="shared" si="99"/>
        <v>3.0452103488885518</v>
      </c>
      <c r="Y250" s="337">
        <f t="shared" si="100"/>
        <v>-17.065083383275365</v>
      </c>
      <c r="AA250" s="336">
        <f t="shared" si="101"/>
        <v>4.546924893349404</v>
      </c>
      <c r="AB250" s="337">
        <f t="shared" si="102"/>
        <v>-79.347243602359143</v>
      </c>
      <c r="AD250">
        <f t="shared" si="106"/>
        <v>0</v>
      </c>
      <c r="AE250">
        <f t="shared" si="109"/>
        <v>0</v>
      </c>
    </row>
    <row r="251" spans="1:31" x14ac:dyDescent="0.25">
      <c r="A251" s="338">
        <v>15312</v>
      </c>
      <c r="B251" s="355">
        <f t="shared" si="103"/>
        <v>15.311999999999999</v>
      </c>
      <c r="C251" s="328">
        <f t="shared" si="84"/>
        <v>3.5789206626132408</v>
      </c>
      <c r="D251" s="329">
        <f t="shared" si="85"/>
        <v>1.2876127365292065</v>
      </c>
      <c r="E251" s="329">
        <f t="shared" si="86"/>
        <v>1.0000201593755063</v>
      </c>
      <c r="F251" s="330">
        <f t="shared" si="87"/>
        <v>6.3496514620828386E-3</v>
      </c>
      <c r="G251" s="329">
        <f t="shared" si="88"/>
        <v>1</v>
      </c>
      <c r="H251" s="330">
        <f t="shared" si="89"/>
        <v>0</v>
      </c>
      <c r="I251" s="328">
        <f t="shared" si="90"/>
        <v>33465.49803991009</v>
      </c>
      <c r="J251" s="331">
        <f t="shared" si="91"/>
        <v>1.5707664452733678</v>
      </c>
      <c r="K251" s="339">
        <f t="shared" si="107"/>
        <v>4.423766360620065</v>
      </c>
      <c r="L251" s="340">
        <f t="shared" si="108"/>
        <v>1.3427737575437868</v>
      </c>
      <c r="M251" s="328">
        <f t="shared" si="92"/>
        <v>1.0023832966497275</v>
      </c>
      <c r="N251" s="331">
        <f t="shared" si="93"/>
        <v>6.8972064450337239E-2</v>
      </c>
      <c r="O251" s="332">
        <f t="shared" si="94"/>
        <v>1.0007442222671465</v>
      </c>
      <c r="P251" s="333">
        <f t="shared" si="95"/>
        <v>0.10573014119784954</v>
      </c>
      <c r="Q251" s="334">
        <f t="shared" si="96"/>
        <v>7.5431198960478536</v>
      </c>
      <c r="R251" s="335">
        <f t="shared" si="97"/>
        <v>-96.483685152522995</v>
      </c>
      <c r="S251" s="337">
        <f t="shared" si="98"/>
        <v>83.516314847477005</v>
      </c>
      <c r="U251" s="310">
        <f t="shared" si="104"/>
        <v>1000000000</v>
      </c>
      <c r="V251" s="310">
        <f t="shared" si="105"/>
        <v>234457344</v>
      </c>
      <c r="X251" s="336">
        <f t="shared" si="99"/>
        <v>3.0424017057321247</v>
      </c>
      <c r="Y251" s="337">
        <f t="shared" si="100"/>
        <v>-17.014826983500008</v>
      </c>
      <c r="AA251" s="336">
        <f t="shared" si="101"/>
        <v>4.5007181903157329</v>
      </c>
      <c r="AB251" s="337">
        <f t="shared" si="102"/>
        <v>-79.468858169023008</v>
      </c>
      <c r="AD251">
        <f t="shared" si="106"/>
        <v>0</v>
      </c>
      <c r="AE251">
        <f t="shared" si="109"/>
        <v>0</v>
      </c>
    </row>
    <row r="252" spans="1:31" x14ac:dyDescent="0.25">
      <c r="A252" s="338">
        <v>15400</v>
      </c>
      <c r="B252" s="355">
        <f t="shared" si="103"/>
        <v>15.4</v>
      </c>
      <c r="C252" s="328">
        <f t="shared" si="84"/>
        <v>3.5978875772072634</v>
      </c>
      <c r="D252" s="329">
        <f t="shared" si="85"/>
        <v>1.2891464767699319</v>
      </c>
      <c r="E252" s="329">
        <f t="shared" si="86"/>
        <v>1.00002039175595</v>
      </c>
      <c r="F252" s="330">
        <f t="shared" si="87"/>
        <v>6.3861427225364378E-3</v>
      </c>
      <c r="G252" s="329">
        <f t="shared" si="88"/>
        <v>1</v>
      </c>
      <c r="H252" s="330">
        <f t="shared" si="89"/>
        <v>0</v>
      </c>
      <c r="I252" s="328">
        <f t="shared" si="90"/>
        <v>33657.828488244086</v>
      </c>
      <c r="J252" s="331">
        <f t="shared" si="91"/>
        <v>1.5707666160249194</v>
      </c>
      <c r="K252" s="339">
        <f t="shared" si="107"/>
        <v>4.4478946806033557</v>
      </c>
      <c r="L252" s="340">
        <f t="shared" si="108"/>
        <v>1.3440324126330243</v>
      </c>
      <c r="M252" s="328">
        <f t="shared" si="92"/>
        <v>1.0024107365472841</v>
      </c>
      <c r="N252" s="331">
        <f t="shared" si="93"/>
        <v>6.936718888770857E-2</v>
      </c>
      <c r="O252" s="332">
        <f t="shared" si="94"/>
        <v>1.0007529346057611</v>
      </c>
      <c r="P252" s="333">
        <f t="shared" si="95"/>
        <v>0.10633915061577198</v>
      </c>
      <c r="Q252" s="334">
        <f t="shared" si="96"/>
        <v>7.494368431484526</v>
      </c>
      <c r="R252" s="335">
        <f t="shared" si="97"/>
        <v>-96.554897990896066</v>
      </c>
      <c r="S252" s="337">
        <f t="shared" si="98"/>
        <v>83.445102009103934</v>
      </c>
      <c r="U252" s="310">
        <f t="shared" si="104"/>
        <v>1000000000</v>
      </c>
      <c r="V252" s="310">
        <f t="shared" si="105"/>
        <v>237160000</v>
      </c>
      <c r="X252" s="336">
        <f t="shared" si="99"/>
        <v>3.039634196548878</v>
      </c>
      <c r="Y252" s="337">
        <f t="shared" si="100"/>
        <v>-16.965360104954616</v>
      </c>
      <c r="AA252" s="336">
        <f t="shared" si="101"/>
        <v>4.4547342349356489</v>
      </c>
      <c r="AB252" s="337">
        <f t="shared" si="102"/>
        <v>-79.589537885941425</v>
      </c>
      <c r="AD252">
        <f t="shared" si="106"/>
        <v>0</v>
      </c>
      <c r="AE252">
        <f t="shared" si="109"/>
        <v>0</v>
      </c>
    </row>
    <row r="253" spans="1:31" x14ac:dyDescent="0.25">
      <c r="A253" s="338">
        <v>15488</v>
      </c>
      <c r="B253" s="355">
        <f t="shared" si="103"/>
        <v>15.488</v>
      </c>
      <c r="C253" s="328">
        <f t="shared" si="84"/>
        <v>3.6168628665475824</v>
      </c>
      <c r="D253" s="329">
        <f t="shared" si="85"/>
        <v>1.29066412750656</v>
      </c>
      <c r="E253" s="329">
        <f t="shared" si="86"/>
        <v>1.0000206254680324</v>
      </c>
      <c r="F253" s="330">
        <f t="shared" si="87"/>
        <v>6.422633965982083E-3</v>
      </c>
      <c r="G253" s="329">
        <f t="shared" si="88"/>
        <v>1</v>
      </c>
      <c r="H253" s="330">
        <f t="shared" si="89"/>
        <v>0</v>
      </c>
      <c r="I253" s="328">
        <f t="shared" si="90"/>
        <v>33850.158936579042</v>
      </c>
      <c r="J253" s="331">
        <f t="shared" si="91"/>
        <v>1.5707667848361124</v>
      </c>
      <c r="K253" s="339">
        <f t="shared" si="107"/>
        <v>4.4720299709549325</v>
      </c>
      <c r="L253" s="340">
        <f t="shared" si="108"/>
        <v>1.3452774838977508</v>
      </c>
      <c r="M253" s="328">
        <f t="shared" si="92"/>
        <v>1.0024383329359519</v>
      </c>
      <c r="N253" s="331">
        <f t="shared" si="93"/>
        <v>6.9762291631792581E-2</v>
      </c>
      <c r="O253" s="332">
        <f t="shared" si="94"/>
        <v>1.0007616999378837</v>
      </c>
      <c r="P253" s="333">
        <f t="shared" si="95"/>
        <v>0.10694818333631564</v>
      </c>
      <c r="Q253" s="334">
        <f t="shared" si="96"/>
        <v>7.4458780082876528</v>
      </c>
      <c r="R253" s="335">
        <f t="shared" si="97"/>
        <v>-96.625967246411946</v>
      </c>
      <c r="S253" s="337">
        <f t="shared" si="98"/>
        <v>83.374032753588054</v>
      </c>
      <c r="U253" s="310">
        <f t="shared" si="104"/>
        <v>1000000000</v>
      </c>
      <c r="V253" s="310">
        <f t="shared" si="105"/>
        <v>239878144</v>
      </c>
      <c r="X253" s="336">
        <f t="shared" si="99"/>
        <v>3.0369068988225485</v>
      </c>
      <c r="Y253" s="337">
        <f t="shared" si="100"/>
        <v>-16.916670168116084</v>
      </c>
      <c r="AA253" s="336">
        <f t="shared" si="101"/>
        <v>4.4089711094651038</v>
      </c>
      <c r="AB253" s="337">
        <f t="shared" si="102"/>
        <v>-79.70929707829589</v>
      </c>
      <c r="AD253">
        <f t="shared" si="106"/>
        <v>0</v>
      </c>
      <c r="AE253">
        <f t="shared" si="109"/>
        <v>0</v>
      </c>
    </row>
    <row r="254" spans="1:31" x14ac:dyDescent="0.25">
      <c r="A254" s="338">
        <v>15578.25</v>
      </c>
      <c r="B254" s="355">
        <f t="shared" si="103"/>
        <v>15.578250000000001</v>
      </c>
      <c r="C254" s="328">
        <f t="shared" si="84"/>
        <v>3.6363318808735303</v>
      </c>
      <c r="D254" s="329">
        <f t="shared" si="85"/>
        <v>1.2922041265664461</v>
      </c>
      <c r="E254" s="329">
        <f t="shared" si="86"/>
        <v>1.0000208665388524</v>
      </c>
      <c r="F254" s="330">
        <f t="shared" si="87"/>
        <v>6.4600582064073212E-3</v>
      </c>
      <c r="G254" s="329">
        <f t="shared" si="88"/>
        <v>1</v>
      </c>
      <c r="H254" s="330">
        <f t="shared" si="89"/>
        <v>0</v>
      </c>
      <c r="I254" s="328">
        <f t="shared" si="90"/>
        <v>34047.406924787196</v>
      </c>
      <c r="J254" s="331">
        <f t="shared" si="91"/>
        <v>1.5707669559825364</v>
      </c>
      <c r="K254" s="339">
        <f t="shared" si="107"/>
        <v>4.4967894792050336</v>
      </c>
      <c r="L254" s="340">
        <f t="shared" si="108"/>
        <v>1.3465405052445933</v>
      </c>
      <c r="M254" s="328">
        <f t="shared" si="92"/>
        <v>1.0024667974446164</v>
      </c>
      <c r="N254" s="331">
        <f t="shared" si="93"/>
        <v>7.0167473774972317E-2</v>
      </c>
      <c r="O254" s="332">
        <f t="shared" si="94"/>
        <v>1.0007707444818388</v>
      </c>
      <c r="P254" s="333">
        <f t="shared" si="95"/>
        <v>0.10757281225473474</v>
      </c>
      <c r="Q254" s="334">
        <f t="shared" si="96"/>
        <v>7.3964159835729841</v>
      </c>
      <c r="R254" s="335">
        <f t="shared" si="97"/>
        <v>-96.698706282937096</v>
      </c>
      <c r="S254" s="337">
        <f t="shared" si="98"/>
        <v>83.301293717062904</v>
      </c>
      <c r="U254" s="310">
        <f t="shared" si="104"/>
        <v>1000000000</v>
      </c>
      <c r="V254" s="310">
        <f t="shared" si="105"/>
        <v>242681873.0625</v>
      </c>
      <c r="X254" s="336">
        <f t="shared" si="99"/>
        <v>3.0341506955377477</v>
      </c>
      <c r="Y254" s="337">
        <f t="shared" si="100"/>
        <v>-16.867529408156955</v>
      </c>
      <c r="AA254" s="336">
        <f t="shared" si="101"/>
        <v>4.3622652880352373</v>
      </c>
      <c r="AB254" s="337">
        <f t="shared" si="102"/>
        <v>-79.831176874780127</v>
      </c>
      <c r="AD254">
        <f t="shared" si="106"/>
        <v>0</v>
      </c>
      <c r="AE254">
        <f t="shared" si="109"/>
        <v>0</v>
      </c>
    </row>
    <row r="255" spans="1:31" x14ac:dyDescent="0.25">
      <c r="A255" s="338">
        <v>15668.5</v>
      </c>
      <c r="B255" s="355">
        <f t="shared" si="103"/>
        <v>15.6685</v>
      </c>
      <c r="C255" s="328">
        <f t="shared" si="84"/>
        <v>3.6558094272484647</v>
      </c>
      <c r="D255" s="329">
        <f t="shared" si="85"/>
        <v>1.2937277194884529</v>
      </c>
      <c r="E255" s="329">
        <f t="shared" si="86"/>
        <v>1.0000211090102744</v>
      </c>
      <c r="F255" s="330">
        <f t="shared" si="87"/>
        <v>6.4974824287367403E-3</v>
      </c>
      <c r="G255" s="329">
        <f t="shared" si="88"/>
        <v>1</v>
      </c>
      <c r="H255" s="330">
        <f t="shared" si="89"/>
        <v>0</v>
      </c>
      <c r="I255" s="328">
        <f t="shared" si="90"/>
        <v>34244.654912996324</v>
      </c>
      <c r="J255" s="331">
        <f t="shared" si="91"/>
        <v>1.5707671251573656</v>
      </c>
      <c r="K255" s="339">
        <f t="shared" si="107"/>
        <v>4.5215560822689715</v>
      </c>
      <c r="L255" s="340">
        <f t="shared" si="108"/>
        <v>1.3477896922902808</v>
      </c>
      <c r="M255" s="328">
        <f t="shared" si="92"/>
        <v>1.0024954265214692</v>
      </c>
      <c r="N255" s="331">
        <f t="shared" si="93"/>
        <v>7.0572632842433217E-2</v>
      </c>
      <c r="O255" s="332">
        <f t="shared" si="94"/>
        <v>1.0007798448759728</v>
      </c>
      <c r="P255" s="333">
        <f t="shared" si="95"/>
        <v>0.10819746595627673</v>
      </c>
      <c r="Q255" s="334">
        <f t="shared" si="96"/>
        <v>7.3472226127995093</v>
      </c>
      <c r="R255" s="335">
        <f t="shared" si="97"/>
        <v>-96.771297949971967</v>
      </c>
      <c r="S255" s="337">
        <f t="shared" si="98"/>
        <v>83.228702050028033</v>
      </c>
      <c r="U255" s="310">
        <f t="shared" si="104"/>
        <v>1000000000</v>
      </c>
      <c r="V255" s="310">
        <f t="shared" si="105"/>
        <v>245501892.25</v>
      </c>
      <c r="X255" s="336">
        <f t="shared" si="99"/>
        <v>3.0314348997609031</v>
      </c>
      <c r="Y255" s="337">
        <f t="shared" si="100"/>
        <v>-16.819179860162087</v>
      </c>
      <c r="AA255" s="336">
        <f t="shared" si="101"/>
        <v>4.3157877130386062</v>
      </c>
      <c r="AB255" s="337">
        <f t="shared" si="102"/>
        <v>-79.952118089809858</v>
      </c>
      <c r="AD255">
        <f t="shared" si="106"/>
        <v>0</v>
      </c>
      <c r="AE255">
        <f t="shared" si="109"/>
        <v>0</v>
      </c>
    </row>
    <row r="256" spans="1:31" x14ac:dyDescent="0.25">
      <c r="A256" s="338">
        <v>15758.75</v>
      </c>
      <c r="B256" s="355">
        <f t="shared" si="103"/>
        <v>15.758749999999999</v>
      </c>
      <c r="C256" s="328">
        <f t="shared" si="84"/>
        <v>3.6752953700233904</v>
      </c>
      <c r="D256" s="329">
        <f t="shared" si="85"/>
        <v>1.2952351600919338</v>
      </c>
      <c r="E256" s="329">
        <f t="shared" si="86"/>
        <v>1.0000213528822979</v>
      </c>
      <c r="F256" s="330">
        <f t="shared" si="87"/>
        <v>6.5349066328655222E-3</v>
      </c>
      <c r="G256" s="329">
        <f t="shared" si="88"/>
        <v>1</v>
      </c>
      <c r="H256" s="330">
        <f t="shared" si="89"/>
        <v>0</v>
      </c>
      <c r="I256" s="328">
        <f t="shared" si="90"/>
        <v>34441.902901206435</v>
      </c>
      <c r="J256" s="331">
        <f t="shared" si="91"/>
        <v>1.5707672923944742</v>
      </c>
      <c r="K256" s="339">
        <f t="shared" si="107"/>
        <v>4.5463296641975433</v>
      </c>
      <c r="L256" s="340">
        <f t="shared" si="108"/>
        <v>1.3490252672590686</v>
      </c>
      <c r="M256" s="328">
        <f t="shared" si="92"/>
        <v>1.0025242201524109</v>
      </c>
      <c r="N256" s="331">
        <f t="shared" si="93"/>
        <v>7.0977768703141028E-2</v>
      </c>
      <c r="O256" s="332">
        <f t="shared" si="94"/>
        <v>1.0007890011775464</v>
      </c>
      <c r="P256" s="333">
        <f t="shared" si="95"/>
        <v>0.10882214457936518</v>
      </c>
      <c r="Q256" s="334">
        <f t="shared" si="96"/>
        <v>7.29829497668951</v>
      </c>
      <c r="R256" s="335">
        <f t="shared" si="97"/>
        <v>-96.843744060152574</v>
      </c>
      <c r="S256" s="337">
        <f t="shared" si="98"/>
        <v>83.156255939847426</v>
      </c>
      <c r="U256" s="310">
        <f t="shared" si="104"/>
        <v>1000000000</v>
      </c>
      <c r="V256" s="310">
        <f t="shared" si="105"/>
        <v>248338201.5625</v>
      </c>
      <c r="X256" s="336">
        <f t="shared" si="99"/>
        <v>3.0287585947964208</v>
      </c>
      <c r="Y256" s="337">
        <f t="shared" si="100"/>
        <v>-16.771608786052635</v>
      </c>
      <c r="AA256" s="336">
        <f t="shared" si="101"/>
        <v>4.2695363818930891</v>
      </c>
      <c r="AB256" s="337">
        <f t="shared" si="102"/>
        <v>-80.072135274099907</v>
      </c>
      <c r="AD256">
        <f t="shared" si="106"/>
        <v>0</v>
      </c>
      <c r="AE256">
        <f t="shared" si="109"/>
        <v>0</v>
      </c>
    </row>
    <row r="257" spans="1:31" x14ac:dyDescent="0.25">
      <c r="A257" s="338">
        <v>15849</v>
      </c>
      <c r="B257" s="355">
        <f t="shared" si="103"/>
        <v>15.849</v>
      </c>
      <c r="C257" s="328">
        <f t="shared" si="84"/>
        <v>3.6947895763530405</v>
      </c>
      <c r="D257" s="329">
        <f t="shared" si="85"/>
        <v>1.2967266971366107</v>
      </c>
      <c r="E257" s="329">
        <f t="shared" si="86"/>
        <v>1.0000215981549216</v>
      </c>
      <c r="F257" s="330">
        <f t="shared" si="87"/>
        <v>6.5723308186888514E-3</v>
      </c>
      <c r="G257" s="329">
        <f t="shared" si="88"/>
        <v>1</v>
      </c>
      <c r="H257" s="330">
        <f t="shared" si="89"/>
        <v>0</v>
      </c>
      <c r="I257" s="328">
        <f t="shared" si="90"/>
        <v>34639.150889417484</v>
      </c>
      <c r="J257" s="331">
        <f t="shared" si="91"/>
        <v>1.5707674577269644</v>
      </c>
      <c r="K257" s="339">
        <f t="shared" si="107"/>
        <v>4.571110111522815</v>
      </c>
      <c r="L257" s="340">
        <f t="shared" si="108"/>
        <v>1.3502474477247033</v>
      </c>
      <c r="M257" s="328">
        <f t="shared" si="92"/>
        <v>1.0025531783232637</v>
      </c>
      <c r="N257" s="331">
        <f t="shared" si="93"/>
        <v>7.1382881226107073E-2</v>
      </c>
      <c r="O257" s="332">
        <f t="shared" si="94"/>
        <v>1.0007982134441491</v>
      </c>
      <c r="P257" s="333">
        <f t="shared" si="95"/>
        <v>0.10944684826233401</v>
      </c>
      <c r="Q257" s="334">
        <f t="shared" si="96"/>
        <v>7.2496302026640835</v>
      </c>
      <c r="R257" s="335">
        <f t="shared" si="97"/>
        <v>-96.916046402627103</v>
      </c>
      <c r="S257" s="337">
        <f t="shared" si="98"/>
        <v>83.083953597372897</v>
      </c>
      <c r="U257" s="310">
        <f t="shared" si="104"/>
        <v>1000000000</v>
      </c>
      <c r="V257" s="310">
        <f t="shared" si="105"/>
        <v>251190801</v>
      </c>
      <c r="X257" s="336">
        <f t="shared" si="99"/>
        <v>3.0261208887413282</v>
      </c>
      <c r="Y257" s="337">
        <f t="shared" si="100"/>
        <v>-16.724803714162704</v>
      </c>
      <c r="AA257" s="336">
        <f t="shared" si="101"/>
        <v>4.2235093139227562</v>
      </c>
      <c r="AB257" s="337">
        <f t="shared" si="102"/>
        <v>-80.191242688464413</v>
      </c>
      <c r="AD257">
        <f t="shared" si="106"/>
        <v>0</v>
      </c>
      <c r="AE257">
        <f t="shared" si="109"/>
        <v>0</v>
      </c>
    </row>
    <row r="258" spans="1:31" x14ac:dyDescent="0.25">
      <c r="A258" s="338">
        <v>15941.25</v>
      </c>
      <c r="B258" s="355">
        <f t="shared" si="103"/>
        <v>15.94125</v>
      </c>
      <c r="C258" s="328">
        <f t="shared" si="84"/>
        <v>3.7147241920807486</v>
      </c>
      <c r="D258" s="329">
        <f t="shared" si="85"/>
        <v>1.2982351053394907</v>
      </c>
      <c r="E258" s="329">
        <f t="shared" si="86"/>
        <v>1.0000218503104501</v>
      </c>
      <c r="F258" s="330">
        <f t="shared" si="87"/>
        <v>6.610584330322803E-3</v>
      </c>
      <c r="G258" s="329">
        <f t="shared" si="88"/>
        <v>1</v>
      </c>
      <c r="H258" s="330">
        <f t="shared" si="89"/>
        <v>0</v>
      </c>
      <c r="I258" s="328">
        <f t="shared" si="90"/>
        <v>34840.770024182668</v>
      </c>
      <c r="J258" s="331">
        <f t="shared" si="91"/>
        <v>1.5707676247886138</v>
      </c>
      <c r="K258" s="339">
        <f t="shared" si="107"/>
        <v>4.5964466897257363</v>
      </c>
      <c r="L258" s="340">
        <f t="shared" si="108"/>
        <v>1.3514830912600335</v>
      </c>
      <c r="M258" s="328">
        <f t="shared" si="92"/>
        <v>1.0025829482613748</v>
      </c>
      <c r="N258" s="331">
        <f t="shared" si="93"/>
        <v>7.1796947056339586E-2</v>
      </c>
      <c r="O258" s="332">
        <f t="shared" si="94"/>
        <v>1.0008076877601098</v>
      </c>
      <c r="P258" s="333">
        <f t="shared" si="95"/>
        <v>0.11008542183721025</v>
      </c>
      <c r="Q258" s="334">
        <f t="shared" si="96"/>
        <v>7.2001557064605235</v>
      </c>
      <c r="R258" s="335">
        <f t="shared" si="97"/>
        <v>-96.989804269383441</v>
      </c>
      <c r="S258" s="337">
        <f t="shared" si="98"/>
        <v>83.010195730616559</v>
      </c>
      <c r="U258" s="310">
        <f t="shared" si="104"/>
        <v>1000000000</v>
      </c>
      <c r="V258" s="310">
        <f t="shared" si="105"/>
        <v>254123451.5625</v>
      </c>
      <c r="X258" s="336">
        <f t="shared" si="99"/>
        <v>3.0234637173618752</v>
      </c>
      <c r="Y258" s="337">
        <f t="shared" si="100"/>
        <v>-16.677740350992213</v>
      </c>
      <c r="AA258" s="336">
        <f t="shared" si="101"/>
        <v>4.1766919890986482</v>
      </c>
      <c r="AB258" s="337">
        <f t="shared" si="102"/>
        <v>-80.312063918391217</v>
      </c>
      <c r="AD258">
        <f t="shared" si="106"/>
        <v>0</v>
      </c>
      <c r="AE258">
        <f t="shared" si="109"/>
        <v>0</v>
      </c>
    </row>
    <row r="259" spans="1:31" x14ac:dyDescent="0.25">
      <c r="A259" s="338">
        <v>16033.5</v>
      </c>
      <c r="B259" s="355">
        <f t="shared" si="103"/>
        <v>16.0335</v>
      </c>
      <c r="C259" s="328">
        <f t="shared" si="84"/>
        <v>3.7346671696619622</v>
      </c>
      <c r="D259" s="329">
        <f t="shared" si="85"/>
        <v>1.2997274072252567</v>
      </c>
      <c r="E259" s="329">
        <f t="shared" si="86"/>
        <v>1.0000221039293411</v>
      </c>
      <c r="F259" s="330">
        <f t="shared" si="87"/>
        <v>6.6488378226095346E-3</v>
      </c>
      <c r="G259" s="329">
        <f t="shared" si="88"/>
        <v>1</v>
      </c>
      <c r="H259" s="330">
        <f t="shared" si="89"/>
        <v>0</v>
      </c>
      <c r="I259" s="328">
        <f t="shared" si="90"/>
        <v>35042.389158948798</v>
      </c>
      <c r="J259" s="331">
        <f t="shared" si="91"/>
        <v>1.5707677899278583</v>
      </c>
      <c r="K259" s="339">
        <f t="shared" si="107"/>
        <v>4.6217902089016709</v>
      </c>
      <c r="L259" s="340">
        <f t="shared" si="108"/>
        <v>1.3527051853776675</v>
      </c>
      <c r="M259" s="328">
        <f t="shared" si="92"/>
        <v>1.0026128900826203</v>
      </c>
      <c r="N259" s="331">
        <f t="shared" si="93"/>
        <v>7.2210988226405773E-2</v>
      </c>
      <c r="O259" s="332">
        <f t="shared" si="94"/>
        <v>1.0008172206717501</v>
      </c>
      <c r="P259" s="333">
        <f t="shared" si="95"/>
        <v>0.11072402188694154</v>
      </c>
      <c r="Q259" s="334">
        <f t="shared" si="96"/>
        <v>7.1509499277340671</v>
      </c>
      <c r="R259" s="335">
        <f t="shared" si="97"/>
        <v>-97.063415631531129</v>
      </c>
      <c r="S259" s="337">
        <f t="shared" si="98"/>
        <v>82.936584368468871</v>
      </c>
      <c r="U259" s="310">
        <f t="shared" si="104"/>
        <v>1000000000</v>
      </c>
      <c r="V259" s="310">
        <f t="shared" si="105"/>
        <v>257073122.25</v>
      </c>
      <c r="X259" s="336">
        <f t="shared" si="99"/>
        <v>3.0208450660839481</v>
      </c>
      <c r="Y259" s="337">
        <f t="shared" si="100"/>
        <v>-16.63145178920232</v>
      </c>
      <c r="AA259" s="336">
        <f t="shared" si="101"/>
        <v>4.1301048616501168</v>
      </c>
      <c r="AB259" s="337">
        <f t="shared" si="102"/>
        <v>-80.431963842328813</v>
      </c>
      <c r="AD259">
        <f t="shared" si="106"/>
        <v>0</v>
      </c>
      <c r="AE259">
        <f t="shared" si="109"/>
        <v>0</v>
      </c>
    </row>
    <row r="260" spans="1:31" x14ac:dyDescent="0.25">
      <c r="A260" s="338">
        <v>16125.75</v>
      </c>
      <c r="B260" s="355">
        <f t="shared" si="103"/>
        <v>16.12575</v>
      </c>
      <c r="C260" s="328">
        <f t="shared" si="84"/>
        <v>3.7546183758525786</v>
      </c>
      <c r="D260" s="329">
        <f t="shared" si="85"/>
        <v>1.3012038528499579</v>
      </c>
      <c r="E260" s="329">
        <f t="shared" si="86"/>
        <v>1.0000223590115933</v>
      </c>
      <c r="F260" s="330">
        <f t="shared" si="87"/>
        <v>6.6870912954371062E-3</v>
      </c>
      <c r="G260" s="329">
        <f t="shared" si="88"/>
        <v>1</v>
      </c>
      <c r="H260" s="330">
        <f t="shared" si="89"/>
        <v>0</v>
      </c>
      <c r="I260" s="328">
        <f t="shared" si="90"/>
        <v>35244.008293715888</v>
      </c>
      <c r="J260" s="331">
        <f t="shared" si="91"/>
        <v>1.5707679531776906</v>
      </c>
      <c r="K260" s="339">
        <f t="shared" si="107"/>
        <v>4.6471405554913146</v>
      </c>
      <c r="L260" s="340">
        <f t="shared" si="108"/>
        <v>1.3539139481349192</v>
      </c>
      <c r="M260" s="328">
        <f t="shared" si="92"/>
        <v>1.0026430037716016</v>
      </c>
      <c r="N260" s="331">
        <f t="shared" si="93"/>
        <v>7.262500459656307E-2</v>
      </c>
      <c r="O260" s="332">
        <f t="shared" si="94"/>
        <v>1.0008268122416362</v>
      </c>
      <c r="P260" s="333">
        <f t="shared" si="95"/>
        <v>0.11136264855897045</v>
      </c>
      <c r="Q260" s="334">
        <f t="shared" si="96"/>
        <v>7.1020099435523401</v>
      </c>
      <c r="R260" s="335">
        <f t="shared" si="97"/>
        <v>-97.136882324800624</v>
      </c>
      <c r="S260" s="337">
        <f t="shared" si="98"/>
        <v>82.863117675199376</v>
      </c>
      <c r="U260" s="310">
        <f t="shared" si="104"/>
        <v>1000000000</v>
      </c>
      <c r="V260" s="310">
        <f t="shared" si="105"/>
        <v>260039813.0625</v>
      </c>
      <c r="X260" s="336">
        <f t="shared" si="99"/>
        <v>3.0182640576376922</v>
      </c>
      <c r="Y260" s="337">
        <f t="shared" si="100"/>
        <v>-16.585925528912924</v>
      </c>
      <c r="AA260" s="336">
        <f t="shared" si="101"/>
        <v>4.0837458859146469</v>
      </c>
      <c r="AB260" s="337">
        <f t="shared" si="102"/>
        <v>-80.550956795887714</v>
      </c>
      <c r="AD260">
        <f t="shared" si="106"/>
        <v>0</v>
      </c>
      <c r="AE260">
        <f t="shared" si="109"/>
        <v>0</v>
      </c>
    </row>
    <row r="261" spans="1:31" x14ac:dyDescent="0.25">
      <c r="A261" s="338">
        <v>16218</v>
      </c>
      <c r="B261" s="355">
        <f t="shared" si="103"/>
        <v>16.218</v>
      </c>
      <c r="C261" s="328">
        <f t="shared" si="84"/>
        <v>3.7745776801712339</v>
      </c>
      <c r="D261" s="329">
        <f t="shared" si="85"/>
        <v>1.3026646872604375</v>
      </c>
      <c r="E261" s="329">
        <f t="shared" si="86"/>
        <v>1.0000226155572056</v>
      </c>
      <c r="F261" s="330">
        <f t="shared" si="87"/>
        <v>6.725344748693577E-3</v>
      </c>
      <c r="G261" s="329">
        <f t="shared" si="88"/>
        <v>1</v>
      </c>
      <c r="H261" s="330">
        <f t="shared" si="89"/>
        <v>0</v>
      </c>
      <c r="I261" s="328">
        <f t="shared" si="90"/>
        <v>35445.627428483895</v>
      </c>
      <c r="J261" s="331">
        <f t="shared" si="91"/>
        <v>1.570768114570352</v>
      </c>
      <c r="K261" s="339">
        <f t="shared" si="107"/>
        <v>4.6724976183695386</v>
      </c>
      <c r="L261" s="340">
        <f t="shared" si="108"/>
        <v>1.3551095930133714</v>
      </c>
      <c r="M261" s="328">
        <f t="shared" si="92"/>
        <v>1.0026732893128332</v>
      </c>
      <c r="N261" s="331">
        <f t="shared" si="93"/>
        <v>7.3038996027119649E-2</v>
      </c>
      <c r="O261" s="332">
        <f t="shared" si="94"/>
        <v>1.0008364625326918</v>
      </c>
      <c r="P261" s="333">
        <f t="shared" si="95"/>
        <v>0.1120013020006395</v>
      </c>
      <c r="Q261" s="334">
        <f t="shared" si="96"/>
        <v>7.0533328777421476</v>
      </c>
      <c r="R261" s="335">
        <f t="shared" si="97"/>
        <v>-97.210206160040201</v>
      </c>
      <c r="S261" s="337">
        <f t="shared" si="98"/>
        <v>82.789793839959799</v>
      </c>
      <c r="U261" s="310">
        <f t="shared" si="104"/>
        <v>1000000000</v>
      </c>
      <c r="V261" s="310">
        <f t="shared" si="105"/>
        <v>263023524</v>
      </c>
      <c r="X261" s="336">
        <f t="shared" si="99"/>
        <v>3.0157198385050403</v>
      </c>
      <c r="Y261" s="337">
        <f t="shared" si="100"/>
        <v>-16.541149332373831</v>
      </c>
      <c r="AA261" s="336">
        <f t="shared" si="101"/>
        <v>4.0376130392371081</v>
      </c>
      <c r="AB261" s="337">
        <f t="shared" si="102"/>
        <v>-80.669056827666353</v>
      </c>
      <c r="AD261">
        <f t="shared" si="106"/>
        <v>0</v>
      </c>
      <c r="AE261">
        <f t="shared" si="109"/>
        <v>0</v>
      </c>
    </row>
    <row r="262" spans="1:31" x14ac:dyDescent="0.25">
      <c r="A262" s="338">
        <v>16312.5</v>
      </c>
      <c r="B262" s="355">
        <f t="shared" si="103"/>
        <v>16.3125</v>
      </c>
      <c r="C262" s="328">
        <f t="shared" si="84"/>
        <v>3.7950320600380079</v>
      </c>
      <c r="D262" s="329">
        <f t="shared" si="85"/>
        <v>1.3041452157892213</v>
      </c>
      <c r="E262" s="329">
        <f t="shared" si="86"/>
        <v>1.00002287987736</v>
      </c>
      <c r="F262" s="330">
        <f t="shared" si="87"/>
        <v>6.7645311925951359E-3</v>
      </c>
      <c r="G262" s="329">
        <f t="shared" si="88"/>
        <v>1</v>
      </c>
      <c r="H262" s="330">
        <f t="shared" si="89"/>
        <v>0</v>
      </c>
      <c r="I262" s="328">
        <f t="shared" si="90"/>
        <v>35652.164103125244</v>
      </c>
      <c r="J262" s="331">
        <f t="shared" si="91"/>
        <v>1.5707682780066874</v>
      </c>
      <c r="K262" s="339">
        <f t="shared" si="107"/>
        <v>4.6984799965319377</v>
      </c>
      <c r="L262" s="340">
        <f t="shared" si="108"/>
        <v>1.3563210167257185</v>
      </c>
      <c r="M262" s="328">
        <f t="shared" si="92"/>
        <v>1.0027044917001684</v>
      </c>
      <c r="N262" s="331">
        <f t="shared" si="93"/>
        <v>7.3463058804229833E-2</v>
      </c>
      <c r="O262" s="332">
        <f t="shared" si="94"/>
        <v>1.0008464091498228</v>
      </c>
      <c r="P262" s="333">
        <f t="shared" si="95"/>
        <v>0.1126555602664128</v>
      </c>
      <c r="Q262" s="334">
        <f t="shared" si="96"/>
        <v>7.0037382235872814</v>
      </c>
      <c r="R262" s="335">
        <f t="shared" si="97"/>
        <v>-97.285172121434243</v>
      </c>
      <c r="S262" s="337">
        <f t="shared" si="98"/>
        <v>82.714827878565757</v>
      </c>
      <c r="U262" s="310">
        <f t="shared" si="104"/>
        <v>1000000000</v>
      </c>
      <c r="V262" s="310">
        <f t="shared" si="105"/>
        <v>266097656.25</v>
      </c>
      <c r="X262" s="336">
        <f t="shared" si="99"/>
        <v>3.0131508434355676</v>
      </c>
      <c r="Y262" s="337">
        <f t="shared" si="100"/>
        <v>-16.49604623799198</v>
      </c>
      <c r="AA262" s="336">
        <f t="shared" si="101"/>
        <v>3.9905873801517155</v>
      </c>
      <c r="AB262" s="337">
        <f t="shared" si="102"/>
        <v>-80.789125883442253</v>
      </c>
      <c r="AD262">
        <f t="shared" si="106"/>
        <v>0</v>
      </c>
      <c r="AE262">
        <f t="shared" si="109"/>
        <v>0</v>
      </c>
    </row>
    <row r="263" spans="1:31" x14ac:dyDescent="0.25">
      <c r="A263" s="338">
        <v>16407</v>
      </c>
      <c r="B263" s="355">
        <f t="shared" si="103"/>
        <v>16.407</v>
      </c>
      <c r="C263" s="328">
        <f t="shared" si="84"/>
        <v>3.8154946692809637</v>
      </c>
      <c r="D263" s="329">
        <f t="shared" si="85"/>
        <v>1.3056098672644401</v>
      </c>
      <c r="E263" s="329">
        <f t="shared" si="86"/>
        <v>1.0000231457331259</v>
      </c>
      <c r="F263" s="330">
        <f t="shared" si="87"/>
        <v>6.8037176157214659E-3</v>
      </c>
      <c r="G263" s="329">
        <f t="shared" si="88"/>
        <v>1</v>
      </c>
      <c r="H263" s="330">
        <f t="shared" si="89"/>
        <v>0</v>
      </c>
      <c r="I263" s="328">
        <f t="shared" si="90"/>
        <v>35858.700777767539</v>
      </c>
      <c r="J263" s="331">
        <f t="shared" si="91"/>
        <v>1.5707684395603221</v>
      </c>
      <c r="K263" s="339">
        <f t="shared" si="107"/>
        <v>4.7244691940893908</v>
      </c>
      <c r="L263" s="340">
        <f t="shared" si="108"/>
        <v>1.3575191141516827</v>
      </c>
      <c r="M263" s="328">
        <f t="shared" si="92"/>
        <v>1.0027358743918482</v>
      </c>
      <c r="N263" s="331">
        <f t="shared" si="93"/>
        <v>7.3887095113748025E-2</v>
      </c>
      <c r="O263" s="332">
        <f t="shared" si="94"/>
        <v>1.0008564175223265</v>
      </c>
      <c r="P263" s="333">
        <f t="shared" si="95"/>
        <v>0.11330984693626919</v>
      </c>
      <c r="Q263" s="334">
        <f t="shared" si="96"/>
        <v>6.9544135056507166</v>
      </c>
      <c r="R263" s="335">
        <f t="shared" si="97"/>
        <v>-97.359991938906361</v>
      </c>
      <c r="S263" s="337">
        <f t="shared" si="98"/>
        <v>82.640008061093639</v>
      </c>
      <c r="U263" s="310">
        <f t="shared" si="104"/>
        <v>1000000000</v>
      </c>
      <c r="V263" s="310">
        <f t="shared" si="105"/>
        <v>269189649</v>
      </c>
      <c r="X263" s="336">
        <f t="shared" si="99"/>
        <v>3.0106187141423786</v>
      </c>
      <c r="Y263" s="337">
        <f t="shared" si="100"/>
        <v>-16.451705059225208</v>
      </c>
      <c r="AA263" s="336">
        <f t="shared" si="101"/>
        <v>3.9437947915083393</v>
      </c>
      <c r="AB263" s="337">
        <f t="shared" si="102"/>
        <v>-80.908286879681171</v>
      </c>
      <c r="AD263">
        <f t="shared" si="106"/>
        <v>0</v>
      </c>
      <c r="AE263">
        <f t="shared" si="109"/>
        <v>0</v>
      </c>
    </row>
    <row r="264" spans="1:31" x14ac:dyDescent="0.25">
      <c r="A264" s="338">
        <v>16501.5</v>
      </c>
      <c r="B264" s="355">
        <f t="shared" si="103"/>
        <v>16.5015</v>
      </c>
      <c r="C264" s="328">
        <f t="shared" si="84"/>
        <v>3.8359653762035215</v>
      </c>
      <c r="D264" s="329">
        <f t="shared" si="85"/>
        <v>1.3070588895359998</v>
      </c>
      <c r="E264" s="329">
        <f t="shared" si="86"/>
        <v>1.0000234131245023</v>
      </c>
      <c r="F264" s="330">
        <f t="shared" si="87"/>
        <v>6.8429040179522364E-3</v>
      </c>
      <c r="G264" s="329">
        <f t="shared" si="88"/>
        <v>1</v>
      </c>
      <c r="H264" s="330">
        <f t="shared" si="89"/>
        <v>0</v>
      </c>
      <c r="I264" s="328">
        <f t="shared" si="90"/>
        <v>36065.237452410758</v>
      </c>
      <c r="J264" s="331">
        <f t="shared" si="91"/>
        <v>1.5707685992636016</v>
      </c>
      <c r="K264" s="339">
        <f t="shared" si="107"/>
        <v>4.7504650991177382</v>
      </c>
      <c r="L264" s="340">
        <f t="shared" si="108"/>
        <v>1.3587041005989091</v>
      </c>
      <c r="M264" s="328">
        <f t="shared" si="92"/>
        <v>1.0027674373709445</v>
      </c>
      <c r="N264" s="331">
        <f t="shared" si="93"/>
        <v>7.4311104805677194E-2</v>
      </c>
      <c r="O264" s="332">
        <f t="shared" si="94"/>
        <v>1.0008664877190121</v>
      </c>
      <c r="P264" s="333">
        <f t="shared" si="95"/>
        <v>0.11396416216826703</v>
      </c>
      <c r="Q264" s="334">
        <f t="shared" si="96"/>
        <v>6.9053557783202848</v>
      </c>
      <c r="R264" s="335">
        <f t="shared" si="97"/>
        <v>-97.434667479312807</v>
      </c>
      <c r="S264" s="337">
        <f t="shared" si="98"/>
        <v>82.565332520687193</v>
      </c>
      <c r="U264" s="310">
        <f t="shared" si="104"/>
        <v>1000000000</v>
      </c>
      <c r="V264" s="310">
        <f t="shared" si="105"/>
        <v>272299502.25</v>
      </c>
      <c r="X264" s="336">
        <f t="shared" si="99"/>
        <v>3.008122605754429</v>
      </c>
      <c r="Y264" s="337">
        <f t="shared" si="100"/>
        <v>-16.408113453113199</v>
      </c>
      <c r="AA264" s="336">
        <f t="shared" si="101"/>
        <v>3.8972331725658571</v>
      </c>
      <c r="AB264" s="337">
        <f t="shared" si="102"/>
        <v>-81.026554026199605</v>
      </c>
      <c r="AD264">
        <f t="shared" si="106"/>
        <v>0</v>
      </c>
      <c r="AE264">
        <f t="shared" si="109"/>
        <v>0</v>
      </c>
    </row>
    <row r="265" spans="1:31" x14ac:dyDescent="0.25">
      <c r="A265" s="338">
        <v>16596</v>
      </c>
      <c r="B265" s="355">
        <f t="shared" si="103"/>
        <v>16.596</v>
      </c>
      <c r="C265" s="328">
        <f t="shared" si="84"/>
        <v>3.8564440518538121</v>
      </c>
      <c r="D265" s="329">
        <f t="shared" si="85"/>
        <v>1.3084925254548918</v>
      </c>
      <c r="E265" s="329">
        <f t="shared" si="86"/>
        <v>1.0000236820514881</v>
      </c>
      <c r="F265" s="330">
        <f t="shared" si="87"/>
        <v>6.8820903991671191E-3</v>
      </c>
      <c r="G265" s="329">
        <f t="shared" si="88"/>
        <v>1</v>
      </c>
      <c r="H265" s="330">
        <f t="shared" si="89"/>
        <v>0</v>
      </c>
      <c r="I265" s="328">
        <f t="shared" si="90"/>
        <v>36271.77412705488</v>
      </c>
      <c r="J265" s="331">
        <f t="shared" si="91"/>
        <v>1.5707687571481344</v>
      </c>
      <c r="K265" s="339">
        <f t="shared" si="107"/>
        <v>4.7764676021008352</v>
      </c>
      <c r="L265" s="340">
        <f t="shared" si="108"/>
        <v>1.359876186835713</v>
      </c>
      <c r="M265" s="328">
        <f t="shared" si="92"/>
        <v>1.0027991806204337</v>
      </c>
      <c r="N265" s="331">
        <f t="shared" si="93"/>
        <v>7.4735087730077407E-2</v>
      </c>
      <c r="O265" s="332">
        <f t="shared" si="94"/>
        <v>1.0008766198090837</v>
      </c>
      <c r="P265" s="333">
        <f t="shared" si="95"/>
        <v>0.11461850612035188</v>
      </c>
      <c r="Q265" s="334">
        <f t="shared" si="96"/>
        <v>6.856562143214302</v>
      </c>
      <c r="R265" s="335">
        <f t="shared" si="97"/>
        <v>-97.509200583132099</v>
      </c>
      <c r="S265" s="337">
        <f t="shared" si="98"/>
        <v>82.490799416867901</v>
      </c>
      <c r="U265" s="310">
        <f t="shared" si="104"/>
        <v>1000000000</v>
      </c>
      <c r="V265" s="310">
        <f t="shared" si="105"/>
        <v>275427216</v>
      </c>
      <c r="X265" s="336">
        <f t="shared" si="99"/>
        <v>3.0056616963471838</v>
      </c>
      <c r="Y265" s="337">
        <f t="shared" si="100"/>
        <v>-16.365259336741119</v>
      </c>
      <c r="AA265" s="336">
        <f t="shared" si="101"/>
        <v>3.8509004468671186</v>
      </c>
      <c r="AB265" s="337">
        <f t="shared" si="102"/>
        <v>-81.143941246390995</v>
      </c>
      <c r="AD265">
        <f t="shared" si="106"/>
        <v>0</v>
      </c>
      <c r="AE265">
        <f t="shared" si="109"/>
        <v>0</v>
      </c>
    </row>
    <row r="266" spans="1:31" x14ac:dyDescent="0.25">
      <c r="A266" s="338">
        <v>16692.5</v>
      </c>
      <c r="B266" s="355">
        <f t="shared" si="103"/>
        <v>16.692499999999999</v>
      </c>
      <c r="C266" s="328">
        <f t="shared" si="84"/>
        <v>3.877364230897915</v>
      </c>
      <c r="D266" s="329">
        <f t="shared" si="85"/>
        <v>1.3099408719086263</v>
      </c>
      <c r="E266" s="329">
        <f t="shared" si="86"/>
        <v>1.0000239582547514</v>
      </c>
      <c r="F266" s="330">
        <f t="shared" si="87"/>
        <v>6.9221060999705535E-3</v>
      </c>
      <c r="G266" s="329">
        <f t="shared" si="88"/>
        <v>1</v>
      </c>
      <c r="H266" s="330">
        <f t="shared" si="89"/>
        <v>0</v>
      </c>
      <c r="I266" s="328">
        <f t="shared" si="90"/>
        <v>36482.681948253237</v>
      </c>
      <c r="J266" s="331">
        <f t="shared" si="91"/>
        <v>1.5707689165293481</v>
      </c>
      <c r="K266" s="339">
        <f t="shared" si="107"/>
        <v>4.8030271201329917</v>
      </c>
      <c r="L266" s="340">
        <f t="shared" si="108"/>
        <v>1.361059980921697</v>
      </c>
      <c r="M266" s="328">
        <f t="shared" si="92"/>
        <v>1.0028317817005712</v>
      </c>
      <c r="N266" s="331">
        <f t="shared" si="93"/>
        <v>7.5168016059011161E-2</v>
      </c>
      <c r="O266" s="332">
        <f t="shared" si="94"/>
        <v>1.0008870302793715</v>
      </c>
      <c r="P266" s="333">
        <f t="shared" si="95"/>
        <v>0.11528672842398158</v>
      </c>
      <c r="Q266" s="334">
        <f t="shared" si="96"/>
        <v>6.807005409976834</v>
      </c>
      <c r="R266" s="335">
        <f t="shared" si="97"/>
        <v>-97.585166002305826</v>
      </c>
      <c r="S266" s="337">
        <f t="shared" si="98"/>
        <v>82.414833997694174</v>
      </c>
      <c r="U266" s="310">
        <f t="shared" si="104"/>
        <v>1000000000</v>
      </c>
      <c r="V266" s="310">
        <f t="shared" si="105"/>
        <v>278639556.25</v>
      </c>
      <c r="X266" s="336">
        <f t="shared" si="99"/>
        <v>3.0031841975067488</v>
      </c>
      <c r="Y266" s="337">
        <f t="shared" si="100"/>
        <v>-16.322247029702975</v>
      </c>
      <c r="AA266" s="336">
        <f t="shared" si="101"/>
        <v>3.8038212124700852</v>
      </c>
      <c r="AB266" s="337">
        <f t="shared" si="102"/>
        <v>-81.262918972602861</v>
      </c>
      <c r="AD266">
        <f t="shared" si="106"/>
        <v>0</v>
      </c>
      <c r="AE266">
        <f t="shared" si="109"/>
        <v>0</v>
      </c>
    </row>
    <row r="267" spans="1:31" x14ac:dyDescent="0.25">
      <c r="A267" s="338">
        <v>16789</v>
      </c>
      <c r="B267" s="355">
        <f t="shared" si="103"/>
        <v>16.789000000000001</v>
      </c>
      <c r="C267" s="328">
        <f t="shared" si="84"/>
        <v>3.8982924562103225</v>
      </c>
      <c r="D267" s="329">
        <f t="shared" si="85"/>
        <v>1.3113736702652319</v>
      </c>
      <c r="E267" s="329">
        <f t="shared" si="86"/>
        <v>1.0000242360593088</v>
      </c>
      <c r="F267" s="330">
        <f t="shared" si="87"/>
        <v>6.9621217786055151E-3</v>
      </c>
      <c r="G267" s="329">
        <f t="shared" si="88"/>
        <v>1</v>
      </c>
      <c r="H267" s="330">
        <f t="shared" si="89"/>
        <v>0</v>
      </c>
      <c r="I267" s="328">
        <f t="shared" si="90"/>
        <v>36693.589769452512</v>
      </c>
      <c r="J267" s="331">
        <f t="shared" si="91"/>
        <v>1.5707690740783757</v>
      </c>
      <c r="K267" s="339">
        <f t="shared" si="107"/>
        <v>4.8295932949404223</v>
      </c>
      <c r="L267" s="340">
        <f t="shared" si="108"/>
        <v>1.3622307532259181</v>
      </c>
      <c r="M267" s="328">
        <f t="shared" si="92"/>
        <v>1.0028645707261579</v>
      </c>
      <c r="N267" s="331">
        <f t="shared" si="93"/>
        <v>7.5600916159576106E-2</v>
      </c>
      <c r="O267" s="332">
        <f t="shared" si="94"/>
        <v>1.0008975054377036</v>
      </c>
      <c r="P267" s="333">
        <f t="shared" si="95"/>
        <v>0.11595498100875472</v>
      </c>
      <c r="Q267" s="334">
        <f t="shared" si="96"/>
        <v>6.7577181033393909</v>
      </c>
      <c r="R267" s="335">
        <f t="shared" si="97"/>
        <v>-97.660986688180159</v>
      </c>
      <c r="S267" s="337">
        <f t="shared" si="98"/>
        <v>82.339013311819841</v>
      </c>
      <c r="U267" s="310">
        <f t="shared" si="104"/>
        <v>1000000000</v>
      </c>
      <c r="V267" s="310">
        <f t="shared" si="105"/>
        <v>281870521</v>
      </c>
      <c r="X267" s="336">
        <f t="shared" si="99"/>
        <v>3.0007417410245418</v>
      </c>
      <c r="Y267" s="337">
        <f t="shared" si="100"/>
        <v>-16.279979093459509</v>
      </c>
      <c r="AA267" s="336">
        <f t="shared" si="101"/>
        <v>3.7569763623148495</v>
      </c>
      <c r="AB267" s="337">
        <f t="shared" si="102"/>
        <v>-81.381007594720643</v>
      </c>
      <c r="AD267">
        <f t="shared" si="106"/>
        <v>0</v>
      </c>
      <c r="AE267">
        <f t="shared" si="109"/>
        <v>0</v>
      </c>
    </row>
    <row r="268" spans="1:31" x14ac:dyDescent="0.25">
      <c r="A268" s="338">
        <v>16885.5</v>
      </c>
      <c r="B268" s="355">
        <f t="shared" si="103"/>
        <v>16.8855</v>
      </c>
      <c r="C268" s="328">
        <f t="shared" si="84"/>
        <v>3.9192285988926239</v>
      </c>
      <c r="D268" s="329">
        <f t="shared" si="85"/>
        <v>1.3127911637636134</v>
      </c>
      <c r="E268" s="329">
        <f t="shared" si="86"/>
        <v>1.0000245154651586</v>
      </c>
      <c r="F268" s="330">
        <f t="shared" si="87"/>
        <v>7.0021374349438703E-3</v>
      </c>
      <c r="G268" s="329">
        <f t="shared" si="88"/>
        <v>1</v>
      </c>
      <c r="H268" s="330">
        <f t="shared" si="89"/>
        <v>0</v>
      </c>
      <c r="I268" s="328">
        <f t="shared" si="90"/>
        <v>36904.497590652696</v>
      </c>
      <c r="J268" s="331">
        <f t="shared" si="91"/>
        <v>1.5707692298266296</v>
      </c>
      <c r="K268" s="339">
        <f t="shared" si="107"/>
        <v>4.8561660172733294</v>
      </c>
      <c r="L268" s="340">
        <f t="shared" si="108"/>
        <v>1.3633887142759957</v>
      </c>
      <c r="M268" s="328">
        <f t="shared" si="92"/>
        <v>1.0028975476787598</v>
      </c>
      <c r="N268" s="331">
        <f t="shared" si="93"/>
        <v>7.6033787872295838E-2</v>
      </c>
      <c r="O268" s="332">
        <f t="shared" si="94"/>
        <v>1.0009080453590427</v>
      </c>
      <c r="P268" s="333">
        <f t="shared" si="95"/>
        <v>0.11662326404249056</v>
      </c>
      <c r="Q268" s="334">
        <f t="shared" si="96"/>
        <v>6.7086972830129801</v>
      </c>
      <c r="R268" s="335">
        <f t="shared" si="97"/>
        <v>-97.736664517258831</v>
      </c>
      <c r="S268" s="337">
        <f t="shared" si="98"/>
        <v>82.263335482741169</v>
      </c>
      <c r="U268" s="310">
        <f t="shared" si="104"/>
        <v>1000000000</v>
      </c>
      <c r="V268" s="310">
        <f t="shared" si="105"/>
        <v>285120110.25</v>
      </c>
      <c r="X268" s="336">
        <f t="shared" si="99"/>
        <v>2.9983335210694322</v>
      </c>
      <c r="Y268" s="337">
        <f t="shared" si="100"/>
        <v>-16.238443458329119</v>
      </c>
      <c r="AA268" s="336">
        <f t="shared" si="101"/>
        <v>3.7103637619435466</v>
      </c>
      <c r="AB268" s="337">
        <f t="shared" si="102"/>
        <v>-81.498221058929701</v>
      </c>
      <c r="AD268">
        <f t="shared" si="106"/>
        <v>0</v>
      </c>
      <c r="AE268">
        <f t="shared" si="109"/>
        <v>0</v>
      </c>
    </row>
    <row r="269" spans="1:31" x14ac:dyDescent="0.25">
      <c r="A269" s="338">
        <v>16982</v>
      </c>
      <c r="B269" s="355">
        <f t="shared" si="103"/>
        <v>16.981999999999999</v>
      </c>
      <c r="C269" s="328">
        <f t="shared" ref="C269:C332" si="110">SQRT(1+(A269/pole1)^2)</f>
        <v>3.9401725327377686</v>
      </c>
      <c r="D269" s="329">
        <f t="shared" ref="D269:D332" si="111">ATAN(A269/pole1)</f>
        <v>1.3141935907199016</v>
      </c>
      <c r="E269" s="329">
        <f t="shared" ref="E269:E332" si="112">SQRT(1+(A269/Zero1)^2)</f>
        <v>1.0000247964722992</v>
      </c>
      <c r="F269" s="330">
        <f t="shared" ref="F269:F332" si="113">ATAN(A269/Zero1)</f>
        <v>7.0421530688574872E-3</v>
      </c>
      <c r="G269" s="329">
        <f t="shared" ref="G269:G332" si="114">IF(VIN_nom&gt;Vout, 1, SQRT(1+(A269/z_RHP)^2))</f>
        <v>1</v>
      </c>
      <c r="H269" s="330">
        <f t="shared" ref="H269:H332" si="115">IF(VIN_nom&gt;Vout, 0, -ATAN(A269/z_RHP))</f>
        <v>0</v>
      </c>
      <c r="I269" s="328">
        <f t="shared" ref="I269:I332" si="116">SQRT(1+(A269/Pole2)^2)</f>
        <v>37115.405411853761</v>
      </c>
      <c r="J269" s="331">
        <f t="shared" ref="J269:J332" si="117">ATAN(A269/Pole2)</f>
        <v>1.5707693838048087</v>
      </c>
      <c r="K269" s="339">
        <f t="shared" si="107"/>
        <v>4.8827451802335</v>
      </c>
      <c r="L269" s="340">
        <f t="shared" si="108"/>
        <v>1.3645340701546591</v>
      </c>
      <c r="M269" s="328">
        <f t="shared" ref="M269:M332" si="118">SQRT(1+(A269/pole4)^2)</f>
        <v>1.0029307125398395</v>
      </c>
      <c r="N269" s="331">
        <f t="shared" ref="N269:N332" si="119">ATAN(A269/pole4)</f>
        <v>7.6466631037757443E-2</v>
      </c>
      <c r="O269" s="332">
        <f t="shared" ref="O269:O332" si="120">SQRT((1-(V269/pterm2))^2+(A269/pterm1)^2)</f>
        <v>1.0009186501187788</v>
      </c>
      <c r="P269" s="333">
        <f t="shared" ref="P269:P332" si="121">IF((ATAN((A269/pterm1)/(1-A269^2/pterm2))&gt;0),ATAN((A269/pterm1)/(1-A269^2/pterm2)),PI()+ATAN((A269/pterm1)/(1-A269^2/pterm2)))</f>
        <v>0.11729157769288288</v>
      </c>
      <c r="Q269" s="334">
        <f t="shared" ref="Q269:Q332" si="122">20*LOG10(((E269*K269*G269)/(C269*I269*O269*M269))*Adc)</f>
        <v>6.6599400558191597</v>
      </c>
      <c r="R269" s="335">
        <f t="shared" ref="R269:R332" si="123">((F269+L269+H269)-(D269+J269+P269+N269))*radconv</f>
        <v>-97.812201338620426</v>
      </c>
      <c r="S269" s="337">
        <f t="shared" ref="S269:S332" si="124">IF(R269&gt;0,R269,R269+180)</f>
        <v>82.187798661379574</v>
      </c>
      <c r="U269" s="310">
        <f t="shared" si="104"/>
        <v>1000000000</v>
      </c>
      <c r="V269" s="310">
        <f t="shared" si="105"/>
        <v>288388324</v>
      </c>
      <c r="X269" s="336">
        <f t="shared" ref="X269:X332" si="125">20*LOG10((K269/(I269*M269))*AEA*Afb)</f>
        <v>2.9959587536956054</v>
      </c>
      <c r="Y269" s="337">
        <f t="shared" ref="Y269:Y332" si="126">(L269-(J269+N269))*radconv</f>
        <v>-16.197628309266406</v>
      </c>
      <c r="AA269" s="336">
        <f t="shared" ref="AA269:AA332" si="127">20*LOG10((E269*G269/(C269*O269))*Am)</f>
        <v>3.6639813021235517</v>
      </c>
      <c r="AB269" s="337">
        <f t="shared" ref="AB269:AB332" si="128">(F269+H269-(D269+P269))*radconv</f>
        <v>-81.61457302935402</v>
      </c>
      <c r="AD269">
        <f t="shared" si="106"/>
        <v>0</v>
      </c>
      <c r="AE269">
        <f t="shared" si="109"/>
        <v>0</v>
      </c>
    </row>
    <row r="270" spans="1:31" x14ac:dyDescent="0.25">
      <c r="A270" s="338">
        <v>17081</v>
      </c>
      <c r="B270" s="355">
        <f t="shared" ref="B270:B333" si="129">A270/1000</f>
        <v>17.081</v>
      </c>
      <c r="C270" s="328">
        <f t="shared" si="110"/>
        <v>3.9616670225655319</v>
      </c>
      <c r="D270" s="329">
        <f t="shared" si="111"/>
        <v>1.3156169376255109</v>
      </c>
      <c r="E270" s="329">
        <f t="shared" si="112"/>
        <v>1.0000250864234712</v>
      </c>
      <c r="F270" s="330">
        <f t="shared" si="113"/>
        <v>7.0832053537868318E-3</v>
      </c>
      <c r="G270" s="329">
        <f t="shared" si="114"/>
        <v>1</v>
      </c>
      <c r="H270" s="330">
        <f t="shared" si="115"/>
        <v>0</v>
      </c>
      <c r="I270" s="328">
        <f t="shared" si="116"/>
        <v>37331.777166247462</v>
      </c>
      <c r="J270" s="331">
        <f t="shared" si="117"/>
        <v>1.5707695399640509</v>
      </c>
      <c r="K270" s="339">
        <f t="shared" si="107"/>
        <v>4.9100195059844003</v>
      </c>
      <c r="L270" s="340">
        <f t="shared" si="108"/>
        <v>1.3656962106679285</v>
      </c>
      <c r="M270" s="328">
        <f t="shared" si="118"/>
        <v>1.0029649318483511</v>
      </c>
      <c r="N270" s="331">
        <f t="shared" si="119"/>
        <v>7.6910657923516451E-2</v>
      </c>
      <c r="O270" s="332">
        <f t="shared" si="120"/>
        <v>1.0009295970724794</v>
      </c>
      <c r="P270" s="333">
        <f t="shared" si="121"/>
        <v>0.1179772371607504</v>
      </c>
      <c r="Q270" s="334">
        <f t="shared" si="122"/>
        <v>6.6101906289651495</v>
      </c>
      <c r="R270" s="335">
        <f t="shared" si="123"/>
        <v>-97.889550447407728</v>
      </c>
      <c r="S270" s="337">
        <f t="shared" si="124"/>
        <v>82.110449552592272</v>
      </c>
      <c r="U270" s="310">
        <f t="shared" ref="U270:U333" si="130">IF(Q270&lt;0,A270,1000000000)</f>
        <v>1000000000</v>
      </c>
      <c r="V270" s="310">
        <f t="shared" ref="V270:V333" si="131">A270^2</f>
        <v>291760561</v>
      </c>
      <c r="X270" s="336">
        <f t="shared" si="125"/>
        <v>2.9935564282623366</v>
      </c>
      <c r="Y270" s="337">
        <f t="shared" si="126"/>
        <v>-16.156492376417731</v>
      </c>
      <c r="AA270" s="336">
        <f t="shared" si="127"/>
        <v>3.6166342007028138</v>
      </c>
      <c r="AB270" s="337">
        <f t="shared" si="128"/>
        <v>-81.733058070989998</v>
      </c>
      <c r="AD270">
        <f t="shared" ref="AD270:AD333" si="132">SUM((Q271&lt;0)*(Q270&gt;0))*A270</f>
        <v>0</v>
      </c>
      <c r="AE270">
        <f t="shared" si="109"/>
        <v>0</v>
      </c>
    </row>
    <row r="271" spans="1:31" x14ac:dyDescent="0.25">
      <c r="A271" s="338">
        <v>17180</v>
      </c>
      <c r="B271" s="355">
        <f t="shared" si="129"/>
        <v>17.18</v>
      </c>
      <c r="C271" s="328">
        <f t="shared" si="110"/>
        <v>3.9831694517681879</v>
      </c>
      <c r="D271" s="329">
        <f t="shared" si="111"/>
        <v>1.3170249199896273</v>
      </c>
      <c r="E271" s="329">
        <f t="shared" si="112"/>
        <v>1.0000253780599746</v>
      </c>
      <c r="F271" s="330">
        <f t="shared" si="113"/>
        <v>7.1242576148412787E-3</v>
      </c>
      <c r="G271" s="329">
        <f t="shared" si="114"/>
        <v>1</v>
      </c>
      <c r="H271" s="330">
        <f t="shared" si="115"/>
        <v>0</v>
      </c>
      <c r="I271" s="328">
        <f t="shared" si="116"/>
        <v>37548.148920642067</v>
      </c>
      <c r="J271" s="331">
        <f t="shared" si="117"/>
        <v>1.5707696943235534</v>
      </c>
      <c r="K271" s="339">
        <f t="shared" si="107"/>
        <v>4.937300389793231</v>
      </c>
      <c r="L271" s="340">
        <f t="shared" si="108"/>
        <v>1.3668455099841255</v>
      </c>
      <c r="M271" s="328">
        <f t="shared" si="118"/>
        <v>1.0029993488877877</v>
      </c>
      <c r="N271" s="331">
        <f t="shared" si="119"/>
        <v>7.7354654424025601E-2</v>
      </c>
      <c r="O271" s="332">
        <f t="shared" si="120"/>
        <v>1.0009406124297291</v>
      </c>
      <c r="P271" s="333">
        <f t="shared" si="121"/>
        <v>0.11866292920933218</v>
      </c>
      <c r="Q271" s="334">
        <f t="shared" si="122"/>
        <v>6.5607126087662913</v>
      </c>
      <c r="R271" s="335">
        <f t="shared" si="123"/>
        <v>-97.966755003250626</v>
      </c>
      <c r="S271" s="337">
        <f t="shared" si="124"/>
        <v>82.033244996749374</v>
      </c>
      <c r="U271" s="310">
        <f t="shared" si="130"/>
        <v>1000000000</v>
      </c>
      <c r="V271" s="310">
        <f t="shared" si="131"/>
        <v>295152400</v>
      </c>
      <c r="X271" s="336">
        <f t="shared" si="125"/>
        <v>2.9911877072731103</v>
      </c>
      <c r="Y271" s="337">
        <f t="shared" si="126"/>
        <v>-16.116090345901981</v>
      </c>
      <c r="AA271" s="336">
        <f t="shared" si="127"/>
        <v>3.5695249014931814</v>
      </c>
      <c r="AB271" s="337">
        <f t="shared" si="128"/>
        <v>-81.850664657348631</v>
      </c>
      <c r="AD271">
        <f t="shared" si="132"/>
        <v>0</v>
      </c>
      <c r="AE271">
        <f t="shared" si="109"/>
        <v>0</v>
      </c>
    </row>
    <row r="272" spans="1:31" x14ac:dyDescent="0.25">
      <c r="A272" s="338">
        <v>17279</v>
      </c>
      <c r="B272" s="355">
        <f t="shared" si="129"/>
        <v>17.279</v>
      </c>
      <c r="C272" s="328">
        <f t="shared" si="110"/>
        <v>4.0046796924584722</v>
      </c>
      <c r="D272" s="329">
        <f t="shared" si="111"/>
        <v>1.3184177797660042</v>
      </c>
      <c r="E272" s="329">
        <f t="shared" si="112"/>
        <v>1.0000256713818079</v>
      </c>
      <c r="F272" s="330">
        <f t="shared" si="113"/>
        <v>7.1653098518824803E-3</v>
      </c>
      <c r="G272" s="329">
        <f t="shared" si="114"/>
        <v>1</v>
      </c>
      <c r="H272" s="330">
        <f t="shared" si="115"/>
        <v>0</v>
      </c>
      <c r="I272" s="328">
        <f t="shared" si="116"/>
        <v>37764.520675037566</v>
      </c>
      <c r="J272" s="331">
        <f t="shared" si="117"/>
        <v>1.570769846914251</v>
      </c>
      <c r="K272" s="339">
        <f t="shared" si="107"/>
        <v>4.9645877235485321</v>
      </c>
      <c r="L272" s="340">
        <f t="shared" si="108"/>
        <v>1.3679821767826221</v>
      </c>
      <c r="M272" s="328">
        <f t="shared" si="118"/>
        <v>1.0030339636377956</v>
      </c>
      <c r="N272" s="331">
        <f t="shared" si="119"/>
        <v>7.7798620367369134E-2</v>
      </c>
      <c r="O272" s="332">
        <f t="shared" si="120"/>
        <v>1.0009516962733356</v>
      </c>
      <c r="P272" s="333">
        <f t="shared" si="121"/>
        <v>0.11934865401927899</v>
      </c>
      <c r="Q272" s="334">
        <f t="shared" si="122"/>
        <v>6.5115030193637242</v>
      </c>
      <c r="R272" s="335">
        <f t="shared" si="123"/>
        <v>-98.043816914911517</v>
      </c>
      <c r="S272" s="337">
        <f t="shared" si="124"/>
        <v>81.956183085088483</v>
      </c>
      <c r="U272" s="310">
        <f t="shared" si="130"/>
        <v>1000000000</v>
      </c>
      <c r="V272" s="310">
        <f t="shared" si="131"/>
        <v>298563841</v>
      </c>
      <c r="X272" s="336">
        <f t="shared" si="125"/>
        <v>2.9888518115184453</v>
      </c>
      <c r="Y272" s="337">
        <f t="shared" si="126"/>
        <v>-16.076410253194229</v>
      </c>
      <c r="AA272" s="336">
        <f t="shared" si="127"/>
        <v>3.5226512078452812</v>
      </c>
      <c r="AB272" s="337">
        <f t="shared" si="128"/>
        <v>-81.967406661717291</v>
      </c>
      <c r="AD272">
        <f t="shared" si="132"/>
        <v>0</v>
      </c>
      <c r="AE272">
        <f t="shared" si="109"/>
        <v>0</v>
      </c>
    </row>
    <row r="273" spans="1:31" x14ac:dyDescent="0.25">
      <c r="A273" s="338">
        <v>17378</v>
      </c>
      <c r="B273" s="355">
        <f t="shared" si="129"/>
        <v>17.378</v>
      </c>
      <c r="C273" s="328">
        <f t="shared" si="110"/>
        <v>4.0261976194361395</v>
      </c>
      <c r="D273" s="329">
        <f t="shared" si="111"/>
        <v>1.3197957539734646</v>
      </c>
      <c r="E273" s="329">
        <f t="shared" si="112"/>
        <v>1.0000259663889697</v>
      </c>
      <c r="F273" s="330">
        <f t="shared" si="113"/>
        <v>7.2063620647720879E-3</v>
      </c>
      <c r="G273" s="329">
        <f t="shared" si="114"/>
        <v>1</v>
      </c>
      <c r="H273" s="330">
        <f t="shared" si="115"/>
        <v>0</v>
      </c>
      <c r="I273" s="328">
        <f t="shared" si="116"/>
        <v>37980.892429433916</v>
      </c>
      <c r="J273" s="331">
        <f t="shared" si="117"/>
        <v>1.5707699977663734</v>
      </c>
      <c r="K273" s="339">
        <f t="shared" si="107"/>
        <v>4.9918814014774524</v>
      </c>
      <c r="L273" s="340">
        <f t="shared" si="108"/>
        <v>1.3691064153110735</v>
      </c>
      <c r="M273" s="328">
        <f t="shared" si="118"/>
        <v>1.003068776077906</v>
      </c>
      <c r="N273" s="331">
        <f t="shared" si="119"/>
        <v>7.8242555581703135E-2</v>
      </c>
      <c r="O273" s="332">
        <f t="shared" si="120"/>
        <v>1.0009628486865796</v>
      </c>
      <c r="P273" s="333">
        <f t="shared" si="121"/>
        <v>0.12003441177109932</v>
      </c>
      <c r="Q273" s="334">
        <f t="shared" si="122"/>
        <v>6.4625589327666724</v>
      </c>
      <c r="R273" s="335">
        <f t="shared" si="123"/>
        <v>-98.120738062276502</v>
      </c>
      <c r="S273" s="337">
        <f t="shared" si="124"/>
        <v>81.879261937723498</v>
      </c>
      <c r="U273" s="310">
        <f t="shared" si="130"/>
        <v>1000000000</v>
      </c>
      <c r="V273" s="310">
        <f t="shared" si="131"/>
        <v>301994884</v>
      </c>
      <c r="X273" s="336">
        <f t="shared" si="125"/>
        <v>2.9865479830455861</v>
      </c>
      <c r="Y273" s="337">
        <f t="shared" si="126"/>
        <v>-16.037440387651962</v>
      </c>
      <c r="AA273" s="336">
        <f t="shared" si="127"/>
        <v>3.4760109497210845</v>
      </c>
      <c r="AB273" s="337">
        <f t="shared" si="128"/>
        <v>-82.083297674624532</v>
      </c>
      <c r="AD273">
        <f t="shared" si="132"/>
        <v>0</v>
      </c>
      <c r="AE273">
        <f t="shared" si="109"/>
        <v>0</v>
      </c>
    </row>
    <row r="274" spans="1:31" x14ac:dyDescent="0.25">
      <c r="A274" s="338">
        <v>17479.25</v>
      </c>
      <c r="B274" s="355">
        <f t="shared" si="129"/>
        <v>17.47925</v>
      </c>
      <c r="C274" s="328">
        <f t="shared" si="110"/>
        <v>4.0482124127755634</v>
      </c>
      <c r="D274" s="329">
        <f t="shared" si="111"/>
        <v>1.3211898908742099</v>
      </c>
      <c r="E274" s="329">
        <f t="shared" si="112"/>
        <v>1.0000262698440561</v>
      </c>
      <c r="F274" s="330">
        <f t="shared" si="113"/>
        <v>7.2483472573747296E-3</v>
      </c>
      <c r="G274" s="329">
        <f t="shared" si="114"/>
        <v>1</v>
      </c>
      <c r="H274" s="330">
        <f t="shared" si="115"/>
        <v>0</v>
      </c>
      <c r="I274" s="328">
        <f t="shared" si="116"/>
        <v>38202.181723703798</v>
      </c>
      <c r="J274" s="331">
        <f t="shared" si="117"/>
        <v>1.5707701502794467</v>
      </c>
      <c r="K274" s="339">
        <f t="shared" si="107"/>
        <v>5.0198018445098533</v>
      </c>
      <c r="L274" s="340">
        <f t="shared" si="108"/>
        <v>1.3702435578845906</v>
      </c>
      <c r="M274" s="328">
        <f t="shared" si="118"/>
        <v>1.0031045841689805</v>
      </c>
      <c r="N274" s="331">
        <f t="shared" si="119"/>
        <v>7.8696548269183472E-2</v>
      </c>
      <c r="O274" s="332">
        <f t="shared" si="120"/>
        <v>1.0009743255759993</v>
      </c>
      <c r="P274" s="333">
        <f t="shared" si="121"/>
        <v>0.12073578918774297</v>
      </c>
      <c r="Q274" s="334">
        <f t="shared" si="122"/>
        <v>6.4127741007600463</v>
      </c>
      <c r="R274" s="335">
        <f t="shared" si="123"/>
        <v>-98.199263747434316</v>
      </c>
      <c r="S274" s="337">
        <f t="shared" si="124"/>
        <v>81.800736252565684</v>
      </c>
      <c r="U274" s="310">
        <f t="shared" si="130"/>
        <v>1000000000</v>
      </c>
      <c r="V274" s="310">
        <f t="shared" si="131"/>
        <v>305524180.5625</v>
      </c>
      <c r="X274" s="336">
        <f t="shared" si="125"/>
        <v>2.9842241952300688</v>
      </c>
      <c r="Y274" s="337">
        <f t="shared" si="126"/>
        <v>-15.99830752071791</v>
      </c>
      <c r="AA274" s="336">
        <f t="shared" si="127"/>
        <v>3.4285499055299802</v>
      </c>
      <c r="AB274" s="337">
        <f t="shared" si="128"/>
        <v>-82.200956226716414</v>
      </c>
      <c r="AD274">
        <f t="shared" si="132"/>
        <v>0</v>
      </c>
      <c r="AE274">
        <f t="shared" si="109"/>
        <v>0</v>
      </c>
    </row>
    <row r="275" spans="1:31" x14ac:dyDescent="0.25">
      <c r="A275" s="338">
        <v>17580.5</v>
      </c>
      <c r="B275" s="355">
        <f t="shared" si="129"/>
        <v>17.580500000000001</v>
      </c>
      <c r="C275" s="328">
        <f t="shared" si="110"/>
        <v>4.0702349891697542</v>
      </c>
      <c r="D275" s="329">
        <f t="shared" si="111"/>
        <v>1.322568944085327</v>
      </c>
      <c r="E275" s="329">
        <f t="shared" si="112"/>
        <v>1.0000265750619441</v>
      </c>
      <c r="F275" s="330">
        <f t="shared" si="113"/>
        <v>7.2903324244227982E-3</v>
      </c>
      <c r="G275" s="329">
        <f t="shared" si="114"/>
        <v>1</v>
      </c>
      <c r="H275" s="330">
        <f t="shared" si="115"/>
        <v>0</v>
      </c>
      <c r="I275" s="328">
        <f t="shared" si="116"/>
        <v>38423.471017974574</v>
      </c>
      <c r="J275" s="331">
        <f t="shared" si="117"/>
        <v>1.5707703010358067</v>
      </c>
      <c r="K275" s="339">
        <f t="shared" si="107"/>
        <v>5.0477287068012027</v>
      </c>
      <c r="L275" s="340">
        <f t="shared" si="108"/>
        <v>1.3713681192796989</v>
      </c>
      <c r="M275" s="328">
        <f t="shared" si="118"/>
        <v>1.0031405989945139</v>
      </c>
      <c r="N275" s="331">
        <f t="shared" si="119"/>
        <v>7.9150508451667795E-2</v>
      </c>
      <c r="O275" s="332">
        <f t="shared" si="120"/>
        <v>1.0009858743649924</v>
      </c>
      <c r="P275" s="333">
        <f t="shared" si="121"/>
        <v>0.12143720144207855</v>
      </c>
      <c r="Q275" s="334">
        <f t="shared" si="122"/>
        <v>6.3632609311120438</v>
      </c>
      <c r="R275" s="335">
        <f t="shared" si="123"/>
        <v>-98.277646083726481</v>
      </c>
      <c r="S275" s="337">
        <f t="shared" si="124"/>
        <v>81.722353916273519</v>
      </c>
      <c r="U275" s="310">
        <f t="shared" si="130"/>
        <v>1000000000</v>
      </c>
      <c r="V275" s="310">
        <f t="shared" si="131"/>
        <v>309073980.25</v>
      </c>
      <c r="X275" s="336">
        <f t="shared" si="125"/>
        <v>2.9819324103824538</v>
      </c>
      <c r="Y275" s="337">
        <f t="shared" si="126"/>
        <v>-15.959893539157466</v>
      </c>
      <c r="AA275" s="336">
        <f t="shared" si="127"/>
        <v>3.3813285207295891</v>
      </c>
      <c r="AB275" s="337">
        <f t="shared" si="128"/>
        <v>-82.317752544569032</v>
      </c>
      <c r="AD275">
        <f t="shared" si="132"/>
        <v>0</v>
      </c>
      <c r="AE275">
        <f t="shared" si="109"/>
        <v>0</v>
      </c>
    </row>
    <row r="276" spans="1:31" x14ac:dyDescent="0.25">
      <c r="A276" s="338">
        <v>17681.75</v>
      </c>
      <c r="B276" s="355">
        <f t="shared" si="129"/>
        <v>17.681750000000001</v>
      </c>
      <c r="C276" s="328">
        <f t="shared" si="110"/>
        <v>4.0922652229648939</v>
      </c>
      <c r="D276" s="329">
        <f t="shared" si="111"/>
        <v>1.3239331519225663</v>
      </c>
      <c r="E276" s="329">
        <f t="shared" si="112"/>
        <v>1.0000268820426323</v>
      </c>
      <c r="F276" s="330">
        <f t="shared" si="113"/>
        <v>7.3323175657682982E-3</v>
      </c>
      <c r="G276" s="329">
        <f t="shared" si="114"/>
        <v>1</v>
      </c>
      <c r="H276" s="330">
        <f t="shared" si="115"/>
        <v>0</v>
      </c>
      <c r="I276" s="328">
        <f t="shared" si="116"/>
        <v>38644.760312246195</v>
      </c>
      <c r="J276" s="331">
        <f t="shared" si="117"/>
        <v>1.5707704500656317</v>
      </c>
      <c r="K276" s="339">
        <f t="shared" si="107"/>
        <v>5.0756618823930486</v>
      </c>
      <c r="L276" s="340">
        <f t="shared" si="108"/>
        <v>1.372480304344462</v>
      </c>
      <c r="M276" s="328">
        <f t="shared" si="118"/>
        <v>1.0031768205322407</v>
      </c>
      <c r="N276" s="331">
        <f t="shared" si="119"/>
        <v>7.9604435945563004E-2</v>
      </c>
      <c r="O276" s="332">
        <f t="shared" si="120"/>
        <v>1.0009974951441851</v>
      </c>
      <c r="P276" s="333">
        <f t="shared" si="121"/>
        <v>0.12213864872673637</v>
      </c>
      <c r="Q276" s="334">
        <f t="shared" si="122"/>
        <v>6.3140164404203514</v>
      </c>
      <c r="R276" s="335">
        <f t="shared" si="123"/>
        <v>-98.355886990965558</v>
      </c>
      <c r="S276" s="337">
        <f t="shared" si="124"/>
        <v>81.644113009034442</v>
      </c>
      <c r="U276" s="310">
        <f t="shared" si="130"/>
        <v>1000000000</v>
      </c>
      <c r="V276" s="310">
        <f t="shared" si="131"/>
        <v>312644283.0625</v>
      </c>
      <c r="X276" s="336">
        <f t="shared" si="125"/>
        <v>2.9796718822916146</v>
      </c>
      <c r="Y276" s="337">
        <f t="shared" si="126"/>
        <v>-15.922186697251112</v>
      </c>
      <c r="AA276" s="336">
        <f t="shared" si="127"/>
        <v>3.3343445581287376</v>
      </c>
      <c r="AB276" s="337">
        <f t="shared" si="128"/>
        <v>-82.433700293714452</v>
      </c>
      <c r="AD276">
        <f t="shared" si="132"/>
        <v>0</v>
      </c>
      <c r="AE276">
        <f t="shared" si="109"/>
        <v>0</v>
      </c>
    </row>
    <row r="277" spans="1:31" x14ac:dyDescent="0.25">
      <c r="A277" s="338">
        <v>17783</v>
      </c>
      <c r="B277" s="355">
        <f t="shared" si="129"/>
        <v>17.783000000000001</v>
      </c>
      <c r="C277" s="328">
        <f t="shared" si="110"/>
        <v>4.1143029911552169</v>
      </c>
      <c r="D277" s="329">
        <f t="shared" si="111"/>
        <v>1.3252827478193367</v>
      </c>
      <c r="E277" s="329">
        <f t="shared" si="112"/>
        <v>1.0000271907861189</v>
      </c>
      <c r="F277" s="330">
        <f t="shared" si="113"/>
        <v>7.3743026812632352E-3</v>
      </c>
      <c r="G277" s="329">
        <f t="shared" si="114"/>
        <v>1</v>
      </c>
      <c r="H277" s="330">
        <f t="shared" si="115"/>
        <v>0</v>
      </c>
      <c r="I277" s="328">
        <f t="shared" si="116"/>
        <v>38866.049606518674</v>
      </c>
      <c r="J277" s="331">
        <f t="shared" si="117"/>
        <v>1.5707705973984121</v>
      </c>
      <c r="K277" s="339">
        <f t="shared" si="107"/>
        <v>5.1036012676229863</v>
      </c>
      <c r="L277" s="340">
        <f t="shared" si="108"/>
        <v>1.3735803135652236</v>
      </c>
      <c r="M277" s="328">
        <f t="shared" si="118"/>
        <v>1.0032132487597702</v>
      </c>
      <c r="N277" s="331">
        <f t="shared" si="119"/>
        <v>8.0058330567356326E-2</v>
      </c>
      <c r="O277" s="332">
        <f t="shared" si="120"/>
        <v>1.0010091880047227</v>
      </c>
      <c r="P277" s="333">
        <f t="shared" si="121"/>
        <v>0.12284013123418731</v>
      </c>
      <c r="Q277" s="334">
        <f t="shared" si="122"/>
        <v>6.2650376933144685</v>
      </c>
      <c r="R277" s="335">
        <f t="shared" si="123"/>
        <v>-98.433988359090719</v>
      </c>
      <c r="S277" s="337">
        <f t="shared" si="124"/>
        <v>81.566011640909281</v>
      </c>
      <c r="U277" s="310">
        <f t="shared" si="130"/>
        <v>1000000000</v>
      </c>
      <c r="V277" s="310">
        <f t="shared" si="131"/>
        <v>316235089</v>
      </c>
      <c r="X277" s="336">
        <f t="shared" si="125"/>
        <v>2.9774418851294246</v>
      </c>
      <c r="Y277" s="337">
        <f t="shared" si="126"/>
        <v>-15.885175499152655</v>
      </c>
      <c r="AA277" s="336">
        <f t="shared" si="127"/>
        <v>3.2875958081850456</v>
      </c>
      <c r="AB277" s="337">
        <f t="shared" si="128"/>
        <v>-82.548812859938081</v>
      </c>
      <c r="AD277">
        <f t="shared" si="132"/>
        <v>0</v>
      </c>
      <c r="AE277">
        <f t="shared" si="109"/>
        <v>0</v>
      </c>
    </row>
    <row r="278" spans="1:31" x14ac:dyDescent="0.25">
      <c r="A278" s="338">
        <v>17886.5</v>
      </c>
      <c r="B278" s="355">
        <f t="shared" si="129"/>
        <v>17.886500000000002</v>
      </c>
      <c r="C278" s="328">
        <f t="shared" si="110"/>
        <v>4.1368381495522879</v>
      </c>
      <c r="D278" s="329">
        <f t="shared" si="111"/>
        <v>1.3266474701980713</v>
      </c>
      <c r="E278" s="329">
        <f t="shared" si="112"/>
        <v>1.0000275082125636</v>
      </c>
      <c r="F278" s="330">
        <f t="shared" si="113"/>
        <v>7.417220772451996E-3</v>
      </c>
      <c r="G278" s="329">
        <f t="shared" si="114"/>
        <v>1</v>
      </c>
      <c r="H278" s="330">
        <f t="shared" si="115"/>
        <v>0</v>
      </c>
      <c r="I278" s="328">
        <f t="shared" si="116"/>
        <v>39092.256440664736</v>
      </c>
      <c r="J278" s="331">
        <f t="shared" si="117"/>
        <v>1.5707707462812308</v>
      </c>
      <c r="K278" s="339">
        <f t="shared" si="107"/>
        <v>5.1321678406420821</v>
      </c>
      <c r="L278" s="340">
        <f t="shared" si="108"/>
        <v>1.374692387030013</v>
      </c>
      <c r="M278" s="328">
        <f t="shared" si="118"/>
        <v>1.0032507001105206</v>
      </c>
      <c r="N278" s="331">
        <f t="shared" si="119"/>
        <v>8.0522277569349765E-2</v>
      </c>
      <c r="O278" s="332">
        <f t="shared" si="120"/>
        <v>1.0010212153039051</v>
      </c>
      <c r="P278" s="333">
        <f t="shared" si="121"/>
        <v>0.12355723884762697</v>
      </c>
      <c r="Q278" s="334">
        <f t="shared" si="122"/>
        <v>6.2152421897258039</v>
      </c>
      <c r="R278" s="335">
        <f t="shared" si="123"/>
        <v>-98.513683025355462</v>
      </c>
      <c r="S278" s="337">
        <f t="shared" si="124"/>
        <v>81.486316974644538</v>
      </c>
      <c r="U278" s="310">
        <f t="shared" si="130"/>
        <v>1000000000</v>
      </c>
      <c r="V278" s="310">
        <f t="shared" si="131"/>
        <v>319926882.25</v>
      </c>
      <c r="X278" s="336">
        <f t="shared" si="125"/>
        <v>2.9751931535285205</v>
      </c>
      <c r="Y278" s="337">
        <f t="shared" si="126"/>
        <v>-15.848049118558434</v>
      </c>
      <c r="AA278" s="336">
        <f t="shared" si="127"/>
        <v>3.2400490361972851</v>
      </c>
      <c r="AB278" s="337">
        <f t="shared" si="128"/>
        <v>-82.665633906797012</v>
      </c>
      <c r="AD278">
        <f t="shared" si="132"/>
        <v>0</v>
      </c>
      <c r="AE278">
        <f t="shared" si="109"/>
        <v>0</v>
      </c>
    </row>
    <row r="279" spans="1:31" x14ac:dyDescent="0.25">
      <c r="A279" s="338">
        <v>17990</v>
      </c>
      <c r="B279" s="355">
        <f t="shared" si="129"/>
        <v>17.989999999999998</v>
      </c>
      <c r="C279" s="328">
        <f t="shared" si="110"/>
        <v>4.1593809291792461</v>
      </c>
      <c r="D279" s="329">
        <f t="shared" si="111"/>
        <v>1.3279974021766405</v>
      </c>
      <c r="E279" s="329">
        <f t="shared" si="112"/>
        <v>1.0000278274810206</v>
      </c>
      <c r="F279" s="330">
        <f t="shared" si="113"/>
        <v>7.4601388363157882E-3</v>
      </c>
      <c r="G279" s="329">
        <f t="shared" si="114"/>
        <v>1</v>
      </c>
      <c r="H279" s="330">
        <f t="shared" si="115"/>
        <v>0</v>
      </c>
      <c r="I279" s="328">
        <f t="shared" si="116"/>
        <v>39318.463274811649</v>
      </c>
      <c r="J279" s="331">
        <f t="shared" si="117"/>
        <v>1.5707708934509452</v>
      </c>
      <c r="K279" s="339">
        <f t="shared" ref="K279:K342" si="133">SQRT(1+(A279/Zero2)^2)</f>
        <v>5.1607406903807425</v>
      </c>
      <c r="L279" s="340">
        <f t="shared" ref="L279:L342" si="134">ATAN(A279/Zero2)</f>
        <v>1.375792147676659</v>
      </c>
      <c r="M279" s="328">
        <f t="shared" si="118"/>
        <v>1.0032883673916455</v>
      </c>
      <c r="N279" s="331">
        <f t="shared" si="119"/>
        <v>8.0986189834504146E-2</v>
      </c>
      <c r="O279" s="332">
        <f t="shared" si="120"/>
        <v>1.0010333181178974</v>
      </c>
      <c r="P279" s="333">
        <f t="shared" si="121"/>
        <v>0.1242743836729074</v>
      </c>
      <c r="Q279" s="334">
        <f t="shared" si="122"/>
        <v>6.1657183182488007</v>
      </c>
      <c r="R279" s="335">
        <f t="shared" si="123"/>
        <v>-98.593235781845905</v>
      </c>
      <c r="S279" s="337">
        <f t="shared" si="124"/>
        <v>81.406764218154095</v>
      </c>
      <c r="U279" s="310">
        <f t="shared" si="130"/>
        <v>1000000000</v>
      </c>
      <c r="V279" s="310">
        <f t="shared" si="131"/>
        <v>323640100</v>
      </c>
      <c r="X279" s="336">
        <f t="shared" si="125"/>
        <v>2.9729748534779654</v>
      </c>
      <c r="Y279" s="337">
        <f t="shared" si="126"/>
        <v>-15.811626122050626</v>
      </c>
      <c r="AA279" s="336">
        <f t="shared" si="127"/>
        <v>3.1927434647708344</v>
      </c>
      <c r="AB279" s="337">
        <f t="shared" si="128"/>
        <v>-82.781609659795251</v>
      </c>
      <c r="AD279">
        <f t="shared" si="132"/>
        <v>0</v>
      </c>
      <c r="AE279">
        <f t="shared" si="109"/>
        <v>0</v>
      </c>
    </row>
    <row r="280" spans="1:31" x14ac:dyDescent="0.25">
      <c r="A280" s="338">
        <v>18093.5</v>
      </c>
      <c r="B280" s="355">
        <f t="shared" si="129"/>
        <v>18.093499999999999</v>
      </c>
      <c r="C280" s="328">
        <f t="shared" si="110"/>
        <v>4.1819312067889367</v>
      </c>
      <c r="D280" s="329">
        <f t="shared" si="111"/>
        <v>1.3293327780581949</v>
      </c>
      <c r="E280" s="329">
        <f t="shared" si="112"/>
        <v>1.0000281485914877</v>
      </c>
      <c r="F280" s="330">
        <f t="shared" si="113"/>
        <v>7.5030568726965298E-3</v>
      </c>
      <c r="G280" s="329">
        <f t="shared" si="114"/>
        <v>1</v>
      </c>
      <c r="H280" s="330">
        <f t="shared" si="115"/>
        <v>0</v>
      </c>
      <c r="I280" s="328">
        <f t="shared" si="116"/>
        <v>39544.670108959406</v>
      </c>
      <c r="J280" s="331">
        <f t="shared" si="117"/>
        <v>1.570771038936954</v>
      </c>
      <c r="K280" s="339">
        <f t="shared" si="133"/>
        <v>5.1893197131584632</v>
      </c>
      <c r="L280" s="340">
        <f t="shared" si="134"/>
        <v>1.3768797962530008</v>
      </c>
      <c r="M280" s="328">
        <f t="shared" si="118"/>
        <v>1.0033262505788252</v>
      </c>
      <c r="N280" s="331">
        <f t="shared" si="119"/>
        <v>8.1450067167061699E-2</v>
      </c>
      <c r="O280" s="332">
        <f t="shared" si="120"/>
        <v>1.0010454965457347</v>
      </c>
      <c r="P280" s="333">
        <f t="shared" si="121"/>
        <v>0.12499156591509566</v>
      </c>
      <c r="Q280" s="334">
        <f t="shared" si="122"/>
        <v>6.1164630924887149</v>
      </c>
      <c r="R280" s="335">
        <f t="shared" si="123"/>
        <v>-98.672648553366571</v>
      </c>
      <c r="S280" s="337">
        <f t="shared" si="124"/>
        <v>81.327351446633429</v>
      </c>
      <c r="U280" s="310">
        <f t="shared" si="130"/>
        <v>1000000000</v>
      </c>
      <c r="V280" s="310">
        <f t="shared" si="131"/>
        <v>327374742.25</v>
      </c>
      <c r="X280" s="336">
        <f t="shared" si="125"/>
        <v>2.9707862715136568</v>
      </c>
      <c r="Y280" s="337">
        <f t="shared" si="126"/>
        <v>-15.775894998093619</v>
      </c>
      <c r="AA280" s="336">
        <f t="shared" si="127"/>
        <v>3.145676820975059</v>
      </c>
      <c r="AB280" s="337">
        <f t="shared" si="128"/>
        <v>-82.896753555272966</v>
      </c>
      <c r="AD280">
        <f t="shared" si="132"/>
        <v>0</v>
      </c>
      <c r="AE280">
        <f t="shared" si="109"/>
        <v>0</v>
      </c>
    </row>
    <row r="281" spans="1:31" x14ac:dyDescent="0.25">
      <c r="A281" s="338">
        <v>18197</v>
      </c>
      <c r="B281" s="355">
        <f t="shared" si="129"/>
        <v>18.196999999999999</v>
      </c>
      <c r="C281" s="328">
        <f t="shared" si="110"/>
        <v>4.2044888617377394</v>
      </c>
      <c r="D281" s="329">
        <f t="shared" si="111"/>
        <v>1.3306538273277837</v>
      </c>
      <c r="E281" s="329">
        <f t="shared" si="112"/>
        <v>1.0000284715439633</v>
      </c>
      <c r="F281" s="330">
        <f t="shared" si="113"/>
        <v>7.5459748814361424E-3</v>
      </c>
      <c r="G281" s="329">
        <f t="shared" si="114"/>
        <v>1</v>
      </c>
      <c r="H281" s="330">
        <f t="shared" si="115"/>
        <v>0</v>
      </c>
      <c r="I281" s="328">
        <f t="shared" si="116"/>
        <v>39770.876943107993</v>
      </c>
      <c r="J281" s="331">
        <f t="shared" si="117"/>
        <v>1.5707711827679862</v>
      </c>
      <c r="K281" s="339">
        <f t="shared" si="133"/>
        <v>5.2179048075440591</v>
      </c>
      <c r="L281" s="340">
        <f t="shared" si="134"/>
        <v>1.3779555292239301</v>
      </c>
      <c r="M281" s="328">
        <f t="shared" si="118"/>
        <v>1.0033643496476043</v>
      </c>
      <c r="N281" s="331">
        <f t="shared" si="119"/>
        <v>8.191390937135426E-2</v>
      </c>
      <c r="O281" s="332">
        <f t="shared" si="120"/>
        <v>1.0010577506870173</v>
      </c>
      <c r="P281" s="333">
        <f t="shared" si="121"/>
        <v>0.12570878577908062</v>
      </c>
      <c r="Q281" s="334">
        <f t="shared" si="122"/>
        <v>6.0674735741528032</v>
      </c>
      <c r="R281" s="335">
        <f t="shared" si="123"/>
        <v>-98.751923234016644</v>
      </c>
      <c r="S281" s="337">
        <f t="shared" si="124"/>
        <v>81.248076765983356</v>
      </c>
      <c r="U281" s="310">
        <f t="shared" si="130"/>
        <v>1000000000</v>
      </c>
      <c r="V281" s="310">
        <f t="shared" si="131"/>
        <v>331130809</v>
      </c>
      <c r="X281" s="336">
        <f t="shared" si="125"/>
        <v>2.9686267136749365</v>
      </c>
      <c r="Y281" s="337">
        <f t="shared" si="126"/>
        <v>-15.740844480513374</v>
      </c>
      <c r="AA281" s="336">
        <f t="shared" si="127"/>
        <v>3.0988468604778667</v>
      </c>
      <c r="AB281" s="337">
        <f t="shared" si="128"/>
        <v>-83.01107875350327</v>
      </c>
      <c r="AD281">
        <f t="shared" si="132"/>
        <v>0</v>
      </c>
      <c r="AE281">
        <f t="shared" si="109"/>
        <v>0</v>
      </c>
    </row>
    <row r="282" spans="1:31" x14ac:dyDescent="0.25">
      <c r="A282" s="338">
        <v>18303</v>
      </c>
      <c r="B282" s="355">
        <f t="shared" si="129"/>
        <v>18.303000000000001</v>
      </c>
      <c r="C282" s="328">
        <f t="shared" si="110"/>
        <v>4.2275989109740308</v>
      </c>
      <c r="D282" s="329">
        <f t="shared" si="111"/>
        <v>1.3319921709728257</v>
      </c>
      <c r="E282" s="329">
        <f t="shared" si="112"/>
        <v>1.0000288042065069</v>
      </c>
      <c r="F282" s="330">
        <f t="shared" si="113"/>
        <v>7.5899295282376676E-3</v>
      </c>
      <c r="G282" s="329">
        <f t="shared" si="114"/>
        <v>1</v>
      </c>
      <c r="H282" s="330">
        <f t="shared" si="115"/>
        <v>0</v>
      </c>
      <c r="I282" s="328">
        <f t="shared" si="116"/>
        <v>40002.547710449428</v>
      </c>
      <c r="J282" s="331">
        <f t="shared" si="117"/>
        <v>1.5707713283871116</v>
      </c>
      <c r="K282" s="339">
        <f t="shared" si="133"/>
        <v>5.2471865528302546</v>
      </c>
      <c r="L282" s="340">
        <f t="shared" si="134"/>
        <v>1.379045096173058</v>
      </c>
      <c r="M282" s="328">
        <f t="shared" si="118"/>
        <v>1.003403592724424</v>
      </c>
      <c r="N282" s="331">
        <f t="shared" si="119"/>
        <v>8.2388918877996112E-2</v>
      </c>
      <c r="O282" s="332">
        <f t="shared" si="120"/>
        <v>1.0010703794054883</v>
      </c>
      <c r="P282" s="333">
        <f t="shared" si="121"/>
        <v>0.12644336900414363</v>
      </c>
      <c r="Q282" s="334">
        <f t="shared" si="122"/>
        <v>6.0175731254845344</v>
      </c>
      <c r="R282" s="335">
        <f t="shared" si="123"/>
        <v>-98.832971574892355</v>
      </c>
      <c r="S282" s="337">
        <f t="shared" si="124"/>
        <v>81.167028425107645</v>
      </c>
      <c r="U282" s="310">
        <f t="shared" si="130"/>
        <v>1000000000</v>
      </c>
      <c r="V282" s="310">
        <f t="shared" si="131"/>
        <v>334999809</v>
      </c>
      <c r="X282" s="336">
        <f t="shared" si="125"/>
        <v>2.9664443715308506</v>
      </c>
      <c r="Y282" s="337">
        <f t="shared" si="126"/>
        <v>-15.705641276111635</v>
      </c>
      <c r="AA282" s="336">
        <f t="shared" si="127"/>
        <v>3.0511287539536842</v>
      </c>
      <c r="AB282" s="337">
        <f t="shared" si="128"/>
        <v>-83.127330298780677</v>
      </c>
      <c r="AD282">
        <f t="shared" si="132"/>
        <v>0</v>
      </c>
      <c r="AE282">
        <f t="shared" ref="AE282:AE345" si="135">IF(AD282&gt;0,S282,0)</f>
        <v>0</v>
      </c>
    </row>
    <row r="283" spans="1:31" x14ac:dyDescent="0.25">
      <c r="A283" s="338">
        <v>18409</v>
      </c>
      <c r="B283" s="355">
        <f t="shared" si="129"/>
        <v>18.408999999999999</v>
      </c>
      <c r="C283" s="328">
        <f t="shared" si="110"/>
        <v>4.2507164501866983</v>
      </c>
      <c r="D283" s="329">
        <f t="shared" si="111"/>
        <v>1.3333159597925133</v>
      </c>
      <c r="E283" s="329">
        <f t="shared" si="112"/>
        <v>1.0000291388011155</v>
      </c>
      <c r="F283" s="330">
        <f t="shared" si="113"/>
        <v>7.6338841457109941E-3</v>
      </c>
      <c r="G283" s="329">
        <f t="shared" si="114"/>
        <v>1</v>
      </c>
      <c r="H283" s="330">
        <f t="shared" si="115"/>
        <v>0</v>
      </c>
      <c r="I283" s="328">
        <f t="shared" si="116"/>
        <v>40234.218477791685</v>
      </c>
      <c r="J283" s="331">
        <f t="shared" si="117"/>
        <v>1.5707714723292716</v>
      </c>
      <c r="K283" s="339">
        <f t="shared" si="133"/>
        <v>5.2764744582037775</v>
      </c>
      <c r="L283" s="340">
        <f t="shared" si="134"/>
        <v>1.3801225687624159</v>
      </c>
      <c r="M283" s="328">
        <f t="shared" si="118"/>
        <v>1.0034430621855033</v>
      </c>
      <c r="N283" s="331">
        <f t="shared" si="119"/>
        <v>8.2863891123722999E-2</v>
      </c>
      <c r="O283" s="332">
        <f t="shared" si="120"/>
        <v>1.0010830877525143</v>
      </c>
      <c r="P283" s="333">
        <f t="shared" si="121"/>
        <v>0.12717799212485834</v>
      </c>
      <c r="Q283" s="334">
        <f t="shared" si="122"/>
        <v>5.9679452872523919</v>
      </c>
      <c r="R283" s="335">
        <f t="shared" si="123"/>
        <v>-98.913878998030839</v>
      </c>
      <c r="S283" s="337">
        <f t="shared" si="124"/>
        <v>81.086121001969161</v>
      </c>
      <c r="U283" s="310">
        <f t="shared" si="130"/>
        <v>1000000000</v>
      </c>
      <c r="V283" s="310">
        <f t="shared" si="131"/>
        <v>338891281</v>
      </c>
      <c r="X283" s="336">
        <f t="shared" si="125"/>
        <v>2.96429105920835</v>
      </c>
      <c r="Y283" s="337">
        <f t="shared" si="126"/>
        <v>-15.671128796505222</v>
      </c>
      <c r="AA283" s="336">
        <f t="shared" si="127"/>
        <v>3.0036542280440459</v>
      </c>
      <c r="AB283" s="337">
        <f t="shared" si="128"/>
        <v>-83.24275020152561</v>
      </c>
      <c r="AD283">
        <f t="shared" si="132"/>
        <v>0</v>
      </c>
      <c r="AE283">
        <f t="shared" si="135"/>
        <v>0</v>
      </c>
    </row>
    <row r="284" spans="1:31" x14ac:dyDescent="0.25">
      <c r="A284" s="338">
        <v>18515</v>
      </c>
      <c r="B284" s="355">
        <f t="shared" si="129"/>
        <v>18.515000000000001</v>
      </c>
      <c r="C284" s="328">
        <f t="shared" si="110"/>
        <v>4.2738413578341543</v>
      </c>
      <c r="D284" s="329">
        <f t="shared" si="111"/>
        <v>1.3346254253689627</v>
      </c>
      <c r="E284" s="329">
        <f t="shared" si="112"/>
        <v>1.0000294753277879</v>
      </c>
      <c r="F284" s="330">
        <f t="shared" si="113"/>
        <v>7.6778387336863116E-3</v>
      </c>
      <c r="G284" s="329">
        <f t="shared" si="114"/>
        <v>1</v>
      </c>
      <c r="H284" s="330">
        <f t="shared" si="115"/>
        <v>0</v>
      </c>
      <c r="I284" s="328">
        <f t="shared" si="116"/>
        <v>40465.889245134771</v>
      </c>
      <c r="J284" s="331">
        <f t="shared" si="117"/>
        <v>1.5707716146232686</v>
      </c>
      <c r="K284" s="339">
        <f t="shared" si="133"/>
        <v>5.3057684216533589</v>
      </c>
      <c r="L284" s="340">
        <f t="shared" si="134"/>
        <v>1.3811881447937453</v>
      </c>
      <c r="M284" s="328">
        <f t="shared" si="118"/>
        <v>1.0034827580041292</v>
      </c>
      <c r="N284" s="331">
        <f t="shared" si="119"/>
        <v>8.3338825898638141E-2</v>
      </c>
      <c r="O284" s="332">
        <f t="shared" si="120"/>
        <v>1.0010958758369319</v>
      </c>
      <c r="P284" s="333">
        <f t="shared" si="121"/>
        <v>0.12791265536073407</v>
      </c>
      <c r="Q284" s="334">
        <f t="shared" si="122"/>
        <v>5.9185870533138178</v>
      </c>
      <c r="R284" s="335">
        <f t="shared" si="123"/>
        <v>-98.994647441115887</v>
      </c>
      <c r="S284" s="337">
        <f t="shared" si="124"/>
        <v>81.005352558884113</v>
      </c>
      <c r="U284" s="310">
        <f t="shared" si="130"/>
        <v>1000000000</v>
      </c>
      <c r="V284" s="310">
        <f t="shared" si="131"/>
        <v>342805225</v>
      </c>
      <c r="X284" s="336">
        <f t="shared" si="125"/>
        <v>2.9621660907890819</v>
      </c>
      <c r="Y284" s="337">
        <f t="shared" si="126"/>
        <v>-15.637295698113199</v>
      </c>
      <c r="AA284" s="336">
        <f t="shared" si="127"/>
        <v>2.9564209625247369</v>
      </c>
      <c r="AB284" s="337">
        <f t="shared" si="128"/>
        <v>-83.357351743002667</v>
      </c>
      <c r="AD284">
        <f t="shared" si="132"/>
        <v>0</v>
      </c>
      <c r="AE284">
        <f t="shared" si="135"/>
        <v>0</v>
      </c>
    </row>
    <row r="285" spans="1:31" x14ac:dyDescent="0.25">
      <c r="A285" s="338">
        <v>18621</v>
      </c>
      <c r="B285" s="355">
        <f t="shared" si="129"/>
        <v>18.620999999999999</v>
      </c>
      <c r="C285" s="328">
        <f t="shared" si="110"/>
        <v>4.2969735149528736</v>
      </c>
      <c r="D285" s="329">
        <f t="shared" si="111"/>
        <v>1.3359207944964042</v>
      </c>
      <c r="E285" s="329">
        <f t="shared" si="112"/>
        <v>1.0000298137865216</v>
      </c>
      <c r="F285" s="330">
        <f t="shared" si="113"/>
        <v>7.7217932919938078E-3</v>
      </c>
      <c r="G285" s="329">
        <f t="shared" si="114"/>
        <v>1</v>
      </c>
      <c r="H285" s="330">
        <f t="shared" si="115"/>
        <v>0</v>
      </c>
      <c r="I285" s="328">
        <f t="shared" si="116"/>
        <v>40697.560012478665</v>
      </c>
      <c r="J285" s="331">
        <f t="shared" si="117"/>
        <v>1.5707717552972493</v>
      </c>
      <c r="K285" s="339">
        <f t="shared" si="133"/>
        <v>5.3350683433873707</v>
      </c>
      <c r="L285" s="340">
        <f t="shared" si="134"/>
        <v>1.3822420178329369</v>
      </c>
      <c r="M285" s="328">
        <f t="shared" si="118"/>
        <v>1.0035226801534403</v>
      </c>
      <c r="N285" s="331">
        <f t="shared" si="119"/>
        <v>8.3813722992945497E-2</v>
      </c>
      <c r="O285" s="332">
        <f t="shared" si="120"/>
        <v>1.0011087437681996</v>
      </c>
      <c r="P285" s="333">
        <f t="shared" si="121"/>
        <v>0.12864735893107979</v>
      </c>
      <c r="Q285" s="334">
        <f t="shared" si="122"/>
        <v>5.8694954660611041</v>
      </c>
      <c r="R285" s="335">
        <f t="shared" si="123"/>
        <v>-99.075278810158508</v>
      </c>
      <c r="S285" s="337">
        <f t="shared" si="124"/>
        <v>80.924721189841492</v>
      </c>
      <c r="U285" s="310">
        <f t="shared" si="130"/>
        <v>1000000000</v>
      </c>
      <c r="V285" s="310">
        <f t="shared" si="131"/>
        <v>346741641</v>
      </c>
      <c r="X285" s="336">
        <f t="shared" si="125"/>
        <v>2.9600687991534125</v>
      </c>
      <c r="Y285" s="337">
        <f t="shared" si="126"/>
        <v>-15.60413088001922</v>
      </c>
      <c r="AA285" s="336">
        <f t="shared" si="127"/>
        <v>2.9094266669076925</v>
      </c>
      <c r="AB285" s="337">
        <f t="shared" si="128"/>
        <v>-83.471147930139253</v>
      </c>
      <c r="AD285">
        <f t="shared" si="132"/>
        <v>0</v>
      </c>
      <c r="AE285">
        <f t="shared" si="135"/>
        <v>0</v>
      </c>
    </row>
    <row r="286" spans="1:31" x14ac:dyDescent="0.25">
      <c r="A286" s="338">
        <v>18729.5</v>
      </c>
      <c r="B286" s="355">
        <f t="shared" si="129"/>
        <v>18.729500000000002</v>
      </c>
      <c r="C286" s="328">
        <f t="shared" si="110"/>
        <v>4.3206586282319837</v>
      </c>
      <c r="D286" s="329">
        <f t="shared" si="111"/>
        <v>1.3372323475450012</v>
      </c>
      <c r="E286" s="329">
        <f t="shared" si="112"/>
        <v>1.0000301622287207</v>
      </c>
      <c r="F286" s="330">
        <f t="shared" si="113"/>
        <v>7.7667844835094405E-3</v>
      </c>
      <c r="G286" s="329">
        <f t="shared" si="114"/>
        <v>1</v>
      </c>
      <c r="H286" s="330">
        <f t="shared" si="115"/>
        <v>0</v>
      </c>
      <c r="I286" s="328">
        <f t="shared" si="116"/>
        <v>40934.694713015466</v>
      </c>
      <c r="J286" s="331">
        <f t="shared" si="117"/>
        <v>1.5707718976399436</v>
      </c>
      <c r="K286" s="339">
        <f t="shared" si="133"/>
        <v>5.3650653698467883</v>
      </c>
      <c r="L286" s="340">
        <f t="shared" si="134"/>
        <v>1.3833088238139017</v>
      </c>
      <c r="M286" s="328">
        <f t="shared" si="118"/>
        <v>1.0035637782352966</v>
      </c>
      <c r="N286" s="331">
        <f t="shared" si="119"/>
        <v>8.4299781247414191E-2</v>
      </c>
      <c r="O286" s="332">
        <f t="shared" si="120"/>
        <v>1.0011219979971444</v>
      </c>
      <c r="P286" s="333">
        <f t="shared" si="121"/>
        <v>0.12939943241713744</v>
      </c>
      <c r="Q286" s="334">
        <f t="shared" si="122"/>
        <v>5.8195191751790567</v>
      </c>
      <c r="R286" s="335">
        <f t="shared" si="123"/>
        <v>-99.157671857736005</v>
      </c>
      <c r="S286" s="337">
        <f t="shared" si="124"/>
        <v>80.842328142263995</v>
      </c>
      <c r="U286" s="310">
        <f t="shared" si="130"/>
        <v>1000000000</v>
      </c>
      <c r="V286" s="310">
        <f t="shared" si="131"/>
        <v>350794170.25</v>
      </c>
      <c r="X286" s="336">
        <f t="shared" si="125"/>
        <v>2.9579500294608274</v>
      </c>
      <c r="Y286" s="337">
        <f t="shared" si="126"/>
        <v>-15.570864641926793</v>
      </c>
      <c r="AA286" s="336">
        <f t="shared" si="127"/>
        <v>2.8615691457182306</v>
      </c>
      <c r="AB286" s="337">
        <f t="shared" si="128"/>
        <v>-83.58680721580923</v>
      </c>
      <c r="AD286">
        <f t="shared" si="132"/>
        <v>0</v>
      </c>
      <c r="AE286">
        <f t="shared" si="135"/>
        <v>0</v>
      </c>
    </row>
    <row r="287" spans="1:31" x14ac:dyDescent="0.25">
      <c r="A287" s="338">
        <v>18838</v>
      </c>
      <c r="B287" s="355">
        <f t="shared" si="129"/>
        <v>18.838000000000001</v>
      </c>
      <c r="C287" s="328">
        <f t="shared" si="110"/>
        <v>4.3443510927365594</v>
      </c>
      <c r="D287" s="329">
        <f t="shared" si="111"/>
        <v>1.3385295973661888</v>
      </c>
      <c r="E287" s="329">
        <f t="shared" si="112"/>
        <v>1.0000305126951865</v>
      </c>
      <c r="F287" s="330">
        <f t="shared" si="113"/>
        <v>7.8117756435813002E-3</v>
      </c>
      <c r="G287" s="329">
        <f t="shared" si="114"/>
        <v>1</v>
      </c>
      <c r="H287" s="330">
        <f t="shared" si="115"/>
        <v>0</v>
      </c>
      <c r="I287" s="328">
        <f t="shared" si="116"/>
        <v>41171.829413553081</v>
      </c>
      <c r="J287" s="331">
        <f t="shared" si="117"/>
        <v>1.570772038342954</v>
      </c>
      <c r="K287" s="339">
        <f t="shared" si="133"/>
        <v>5.3950684342509287</v>
      </c>
      <c r="L287" s="340">
        <f t="shared" si="134"/>
        <v>1.3843637655376377</v>
      </c>
      <c r="M287" s="328">
        <f t="shared" si="118"/>
        <v>1.003605113392281</v>
      </c>
      <c r="N287" s="331">
        <f t="shared" si="119"/>
        <v>8.4785799578452031E-2</v>
      </c>
      <c r="O287" s="332">
        <f t="shared" si="120"/>
        <v>1.0011353361177773</v>
      </c>
      <c r="P287" s="333">
        <f t="shared" si="121"/>
        <v>0.13015154862699163</v>
      </c>
      <c r="Q287" s="334">
        <f t="shared" si="122"/>
        <v>5.7698161376994141</v>
      </c>
      <c r="R287" s="335">
        <f t="shared" si="123"/>
        <v>-99.23992523091944</v>
      </c>
      <c r="S287" s="337">
        <f t="shared" si="124"/>
        <v>80.76007476908056</v>
      </c>
      <c r="U287" s="310">
        <f t="shared" si="130"/>
        <v>1000000000</v>
      </c>
      <c r="V287" s="310">
        <f t="shared" si="131"/>
        <v>354870244</v>
      </c>
      <c r="X287" s="336">
        <f t="shared" si="125"/>
        <v>2.9558589007785812</v>
      </c>
      <c r="Y287" s="337">
        <f t="shared" si="126"/>
        <v>-15.538275794310341</v>
      </c>
      <c r="AA287" s="336">
        <f t="shared" si="127"/>
        <v>2.8139572369208303</v>
      </c>
      <c r="AB287" s="337">
        <f t="shared" si="128"/>
        <v>-83.701649436609102</v>
      </c>
      <c r="AD287">
        <f t="shared" si="132"/>
        <v>0</v>
      </c>
      <c r="AE287">
        <f t="shared" si="135"/>
        <v>0</v>
      </c>
    </row>
    <row r="288" spans="1:31" x14ac:dyDescent="0.25">
      <c r="A288" s="338">
        <v>18946.5</v>
      </c>
      <c r="B288" s="355">
        <f t="shared" si="129"/>
        <v>18.9465</v>
      </c>
      <c r="C288" s="328">
        <f t="shared" si="110"/>
        <v>4.3680507888466709</v>
      </c>
      <c r="D288" s="329">
        <f t="shared" si="111"/>
        <v>1.3398127723725943</v>
      </c>
      <c r="E288" s="329">
        <f t="shared" si="112"/>
        <v>1.0000308651859173</v>
      </c>
      <c r="F288" s="330">
        <f t="shared" si="113"/>
        <v>7.8567667720272748E-3</v>
      </c>
      <c r="G288" s="329">
        <f t="shared" si="114"/>
        <v>1</v>
      </c>
      <c r="H288" s="330">
        <f t="shared" si="115"/>
        <v>0</v>
      </c>
      <c r="I288" s="328">
        <f t="shared" si="116"/>
        <v>41408.964114091497</v>
      </c>
      <c r="J288" s="331">
        <f t="shared" si="117"/>
        <v>1.5707721774344503</v>
      </c>
      <c r="K288" s="339">
        <f t="shared" si="133"/>
        <v>5.4250774364223231</v>
      </c>
      <c r="L288" s="340">
        <f t="shared" si="134"/>
        <v>1.3854070375189971</v>
      </c>
      <c r="M288" s="328">
        <f t="shared" si="118"/>
        <v>1.0036466855951014</v>
      </c>
      <c r="N288" s="331">
        <f t="shared" si="119"/>
        <v>8.5271777761397549E-2</v>
      </c>
      <c r="O288" s="332">
        <f t="shared" si="120"/>
        <v>1.0011487582495069</v>
      </c>
      <c r="P288" s="333">
        <f t="shared" si="121"/>
        <v>0.13090370779517643</v>
      </c>
      <c r="Q288" s="334">
        <f t="shared" si="122"/>
        <v>5.7203833330769545</v>
      </c>
      <c r="R288" s="335">
        <f t="shared" si="123"/>
        <v>-99.322040874098334</v>
      </c>
      <c r="S288" s="337">
        <f t="shared" si="124"/>
        <v>80.677959125901666</v>
      </c>
      <c r="U288" s="310">
        <f t="shared" si="130"/>
        <v>1000000000</v>
      </c>
      <c r="V288" s="310">
        <f t="shared" si="131"/>
        <v>358969862.25</v>
      </c>
      <c r="X288" s="336">
        <f t="shared" si="125"/>
        <v>2.9537947549436923</v>
      </c>
      <c r="Y288" s="337">
        <f t="shared" si="126"/>
        <v>-15.506353181031647</v>
      </c>
      <c r="AA288" s="336">
        <f t="shared" si="127"/>
        <v>2.7665885781332618</v>
      </c>
      <c r="AB288" s="337">
        <f t="shared" si="128"/>
        <v>-83.815687693066693</v>
      </c>
      <c r="AD288">
        <f t="shared" si="132"/>
        <v>0</v>
      </c>
      <c r="AE288">
        <f t="shared" si="135"/>
        <v>0</v>
      </c>
    </row>
    <row r="289" spans="1:31" x14ac:dyDescent="0.25">
      <c r="A289" s="338">
        <v>19055</v>
      </c>
      <c r="B289" s="355">
        <f t="shared" si="129"/>
        <v>19.055</v>
      </c>
      <c r="C289" s="328">
        <f t="shared" si="110"/>
        <v>4.3917575994883347</v>
      </c>
      <c r="D289" s="329">
        <f t="shared" si="111"/>
        <v>1.3410820962326024</v>
      </c>
      <c r="E289" s="329">
        <f t="shared" si="112"/>
        <v>1.0000312197009107</v>
      </c>
      <c r="F289" s="330">
        <f t="shared" si="113"/>
        <v>7.9017578686652566E-3</v>
      </c>
      <c r="G289" s="329">
        <f t="shared" si="114"/>
        <v>1</v>
      </c>
      <c r="H289" s="330">
        <f t="shared" si="115"/>
        <v>0</v>
      </c>
      <c r="I289" s="328">
        <f t="shared" si="116"/>
        <v>41646.098814630706</v>
      </c>
      <c r="J289" s="331">
        <f t="shared" si="117"/>
        <v>1.5707723149419606</v>
      </c>
      <c r="K289" s="339">
        <f t="shared" si="133"/>
        <v>5.4550922783682374</v>
      </c>
      <c r="L289" s="340">
        <f t="shared" si="134"/>
        <v>1.3864388300947057</v>
      </c>
      <c r="M289" s="328">
        <f t="shared" si="118"/>
        <v>1.0036884948143028</v>
      </c>
      <c r="N289" s="331">
        <f t="shared" si="119"/>
        <v>8.575771557170217E-2</v>
      </c>
      <c r="O289" s="332">
        <f t="shared" si="120"/>
        <v>1.0011622645124238</v>
      </c>
      <c r="P289" s="333">
        <f t="shared" si="121"/>
        <v>0.1316559101560002</v>
      </c>
      <c r="Q289" s="334">
        <f t="shared" si="122"/>
        <v>5.6712177896231122</v>
      </c>
      <c r="R289" s="335">
        <f t="shared" si="123"/>
        <v>-99.404020699182908</v>
      </c>
      <c r="S289" s="337">
        <f t="shared" si="124"/>
        <v>80.595979300817092</v>
      </c>
      <c r="U289" s="310">
        <f t="shared" si="130"/>
        <v>1000000000</v>
      </c>
      <c r="V289" s="310">
        <f t="shared" si="131"/>
        <v>363093025</v>
      </c>
      <c r="X289" s="336">
        <f t="shared" si="125"/>
        <v>2.9517569518664528</v>
      </c>
      <c r="Y289" s="337">
        <f t="shared" si="126"/>
        <v>-15.475085885311154</v>
      </c>
      <c r="AA289" s="336">
        <f t="shared" si="127"/>
        <v>2.7194608377566611</v>
      </c>
      <c r="AB289" s="337">
        <f t="shared" si="128"/>
        <v>-83.928934813871777</v>
      </c>
      <c r="AD289">
        <f t="shared" si="132"/>
        <v>0</v>
      </c>
      <c r="AE289">
        <f t="shared" si="135"/>
        <v>0</v>
      </c>
    </row>
    <row r="290" spans="1:31" x14ac:dyDescent="0.25">
      <c r="A290" s="338">
        <v>19165.75</v>
      </c>
      <c r="B290" s="355">
        <f t="shared" si="129"/>
        <v>19.165749999999999</v>
      </c>
      <c r="C290" s="328">
        <f t="shared" si="110"/>
        <v>4.4159632443971999</v>
      </c>
      <c r="D290" s="329">
        <f t="shared" si="111"/>
        <v>1.3423636849405118</v>
      </c>
      <c r="E290" s="329">
        <f t="shared" si="112"/>
        <v>1.0000315836552598</v>
      </c>
      <c r="F290" s="330">
        <f t="shared" si="113"/>
        <v>7.9476819274014524E-3</v>
      </c>
      <c r="G290" s="329">
        <f t="shared" si="114"/>
        <v>1</v>
      </c>
      <c r="H290" s="330">
        <f t="shared" si="115"/>
        <v>0</v>
      </c>
      <c r="I290" s="328">
        <f t="shared" si="116"/>
        <v>41888.151055043658</v>
      </c>
      <c r="J290" s="331">
        <f t="shared" si="117"/>
        <v>1.5707724536953469</v>
      </c>
      <c r="K290" s="339">
        <f t="shared" si="133"/>
        <v>5.4857354710526778</v>
      </c>
      <c r="L290" s="340">
        <f t="shared" si="134"/>
        <v>1.3874803737478023</v>
      </c>
      <c r="M290" s="328">
        <f t="shared" si="118"/>
        <v>1.0037314154541779</v>
      </c>
      <c r="N290" s="331">
        <f t="shared" si="119"/>
        <v>8.6253688563155975E-2</v>
      </c>
      <c r="O290" s="332">
        <f t="shared" si="120"/>
        <v>1.0011761377508142</v>
      </c>
      <c r="P290" s="333">
        <f t="shared" si="121"/>
        <v>0.13242375597184963</v>
      </c>
      <c r="Q290" s="334">
        <f t="shared" si="122"/>
        <v>5.6213052802199295</v>
      </c>
      <c r="R290" s="335">
        <f t="shared" si="123"/>
        <v>-99.487562446779648</v>
      </c>
      <c r="S290" s="337">
        <f t="shared" si="124"/>
        <v>80.512437553220352</v>
      </c>
      <c r="U290" s="310">
        <f t="shared" si="130"/>
        <v>1000000000</v>
      </c>
      <c r="V290" s="310">
        <f t="shared" si="131"/>
        <v>367325973.0625</v>
      </c>
      <c r="X290" s="336">
        <f t="shared" si="125"/>
        <v>2.9497034115872185</v>
      </c>
      <c r="Y290" s="337">
        <f t="shared" si="126"/>
        <v>-15.443834938920581</v>
      </c>
      <c r="AA290" s="336">
        <f t="shared" si="127"/>
        <v>2.6716018686327136</v>
      </c>
      <c r="AB290" s="337">
        <f t="shared" si="128"/>
        <v>-84.043727507859032</v>
      </c>
      <c r="AD290">
        <f t="shared" si="132"/>
        <v>0</v>
      </c>
      <c r="AE290">
        <f t="shared" si="135"/>
        <v>0</v>
      </c>
    </row>
    <row r="291" spans="1:31" x14ac:dyDescent="0.25">
      <c r="A291" s="338">
        <v>19276.5</v>
      </c>
      <c r="B291" s="355">
        <f t="shared" si="129"/>
        <v>19.276499999999999</v>
      </c>
      <c r="C291" s="328">
        <f t="shared" si="110"/>
        <v>4.4401760633041434</v>
      </c>
      <c r="D291" s="329">
        <f t="shared" si="111"/>
        <v>1.3436312983940586</v>
      </c>
      <c r="E291" s="329">
        <f t="shared" si="112"/>
        <v>1.0000319497186934</v>
      </c>
      <c r="F291" s="330">
        <f t="shared" si="113"/>
        <v>7.9936059526133363E-3</v>
      </c>
      <c r="G291" s="329">
        <f t="shared" si="114"/>
        <v>1</v>
      </c>
      <c r="H291" s="330">
        <f t="shared" si="115"/>
        <v>0</v>
      </c>
      <c r="I291" s="328">
        <f t="shared" si="116"/>
        <v>42130.20329545741</v>
      </c>
      <c r="J291" s="331">
        <f t="shared" si="117"/>
        <v>1.5707725908543628</v>
      </c>
      <c r="K291" s="339">
        <f t="shared" si="133"/>
        <v>5.5163845486166334</v>
      </c>
      <c r="L291" s="340">
        <f t="shared" si="134"/>
        <v>1.388510344857832</v>
      </c>
      <c r="M291" s="328">
        <f t="shared" si="118"/>
        <v>1.0037745829799984</v>
      </c>
      <c r="N291" s="331">
        <f t="shared" si="119"/>
        <v>8.6749619017760057E-2</v>
      </c>
      <c r="O291" s="332">
        <f t="shared" si="120"/>
        <v>1.0011900989008924</v>
      </c>
      <c r="P291" s="333">
        <f t="shared" si="121"/>
        <v>0.13319164728290564</v>
      </c>
      <c r="Q291" s="334">
        <f t="shared" si="122"/>
        <v>5.5716651259490968</v>
      </c>
      <c r="R291" s="335">
        <f t="shared" si="123"/>
        <v>-99.570966609230979</v>
      </c>
      <c r="S291" s="337">
        <f t="shared" si="124"/>
        <v>80.429033390769021</v>
      </c>
      <c r="U291" s="310">
        <f t="shared" si="130"/>
        <v>1000000000</v>
      </c>
      <c r="V291" s="310">
        <f t="shared" si="131"/>
        <v>371583452.25</v>
      </c>
      <c r="X291" s="336">
        <f t="shared" si="125"/>
        <v>2.9476760253440295</v>
      </c>
      <c r="Y291" s="337">
        <f t="shared" si="126"/>
        <v>-15.413244521874079</v>
      </c>
      <c r="AA291" s="336">
        <f t="shared" si="127"/>
        <v>2.6239891006050673</v>
      </c>
      <c r="AB291" s="337">
        <f t="shared" si="128"/>
        <v>-84.157722087356902</v>
      </c>
      <c r="AD291">
        <f t="shared" si="132"/>
        <v>0</v>
      </c>
      <c r="AE291">
        <f t="shared" si="135"/>
        <v>0</v>
      </c>
    </row>
    <row r="292" spans="1:31" x14ac:dyDescent="0.25">
      <c r="A292" s="338">
        <v>19387.25</v>
      </c>
      <c r="B292" s="355">
        <f t="shared" si="129"/>
        <v>19.387250000000002</v>
      </c>
      <c r="C292" s="328">
        <f t="shared" si="110"/>
        <v>4.4643959394838211</v>
      </c>
      <c r="D292" s="329">
        <f t="shared" si="111"/>
        <v>1.3448851599382616</v>
      </c>
      <c r="E292" s="329">
        <f t="shared" si="112"/>
        <v>1.0000323178912087</v>
      </c>
      <c r="F292" s="330">
        <f t="shared" si="113"/>
        <v>8.0395299441072404E-3</v>
      </c>
      <c r="G292" s="329">
        <f t="shared" si="114"/>
        <v>1</v>
      </c>
      <c r="H292" s="330">
        <f t="shared" si="115"/>
        <v>0</v>
      </c>
      <c r="I292" s="328">
        <f t="shared" si="116"/>
        <v>42372.255535871933</v>
      </c>
      <c r="J292" s="331">
        <f t="shared" si="117"/>
        <v>1.5707727264463325</v>
      </c>
      <c r="K292" s="339">
        <f t="shared" si="133"/>
        <v>5.5470394135128647</v>
      </c>
      <c r="L292" s="340">
        <f t="shared" si="134"/>
        <v>1.3895289330828817</v>
      </c>
      <c r="M292" s="328">
        <f t="shared" si="118"/>
        <v>1.0038179973599142</v>
      </c>
      <c r="N292" s="331">
        <f t="shared" si="119"/>
        <v>8.7245506697072706E-2</v>
      </c>
      <c r="O292" s="332">
        <f t="shared" si="120"/>
        <v>1.0012041480925724</v>
      </c>
      <c r="P292" s="333">
        <f t="shared" si="121"/>
        <v>0.13395958433762239</v>
      </c>
      <c r="Q292" s="334">
        <f t="shared" si="122"/>
        <v>5.5222943172110996</v>
      </c>
      <c r="R292" s="335">
        <f t="shared" si="123"/>
        <v>-99.654235118806369</v>
      </c>
      <c r="S292" s="337">
        <f t="shared" si="124"/>
        <v>80.345764881193631</v>
      </c>
      <c r="U292" s="310">
        <f t="shared" si="130"/>
        <v>1000000000</v>
      </c>
      <c r="V292" s="310">
        <f t="shared" si="131"/>
        <v>375865462.5625</v>
      </c>
      <c r="X292" s="336">
        <f t="shared" si="125"/>
        <v>2.9456741669261044</v>
      </c>
      <c r="Y292" s="337">
        <f t="shared" si="126"/>
        <v>-15.383303755467542</v>
      </c>
      <c r="AA292" s="336">
        <f t="shared" si="127"/>
        <v>2.5766201502849935</v>
      </c>
      <c r="AB292" s="337">
        <f t="shared" si="128"/>
        <v>-84.270931363338846</v>
      </c>
      <c r="AD292">
        <f t="shared" si="132"/>
        <v>0</v>
      </c>
      <c r="AE292">
        <f t="shared" si="135"/>
        <v>0</v>
      </c>
    </row>
    <row r="293" spans="1:31" x14ac:dyDescent="0.25">
      <c r="A293" s="338">
        <v>19498</v>
      </c>
      <c r="B293" s="355">
        <f t="shared" si="129"/>
        <v>19.498000000000001</v>
      </c>
      <c r="C293" s="328">
        <f t="shared" si="110"/>
        <v>4.4886227586965601</v>
      </c>
      <c r="D293" s="329">
        <f t="shared" si="111"/>
        <v>1.3461254882713036</v>
      </c>
      <c r="E293" s="329">
        <f t="shared" si="112"/>
        <v>1.0000326881728039</v>
      </c>
      <c r="F293" s="330">
        <f t="shared" si="113"/>
        <v>8.0854539016894933E-3</v>
      </c>
      <c r="G293" s="329">
        <f t="shared" si="114"/>
        <v>1</v>
      </c>
      <c r="H293" s="330">
        <f t="shared" si="115"/>
        <v>0</v>
      </c>
      <c r="I293" s="328">
        <f t="shared" si="116"/>
        <v>42614.307776287227</v>
      </c>
      <c r="J293" s="331">
        <f t="shared" si="117"/>
        <v>1.5707728604979585</v>
      </c>
      <c r="K293" s="339">
        <f t="shared" si="133"/>
        <v>5.5776999703203805</v>
      </c>
      <c r="L293" s="340">
        <f t="shared" si="134"/>
        <v>1.3905363240065101</v>
      </c>
      <c r="M293" s="328">
        <f t="shared" si="118"/>
        <v>1.0038616585618974</v>
      </c>
      <c r="N293" s="331">
        <f t="shared" si="119"/>
        <v>8.774135136277747E-2</v>
      </c>
      <c r="O293" s="332">
        <f t="shared" si="120"/>
        <v>1.001218285456507</v>
      </c>
      <c r="P293" s="333">
        <f t="shared" si="121"/>
        <v>0.13472756738420363</v>
      </c>
      <c r="Q293" s="334">
        <f t="shared" si="122"/>
        <v>5.4731898930425418</v>
      </c>
      <c r="R293" s="335">
        <f t="shared" si="123"/>
        <v>-99.73736987494155</v>
      </c>
      <c r="S293" s="337">
        <f t="shared" si="124"/>
        <v>80.26263012505845</v>
      </c>
      <c r="U293" s="310">
        <f t="shared" si="130"/>
        <v>1000000000</v>
      </c>
      <c r="V293" s="310">
        <f t="shared" si="131"/>
        <v>380172004</v>
      </c>
      <c r="X293" s="336">
        <f t="shared" si="125"/>
        <v>2.9436972273044426</v>
      </c>
      <c r="Y293" s="337">
        <f t="shared" si="126"/>
        <v>-15.354001994421729</v>
      </c>
      <c r="AA293" s="336">
        <f t="shared" si="127"/>
        <v>2.5294926657381005</v>
      </c>
      <c r="AB293" s="337">
        <f t="shared" si="128"/>
        <v>-84.383367880519828</v>
      </c>
      <c r="AD293">
        <f t="shared" si="132"/>
        <v>0</v>
      </c>
      <c r="AE293">
        <f t="shared" si="135"/>
        <v>0</v>
      </c>
    </row>
    <row r="294" spans="1:31" x14ac:dyDescent="0.25">
      <c r="A294" s="338">
        <v>19611.75</v>
      </c>
      <c r="B294" s="355">
        <f t="shared" si="129"/>
        <v>19.611750000000001</v>
      </c>
      <c r="C294" s="328">
        <f t="shared" si="110"/>
        <v>4.5135129451155782</v>
      </c>
      <c r="D294" s="329">
        <f t="shared" si="111"/>
        <v>1.3473855515360704</v>
      </c>
      <c r="E294" s="329">
        <f t="shared" si="112"/>
        <v>1.0000330706801472</v>
      </c>
      <c r="F294" s="330">
        <f t="shared" si="113"/>
        <v>8.1326218135879605E-3</v>
      </c>
      <c r="G294" s="329">
        <f t="shared" si="114"/>
        <v>1</v>
      </c>
      <c r="H294" s="330">
        <f t="shared" si="115"/>
        <v>0</v>
      </c>
      <c r="I294" s="328">
        <f t="shared" si="116"/>
        <v>42862.916736533982</v>
      </c>
      <c r="J294" s="331">
        <f t="shared" si="117"/>
        <v>1.5707729966046944</v>
      </c>
      <c r="K294" s="339">
        <f t="shared" si="133"/>
        <v>5.6091968886293921</v>
      </c>
      <c r="L294" s="340">
        <f t="shared" si="134"/>
        <v>1.3915595375351553</v>
      </c>
      <c r="M294" s="328">
        <f t="shared" si="118"/>
        <v>1.003906759367778</v>
      </c>
      <c r="N294" s="331">
        <f t="shared" si="119"/>
        <v>8.825058245938136E-2</v>
      </c>
      <c r="O294" s="332">
        <f t="shared" si="120"/>
        <v>1.0012328976991085</v>
      </c>
      <c r="P294" s="333">
        <f t="shared" si="121"/>
        <v>0.13551640172121637</v>
      </c>
      <c r="Q294" s="334">
        <f t="shared" si="122"/>
        <v>5.4230295726495292</v>
      </c>
      <c r="R294" s="335">
        <f t="shared" si="123"/>
        <v>-99.822619312236881</v>
      </c>
      <c r="S294" s="337">
        <f t="shared" si="124"/>
        <v>80.177380687763119</v>
      </c>
      <c r="U294" s="310">
        <f t="shared" si="130"/>
        <v>1000000000</v>
      </c>
      <c r="V294" s="310">
        <f t="shared" si="131"/>
        <v>384620738.0625</v>
      </c>
      <c r="X294" s="336">
        <f t="shared" si="125"/>
        <v>2.9416920545638527</v>
      </c>
      <c r="Y294" s="337">
        <f t="shared" si="126"/>
        <v>-15.324560768629782</v>
      </c>
      <c r="AA294" s="336">
        <f t="shared" si="127"/>
        <v>2.4813375180856765</v>
      </c>
      <c r="AB294" s="337">
        <f t="shared" si="128"/>
        <v>-84.498058543607101</v>
      </c>
      <c r="AD294">
        <f t="shared" si="132"/>
        <v>0</v>
      </c>
      <c r="AE294">
        <f t="shared" si="135"/>
        <v>0</v>
      </c>
    </row>
    <row r="295" spans="1:31" x14ac:dyDescent="0.25">
      <c r="A295" s="338">
        <v>19725.5</v>
      </c>
      <c r="B295" s="355">
        <f t="shared" si="129"/>
        <v>19.7255</v>
      </c>
      <c r="C295" s="328">
        <f t="shared" si="110"/>
        <v>4.5384102192950921</v>
      </c>
      <c r="D295" s="329">
        <f t="shared" si="111"/>
        <v>1.3486317915940815</v>
      </c>
      <c r="E295" s="329">
        <f t="shared" si="112"/>
        <v>1.0000334554123744</v>
      </c>
      <c r="F295" s="330">
        <f t="shared" si="113"/>
        <v>8.1797896892985538E-3</v>
      </c>
      <c r="G295" s="329">
        <f t="shared" si="114"/>
        <v>1</v>
      </c>
      <c r="H295" s="330">
        <f t="shared" si="115"/>
        <v>0</v>
      </c>
      <c r="I295" s="328">
        <f t="shared" si="116"/>
        <v>43111.525696781515</v>
      </c>
      <c r="J295" s="331">
        <f t="shared" si="117"/>
        <v>1.5707731311416711</v>
      </c>
      <c r="K295" s="339">
        <f t="shared" si="133"/>
        <v>5.6406996139887884</v>
      </c>
      <c r="L295" s="340">
        <f t="shared" si="134"/>
        <v>1.3925713230292955</v>
      </c>
      <c r="M295" s="328">
        <f t="shared" si="118"/>
        <v>1.0039521204796258</v>
      </c>
      <c r="N295" s="331">
        <f t="shared" si="119"/>
        <v>8.8759767671301504E-2</v>
      </c>
      <c r="O295" s="332">
        <f t="shared" si="120"/>
        <v>1.0012476032372712</v>
      </c>
      <c r="P295" s="333">
        <f t="shared" si="121"/>
        <v>0.13630528510543824</v>
      </c>
      <c r="Q295" s="334">
        <f t="shared" si="122"/>
        <v>5.3731440854014352</v>
      </c>
      <c r="R295" s="335">
        <f t="shared" si="123"/>
        <v>-99.907731609603076</v>
      </c>
      <c r="S295" s="337">
        <f t="shared" si="124"/>
        <v>80.092268390396924</v>
      </c>
      <c r="U295" s="310">
        <f t="shared" si="130"/>
        <v>1000000000</v>
      </c>
      <c r="V295" s="310">
        <f t="shared" si="131"/>
        <v>389095350.25</v>
      </c>
      <c r="X295" s="336">
        <f t="shared" si="125"/>
        <v>2.9397119198416228</v>
      </c>
      <c r="Y295" s="337">
        <f t="shared" si="126"/>
        <v>-15.295771602044539</v>
      </c>
      <c r="AA295" s="336">
        <f t="shared" si="127"/>
        <v>2.4334321655598137</v>
      </c>
      <c r="AB295" s="337">
        <f t="shared" si="128"/>
        <v>-84.611960007558523</v>
      </c>
      <c r="AD295">
        <f t="shared" si="132"/>
        <v>0</v>
      </c>
      <c r="AE295">
        <f t="shared" si="135"/>
        <v>0</v>
      </c>
    </row>
    <row r="296" spans="1:31" x14ac:dyDescent="0.25">
      <c r="A296" s="338">
        <v>19839.25</v>
      </c>
      <c r="B296" s="355">
        <f t="shared" si="129"/>
        <v>19.83925</v>
      </c>
      <c r="C296" s="328">
        <f t="shared" si="110"/>
        <v>4.5633144652234323</v>
      </c>
      <c r="D296" s="329">
        <f t="shared" si="111"/>
        <v>1.3498644308622745</v>
      </c>
      <c r="E296" s="329">
        <f t="shared" si="112"/>
        <v>1.0000338423694828</v>
      </c>
      <c r="F296" s="330">
        <f t="shared" si="113"/>
        <v>8.226957528611429E-3</v>
      </c>
      <c r="G296" s="329">
        <f t="shared" si="114"/>
        <v>1</v>
      </c>
      <c r="H296" s="330">
        <f t="shared" si="115"/>
        <v>0</v>
      </c>
      <c r="I296" s="328">
        <f t="shared" si="116"/>
        <v>43360.134657029819</v>
      </c>
      <c r="J296" s="331">
        <f t="shared" si="117"/>
        <v>1.5707732641358898</v>
      </c>
      <c r="K296" s="339">
        <f t="shared" si="133"/>
        <v>5.6722080496437002</v>
      </c>
      <c r="L296" s="340">
        <f t="shared" si="134"/>
        <v>1.3935718688440164</v>
      </c>
      <c r="M296" s="328">
        <f t="shared" si="118"/>
        <v>1.0039977418621584</v>
      </c>
      <c r="N296" s="331">
        <f t="shared" si="119"/>
        <v>8.9268906740742685E-2</v>
      </c>
      <c r="O296" s="332">
        <f t="shared" si="120"/>
        <v>1.0012624022149896</v>
      </c>
      <c r="P296" s="333">
        <f t="shared" si="121"/>
        <v>0.13709421780495915</v>
      </c>
      <c r="Q296" s="334">
        <f t="shared" si="122"/>
        <v>5.3235303765739097</v>
      </c>
      <c r="R296" s="335">
        <f t="shared" si="123"/>
        <v>-99.992708720789381</v>
      </c>
      <c r="S296" s="337">
        <f t="shared" si="124"/>
        <v>80.007291279210619</v>
      </c>
      <c r="U296" s="310">
        <f t="shared" si="130"/>
        <v>1000000000</v>
      </c>
      <c r="V296" s="310">
        <f t="shared" si="131"/>
        <v>393595840.5625</v>
      </c>
      <c r="X296" s="336">
        <f t="shared" si="125"/>
        <v>2.9377562162387401</v>
      </c>
      <c r="Y296" s="337">
        <f t="shared" si="126"/>
        <v>-15.267623689491021</v>
      </c>
      <c r="AA296" s="336">
        <f t="shared" si="127"/>
        <v>2.3857741603351696</v>
      </c>
      <c r="AB296" s="337">
        <f t="shared" si="128"/>
        <v>-84.725085031298377</v>
      </c>
      <c r="AD296">
        <f t="shared" si="132"/>
        <v>0</v>
      </c>
      <c r="AE296">
        <f t="shared" si="135"/>
        <v>0</v>
      </c>
    </row>
    <row r="297" spans="1:31" x14ac:dyDescent="0.25">
      <c r="A297" s="338">
        <v>19953</v>
      </c>
      <c r="B297" s="355">
        <f t="shared" si="129"/>
        <v>19.952999999999999</v>
      </c>
      <c r="C297" s="328">
        <f t="shared" si="110"/>
        <v>4.5882255693755667</v>
      </c>
      <c r="D297" s="329">
        <f t="shared" si="111"/>
        <v>1.3510836870946217</v>
      </c>
      <c r="E297" s="329">
        <f t="shared" si="112"/>
        <v>1.0000342315514699</v>
      </c>
      <c r="F297" s="330">
        <f t="shared" si="113"/>
        <v>8.2741253313167538E-3</v>
      </c>
      <c r="G297" s="329">
        <f t="shared" si="114"/>
        <v>1</v>
      </c>
      <c r="H297" s="330">
        <f t="shared" si="115"/>
        <v>0</v>
      </c>
      <c r="I297" s="328">
        <f t="shared" si="116"/>
        <v>43608.743617278888</v>
      </c>
      <c r="J297" s="331">
        <f t="shared" si="117"/>
        <v>1.5707733956137357</v>
      </c>
      <c r="K297" s="339">
        <f t="shared" si="133"/>
        <v>5.7037221009598857</v>
      </c>
      <c r="L297" s="340">
        <f t="shared" si="134"/>
        <v>1.3945613592627781</v>
      </c>
      <c r="M297" s="328">
        <f t="shared" si="118"/>
        <v>1.0040436234798975</v>
      </c>
      <c r="N297" s="331">
        <f t="shared" si="119"/>
        <v>8.9777999410052087E-2</v>
      </c>
      <c r="O297" s="332">
        <f t="shared" si="120"/>
        <v>1.0012772947770803</v>
      </c>
      <c r="P297" s="333">
        <f t="shared" si="121"/>
        <v>0.1378832000875834</v>
      </c>
      <c r="Q297" s="334">
        <f t="shared" si="122"/>
        <v>5.2741854410679583</v>
      </c>
      <c r="R297" s="335">
        <f t="shared" si="123"/>
        <v>-100.07755256562039</v>
      </c>
      <c r="S297" s="337">
        <f t="shared" si="124"/>
        <v>79.922447434379606</v>
      </c>
      <c r="U297" s="310">
        <f t="shared" si="130"/>
        <v>1000000000</v>
      </c>
      <c r="V297" s="310">
        <f t="shared" si="131"/>
        <v>398122209</v>
      </c>
      <c r="X297" s="336">
        <f t="shared" si="125"/>
        <v>2.9358243535955291</v>
      </c>
      <c r="Y297" s="337">
        <f t="shared" si="126"/>
        <v>-15.240106459054051</v>
      </c>
      <c r="AA297" s="336">
        <f t="shared" si="127"/>
        <v>2.338361087472427</v>
      </c>
      <c r="AB297" s="337">
        <f t="shared" si="128"/>
        <v>-84.837446106566318</v>
      </c>
      <c r="AD297">
        <f t="shared" si="132"/>
        <v>0</v>
      </c>
      <c r="AE297">
        <f t="shared" si="135"/>
        <v>0</v>
      </c>
    </row>
    <row r="298" spans="1:31" x14ac:dyDescent="0.25">
      <c r="A298" s="338">
        <v>20069</v>
      </c>
      <c r="B298" s="355">
        <f t="shared" si="129"/>
        <v>20.068999999999999</v>
      </c>
      <c r="C298" s="328">
        <f t="shared" si="110"/>
        <v>4.6136363685297148</v>
      </c>
      <c r="D298" s="329">
        <f t="shared" si="111"/>
        <v>1.3523134987531611</v>
      </c>
      <c r="E298" s="329">
        <f t="shared" si="112"/>
        <v>1.0000346307228862</v>
      </c>
      <c r="F298" s="330">
        <f t="shared" si="113"/>
        <v>8.3222260856077434E-3</v>
      </c>
      <c r="G298" s="329">
        <f t="shared" si="114"/>
        <v>1</v>
      </c>
      <c r="H298" s="330">
        <f t="shared" si="115"/>
        <v>0</v>
      </c>
      <c r="I298" s="328">
        <f t="shared" si="116"/>
        <v>43862.270117401771</v>
      </c>
      <c r="J298" s="331">
        <f t="shared" si="117"/>
        <v>1.570773528157311</v>
      </c>
      <c r="K298" s="339">
        <f t="shared" si="133"/>
        <v>5.7358651945617476</v>
      </c>
      <c r="L298" s="340">
        <f t="shared" si="134"/>
        <v>1.3955592233535414</v>
      </c>
      <c r="M298" s="328">
        <f t="shared" si="118"/>
        <v>1.0040906806165171</v>
      </c>
      <c r="N298" s="331">
        <f t="shared" si="119"/>
        <v>9.0297113991384514E-2</v>
      </c>
      <c r="O298" s="332">
        <f t="shared" si="120"/>
        <v>1.0012925784476627</v>
      </c>
      <c r="P298" s="333">
        <f t="shared" si="121"/>
        <v>0.13868783995443285</v>
      </c>
      <c r="Q298" s="334">
        <f t="shared" si="122"/>
        <v>5.2241381877176476</v>
      </c>
      <c r="R298" s="335">
        <f t="shared" si="123"/>
        <v>-100.16393934938864</v>
      </c>
      <c r="S298" s="337">
        <f t="shared" si="124"/>
        <v>79.836060650611358</v>
      </c>
      <c r="U298" s="310">
        <f t="shared" si="130"/>
        <v>1000000000</v>
      </c>
      <c r="V298" s="310">
        <f t="shared" si="131"/>
        <v>402764761</v>
      </c>
      <c r="X298" s="336">
        <f t="shared" si="125"/>
        <v>2.9338782363509566</v>
      </c>
      <c r="Y298" s="337">
        <f t="shared" si="126"/>
        <v>-15.21268372687584</v>
      </c>
      <c r="AA298" s="336">
        <f t="shared" si="127"/>
        <v>2.2902599513666906</v>
      </c>
      <c r="AB298" s="337">
        <f t="shared" si="128"/>
        <v>-84.951255622512832</v>
      </c>
      <c r="AD298">
        <f t="shared" si="132"/>
        <v>0</v>
      </c>
      <c r="AE298">
        <f t="shared" si="135"/>
        <v>0</v>
      </c>
    </row>
    <row r="299" spans="1:31" x14ac:dyDescent="0.25">
      <c r="A299" s="338">
        <v>20185</v>
      </c>
      <c r="B299" s="355">
        <f t="shared" si="129"/>
        <v>20.184999999999999</v>
      </c>
      <c r="C299" s="328">
        <f t="shared" si="110"/>
        <v>4.6390540690674769</v>
      </c>
      <c r="D299" s="329">
        <f t="shared" si="111"/>
        <v>1.3535298357870089</v>
      </c>
      <c r="E299" s="329">
        <f t="shared" si="112"/>
        <v>1.0000350322080636</v>
      </c>
      <c r="F299" s="330">
        <f t="shared" si="113"/>
        <v>8.3703268013878961E-3</v>
      </c>
      <c r="G299" s="329">
        <f t="shared" si="114"/>
        <v>1</v>
      </c>
      <c r="H299" s="330">
        <f t="shared" si="115"/>
        <v>0</v>
      </c>
      <c r="I299" s="328">
        <f t="shared" si="116"/>
        <v>44115.796617525426</v>
      </c>
      <c r="J299" s="331">
        <f t="shared" si="117"/>
        <v>1.5707736591774726</v>
      </c>
      <c r="K299" s="339">
        <f t="shared" si="133"/>
        <v>5.768013935894019</v>
      </c>
      <c r="L299" s="340">
        <f t="shared" si="134"/>
        <v>1.3965459649790917</v>
      </c>
      <c r="M299" s="328">
        <f t="shared" si="118"/>
        <v>1.0041380083100382</v>
      </c>
      <c r="N299" s="331">
        <f t="shared" si="119"/>
        <v>9.0816179778083567E-2</v>
      </c>
      <c r="O299" s="332">
        <f t="shared" si="120"/>
        <v>1.0013079597482641</v>
      </c>
      <c r="P299" s="333">
        <f t="shared" si="121"/>
        <v>0.13949253194691758</v>
      </c>
      <c r="Q299" s="334">
        <f t="shared" si="122"/>
        <v>5.1743642865607011</v>
      </c>
      <c r="R299" s="335">
        <f t="shared" si="123"/>
        <v>-100.25019147011965</v>
      </c>
      <c r="S299" s="337">
        <f t="shared" si="124"/>
        <v>79.749808529880355</v>
      </c>
      <c r="U299" s="310">
        <f t="shared" si="130"/>
        <v>1000000000</v>
      </c>
      <c r="V299" s="310">
        <f t="shared" si="131"/>
        <v>407434225</v>
      </c>
      <c r="X299" s="336">
        <f t="shared" si="125"/>
        <v>2.9319557237748928</v>
      </c>
      <c r="Y299" s="337">
        <f t="shared" si="126"/>
        <v>-15.1858953820011</v>
      </c>
      <c r="AA299" s="336">
        <f t="shared" si="127"/>
        <v>2.2424085627858075</v>
      </c>
      <c r="AB299" s="337">
        <f t="shared" si="128"/>
        <v>-85.064296088118525</v>
      </c>
      <c r="AD299">
        <f t="shared" si="132"/>
        <v>0</v>
      </c>
      <c r="AE299">
        <f t="shared" si="135"/>
        <v>0</v>
      </c>
    </row>
    <row r="300" spans="1:31" x14ac:dyDescent="0.25">
      <c r="A300" s="338">
        <v>20301</v>
      </c>
      <c r="B300" s="355">
        <f t="shared" si="129"/>
        <v>20.300999999999998</v>
      </c>
      <c r="C300" s="328">
        <f t="shared" si="110"/>
        <v>4.6644785581676871</v>
      </c>
      <c r="D300" s="329">
        <f t="shared" si="111"/>
        <v>1.354732914904164</v>
      </c>
      <c r="E300" s="329">
        <f t="shared" si="112"/>
        <v>1.0000354360069987</v>
      </c>
      <c r="F300" s="330">
        <f t="shared" si="113"/>
        <v>8.4184274784346782E-3</v>
      </c>
      <c r="G300" s="329">
        <f t="shared" si="114"/>
        <v>1</v>
      </c>
      <c r="H300" s="330">
        <f t="shared" si="115"/>
        <v>0</v>
      </c>
      <c r="I300" s="328">
        <f t="shared" si="116"/>
        <v>44369.323117649823</v>
      </c>
      <c r="J300" s="331">
        <f t="shared" si="117"/>
        <v>1.5707737887003344</v>
      </c>
      <c r="K300" s="339">
        <f t="shared" si="133"/>
        <v>5.8001682310452365</v>
      </c>
      <c r="L300" s="340">
        <f t="shared" si="134"/>
        <v>1.3975217671800475</v>
      </c>
      <c r="M300" s="328">
        <f t="shared" si="118"/>
        <v>1.0041856065222068</v>
      </c>
      <c r="N300" s="331">
        <f t="shared" si="119"/>
        <v>9.133519649736517E-2</v>
      </c>
      <c r="O300" s="332">
        <f t="shared" si="120"/>
        <v>1.0013234388351049</v>
      </c>
      <c r="P300" s="333">
        <f t="shared" si="121"/>
        <v>0.14029727634812209</v>
      </c>
      <c r="Q300" s="334">
        <f t="shared" si="122"/>
        <v>5.1248607032968696</v>
      </c>
      <c r="R300" s="335">
        <f t="shared" si="123"/>
        <v>-100.33631085891119</v>
      </c>
      <c r="S300" s="337">
        <f t="shared" si="124"/>
        <v>79.66368914108881</v>
      </c>
      <c r="U300" s="310">
        <f t="shared" si="130"/>
        <v>1000000000</v>
      </c>
      <c r="V300" s="310">
        <f t="shared" si="131"/>
        <v>412130601</v>
      </c>
      <c r="X300" s="336">
        <f t="shared" si="125"/>
        <v>2.9300562403169406</v>
      </c>
      <c r="Y300" s="337">
        <f t="shared" si="126"/>
        <v>-15.159730922841751</v>
      </c>
      <c r="AA300" s="336">
        <f t="shared" si="127"/>
        <v>2.1948044629799295</v>
      </c>
      <c r="AB300" s="337">
        <f t="shared" si="128"/>
        <v>-85.176579936069444</v>
      </c>
      <c r="AD300">
        <f t="shared" si="132"/>
        <v>0</v>
      </c>
      <c r="AE300">
        <f t="shared" si="135"/>
        <v>0</v>
      </c>
    </row>
    <row r="301" spans="1:31" x14ac:dyDescent="0.25">
      <c r="A301" s="338">
        <v>20417</v>
      </c>
      <c r="B301" s="355">
        <f t="shared" si="129"/>
        <v>20.417000000000002</v>
      </c>
      <c r="C301" s="328">
        <f t="shared" si="110"/>
        <v>4.689909725425836</v>
      </c>
      <c r="D301" s="329">
        <f t="shared" si="111"/>
        <v>1.3559229482676103</v>
      </c>
      <c r="E301" s="329">
        <f t="shared" si="112"/>
        <v>1.0000358421196891</v>
      </c>
      <c r="F301" s="330">
        <f t="shared" si="113"/>
        <v>8.4665281165255592E-3</v>
      </c>
      <c r="G301" s="329">
        <f t="shared" si="114"/>
        <v>1</v>
      </c>
      <c r="H301" s="330">
        <f t="shared" si="115"/>
        <v>0</v>
      </c>
      <c r="I301" s="328">
        <f t="shared" si="116"/>
        <v>44622.849617774962</v>
      </c>
      <c r="J301" s="331">
        <f t="shared" si="117"/>
        <v>1.5707739167514179</v>
      </c>
      <c r="K301" s="339">
        <f t="shared" si="133"/>
        <v>5.8323279881588759</v>
      </c>
      <c r="L301" s="340">
        <f t="shared" si="134"/>
        <v>1.3984868090442268</v>
      </c>
      <c r="M301" s="328">
        <f t="shared" si="118"/>
        <v>1.004233475214557</v>
      </c>
      <c r="N301" s="331">
        <f t="shared" si="119"/>
        <v>9.1854163876602599E-2</v>
      </c>
      <c r="O301" s="332">
        <f t="shared" si="120"/>
        <v>1.0013390158652937</v>
      </c>
      <c r="P301" s="333">
        <f t="shared" si="121"/>
        <v>0.14110207344081485</v>
      </c>
      <c r="Q301" s="334">
        <f t="shared" si="122"/>
        <v>5.0756244528293202</v>
      </c>
      <c r="R301" s="335">
        <f t="shared" si="123"/>
        <v>-100.42229941288689</v>
      </c>
      <c r="S301" s="337">
        <f t="shared" si="124"/>
        <v>79.577700587113114</v>
      </c>
      <c r="U301" s="310">
        <f t="shared" si="130"/>
        <v>1000000000</v>
      </c>
      <c r="V301" s="310">
        <f t="shared" si="131"/>
        <v>416853889</v>
      </c>
      <c r="X301" s="336">
        <f t="shared" si="125"/>
        <v>2.9281792262721034</v>
      </c>
      <c r="Y301" s="337">
        <f t="shared" si="126"/>
        <v>-15.134180074263558</v>
      </c>
      <c r="AA301" s="336">
        <f t="shared" si="127"/>
        <v>2.147445226557215</v>
      </c>
      <c r="AB301" s="337">
        <f t="shared" si="128"/>
        <v>-85.288119338623332</v>
      </c>
      <c r="AD301">
        <f t="shared" si="132"/>
        <v>0</v>
      </c>
      <c r="AE301">
        <f t="shared" si="135"/>
        <v>0</v>
      </c>
    </row>
    <row r="302" spans="1:31" x14ac:dyDescent="0.25">
      <c r="A302" s="338">
        <v>20536</v>
      </c>
      <c r="B302" s="355">
        <f t="shared" si="129"/>
        <v>20.536000000000001</v>
      </c>
      <c r="C302" s="328">
        <f t="shared" si="110"/>
        <v>4.7160054215116958</v>
      </c>
      <c r="D302" s="329">
        <f t="shared" si="111"/>
        <v>1.3571304198482128</v>
      </c>
      <c r="E302" s="329">
        <f t="shared" si="112"/>
        <v>1.0000362611395779</v>
      </c>
      <c r="F302" s="330">
        <f t="shared" si="113"/>
        <v>8.5158726959226518E-3</v>
      </c>
      <c r="G302" s="329">
        <f t="shared" si="114"/>
        <v>1</v>
      </c>
      <c r="H302" s="330">
        <f t="shared" si="115"/>
        <v>0</v>
      </c>
      <c r="I302" s="328">
        <f t="shared" si="116"/>
        <v>44882.932837731663</v>
      </c>
      <c r="J302" s="331">
        <f t="shared" si="117"/>
        <v>1.5707740466109412</v>
      </c>
      <c r="K302" s="339">
        <f t="shared" si="133"/>
        <v>5.8653250446397651</v>
      </c>
      <c r="L302" s="340">
        <f t="shared" si="134"/>
        <v>1.3994658111665041</v>
      </c>
      <c r="M302" s="328">
        <f t="shared" si="118"/>
        <v>1.0042828629131937</v>
      </c>
      <c r="N302" s="331">
        <f t="shared" si="119"/>
        <v>9.2386501269825325E-2</v>
      </c>
      <c r="O302" s="332">
        <f t="shared" si="120"/>
        <v>1.0013550976909404</v>
      </c>
      <c r="P302" s="333">
        <f t="shared" si="121"/>
        <v>0.14192773930062821</v>
      </c>
      <c r="Q302" s="334">
        <f t="shared" si="122"/>
        <v>5.0253895660733141</v>
      </c>
      <c r="R302" s="335">
        <f t="shared" si="123"/>
        <v>-100.51037780792251</v>
      </c>
      <c r="S302" s="337">
        <f t="shared" si="124"/>
        <v>79.489622192077491</v>
      </c>
      <c r="U302" s="310">
        <f t="shared" si="130"/>
        <v>1000000000</v>
      </c>
      <c r="V302" s="310">
        <f t="shared" si="131"/>
        <v>421727296</v>
      </c>
      <c r="X302" s="336">
        <f t="shared" si="125"/>
        <v>2.9262764468938789</v>
      </c>
      <c r="Y302" s="337">
        <f t="shared" si="126"/>
        <v>-15.108595510804756</v>
      </c>
      <c r="AA302" s="336">
        <f t="shared" si="127"/>
        <v>2.0991131191794339</v>
      </c>
      <c r="AB302" s="337">
        <f t="shared" si="128"/>
        <v>-85.401782297117762</v>
      </c>
      <c r="AD302">
        <f t="shared" si="132"/>
        <v>0</v>
      </c>
      <c r="AE302">
        <f t="shared" si="135"/>
        <v>0</v>
      </c>
    </row>
    <row r="303" spans="1:31" x14ac:dyDescent="0.25">
      <c r="A303" s="338">
        <v>20655</v>
      </c>
      <c r="B303" s="355">
        <f t="shared" si="129"/>
        <v>20.655000000000001</v>
      </c>
      <c r="C303" s="328">
        <f t="shared" si="110"/>
        <v>4.7421079177937075</v>
      </c>
      <c r="D303" s="329">
        <f t="shared" si="111"/>
        <v>1.3583246003217671</v>
      </c>
      <c r="E303" s="329">
        <f t="shared" si="112"/>
        <v>1.0000366825944402</v>
      </c>
      <c r="F303" s="330">
        <f t="shared" si="113"/>
        <v>8.565217233848392E-3</v>
      </c>
      <c r="G303" s="329">
        <f t="shared" si="114"/>
        <v>1</v>
      </c>
      <c r="H303" s="330">
        <f t="shared" si="115"/>
        <v>0</v>
      </c>
      <c r="I303" s="328">
        <f t="shared" si="116"/>
        <v>45143.016057689129</v>
      </c>
      <c r="J303" s="331">
        <f t="shared" si="117"/>
        <v>1.5707741749741408</v>
      </c>
      <c r="K303" s="339">
        <f t="shared" si="133"/>
        <v>5.8983276598120788</v>
      </c>
      <c r="L303" s="340">
        <f t="shared" si="134"/>
        <v>1.4004338586856053</v>
      </c>
      <c r="M303" s="328">
        <f t="shared" si="118"/>
        <v>1.0043325351805847</v>
      </c>
      <c r="N303" s="331">
        <f t="shared" si="119"/>
        <v>9.2918786157202407E-2</v>
      </c>
      <c r="O303" s="332">
        <f t="shared" si="120"/>
        <v>1.0013712829293033</v>
      </c>
      <c r="P303" s="333">
        <f t="shared" si="121"/>
        <v>0.14275346121442872</v>
      </c>
      <c r="Q303" s="334">
        <f t="shared" si="122"/>
        <v>4.9754298086339999</v>
      </c>
      <c r="R303" s="335">
        <f t="shared" si="123"/>
        <v>-100.59832245108397</v>
      </c>
      <c r="S303" s="337">
        <f t="shared" si="124"/>
        <v>79.401677548916027</v>
      </c>
      <c r="U303" s="310">
        <f t="shared" si="130"/>
        <v>1000000000</v>
      </c>
      <c r="V303" s="310">
        <f t="shared" si="131"/>
        <v>426629025</v>
      </c>
      <c r="X303" s="336">
        <f t="shared" si="125"/>
        <v>2.9243961698345933</v>
      </c>
      <c r="Y303" s="337">
        <f t="shared" si="126"/>
        <v>-15.083635505778522</v>
      </c>
      <c r="AA303" s="336">
        <f t="shared" si="127"/>
        <v>2.0510336387994075</v>
      </c>
      <c r="AB303" s="337">
        <f t="shared" si="128"/>
        <v>-85.514686945305428</v>
      </c>
      <c r="AD303">
        <f t="shared" si="132"/>
        <v>0</v>
      </c>
      <c r="AE303">
        <f t="shared" si="135"/>
        <v>0</v>
      </c>
    </row>
    <row r="304" spans="1:31" x14ac:dyDescent="0.25">
      <c r="A304" s="338">
        <v>20774</v>
      </c>
      <c r="B304" s="355">
        <f t="shared" si="129"/>
        <v>20.774000000000001</v>
      </c>
      <c r="C304" s="328">
        <f t="shared" si="110"/>
        <v>4.7682171025935913</v>
      </c>
      <c r="D304" s="329">
        <f t="shared" si="111"/>
        <v>1.3595057045872017</v>
      </c>
      <c r="E304" s="329">
        <f t="shared" si="112"/>
        <v>1.0000371064842735</v>
      </c>
      <c r="F304" s="330">
        <f t="shared" si="113"/>
        <v>8.6145617300625379E-3</v>
      </c>
      <c r="G304" s="329">
        <f t="shared" si="114"/>
        <v>1</v>
      </c>
      <c r="H304" s="330">
        <f t="shared" si="115"/>
        <v>0</v>
      </c>
      <c r="I304" s="328">
        <f t="shared" si="116"/>
        <v>45403.099277647329</v>
      </c>
      <c r="J304" s="331">
        <f t="shared" si="117"/>
        <v>1.5707743018667311</v>
      </c>
      <c r="K304" s="339">
        <f t="shared" si="133"/>
        <v>5.9313357408882741</v>
      </c>
      <c r="L304" s="340">
        <f t="shared" si="134"/>
        <v>1.4013911326600685</v>
      </c>
      <c r="M304" s="328">
        <f t="shared" si="118"/>
        <v>1.0043824919745095</v>
      </c>
      <c r="N304" s="331">
        <f t="shared" si="119"/>
        <v>9.3451018244924855E-2</v>
      </c>
      <c r="O304" s="332">
        <f t="shared" si="120"/>
        <v>1.0013875717529097</v>
      </c>
      <c r="P304" s="333">
        <f t="shared" si="121"/>
        <v>0.14357923948644691</v>
      </c>
      <c r="Q304" s="334">
        <f t="shared" si="122"/>
        <v>4.925742112333185</v>
      </c>
      <c r="R304" s="335">
        <f t="shared" si="123"/>
        <v>-100.68613528336691</v>
      </c>
      <c r="S304" s="337">
        <f t="shared" si="124"/>
        <v>79.313864716633091</v>
      </c>
      <c r="U304" s="310">
        <f t="shared" si="130"/>
        <v>1000000000</v>
      </c>
      <c r="V304" s="310">
        <f t="shared" si="131"/>
        <v>431559076</v>
      </c>
      <c r="X304" s="336">
        <f t="shared" si="125"/>
        <v>2.9225378394719126</v>
      </c>
      <c r="Y304" s="337">
        <f t="shared" si="126"/>
        <v>-15.059289669934046</v>
      </c>
      <c r="AA304" s="336">
        <f t="shared" si="127"/>
        <v>2.0032042728612725</v>
      </c>
      <c r="AB304" s="337">
        <f t="shared" si="128"/>
        <v>-85.626845613432863</v>
      </c>
      <c r="AD304">
        <f t="shared" si="132"/>
        <v>0</v>
      </c>
      <c r="AE304">
        <f t="shared" si="135"/>
        <v>0</v>
      </c>
    </row>
    <row r="305" spans="1:31" x14ac:dyDescent="0.25">
      <c r="A305" s="338">
        <v>20893</v>
      </c>
      <c r="B305" s="355">
        <f t="shared" si="129"/>
        <v>20.893000000000001</v>
      </c>
      <c r="C305" s="328">
        <f t="shared" si="110"/>
        <v>4.7943328666374914</v>
      </c>
      <c r="D305" s="329">
        <f t="shared" si="111"/>
        <v>1.36067394300878</v>
      </c>
      <c r="E305" s="329">
        <f t="shared" si="112"/>
        <v>1.0000375328090743</v>
      </c>
      <c r="F305" s="330">
        <f t="shared" si="113"/>
        <v>8.663906184324846E-3</v>
      </c>
      <c r="G305" s="329">
        <f t="shared" si="114"/>
        <v>1</v>
      </c>
      <c r="H305" s="330">
        <f t="shared" si="115"/>
        <v>0</v>
      </c>
      <c r="I305" s="328">
        <f t="shared" si="116"/>
        <v>45663.182497606242</v>
      </c>
      <c r="J305" s="331">
        <f t="shared" si="117"/>
        <v>1.5707744273138402</v>
      </c>
      <c r="K305" s="339">
        <f t="shared" si="133"/>
        <v>5.9643491971196418</v>
      </c>
      <c r="L305" s="340">
        <f t="shared" si="134"/>
        <v>1.4023378102196817</v>
      </c>
      <c r="M305" s="328">
        <f t="shared" si="118"/>
        <v>1.0044327332525143</v>
      </c>
      <c r="N305" s="331">
        <f t="shared" si="119"/>
        <v>9.3983197239361646E-2</v>
      </c>
      <c r="O305" s="332">
        <f t="shared" si="120"/>
        <v>1.0014039643352706</v>
      </c>
      <c r="P305" s="333">
        <f t="shared" si="121"/>
        <v>0.14440507442055528</v>
      </c>
      <c r="Q305" s="334">
        <f t="shared" si="122"/>
        <v>4.8763234589484217</v>
      </c>
      <c r="R305" s="335">
        <f t="shared" si="123"/>
        <v>-100.77381821100691</v>
      </c>
      <c r="S305" s="337">
        <f t="shared" si="124"/>
        <v>79.226181788993088</v>
      </c>
      <c r="U305" s="310">
        <f t="shared" si="130"/>
        <v>1000000000</v>
      </c>
      <c r="V305" s="310">
        <f t="shared" si="131"/>
        <v>436517449</v>
      </c>
      <c r="X305" s="336">
        <f t="shared" si="125"/>
        <v>2.920700915541445</v>
      </c>
      <c r="Y305" s="337">
        <f t="shared" si="126"/>
        <v>-15.035547839097987</v>
      </c>
      <c r="AA305" s="336">
        <f t="shared" si="127"/>
        <v>1.9556225434069761</v>
      </c>
      <c r="AB305" s="337">
        <f t="shared" si="128"/>
        <v>-85.738270371908925</v>
      </c>
      <c r="AD305">
        <f t="shared" si="132"/>
        <v>0</v>
      </c>
      <c r="AE305">
        <f t="shared" si="135"/>
        <v>0</v>
      </c>
    </row>
    <row r="306" spans="1:31" x14ac:dyDescent="0.25">
      <c r="A306" s="338">
        <v>21014.75</v>
      </c>
      <c r="B306" s="355">
        <f t="shared" si="129"/>
        <v>21.014749999999999</v>
      </c>
      <c r="C306" s="328">
        <f t="shared" si="110"/>
        <v>4.8210588437928594</v>
      </c>
      <c r="D306" s="329">
        <f t="shared" si="111"/>
        <v>1.3618560780338285</v>
      </c>
      <c r="E306" s="329">
        <f t="shared" si="112"/>
        <v>1.0000379715059386</v>
      </c>
      <c r="F306" s="330">
        <f t="shared" si="113"/>
        <v>8.7143909079380171E-3</v>
      </c>
      <c r="G306" s="329">
        <f t="shared" si="114"/>
        <v>1</v>
      </c>
      <c r="H306" s="330">
        <f t="shared" si="115"/>
        <v>0</v>
      </c>
      <c r="I306" s="328">
        <f t="shared" si="116"/>
        <v>45929.276044077546</v>
      </c>
      <c r="J306" s="331">
        <f t="shared" si="117"/>
        <v>1.5707745541895737</v>
      </c>
      <c r="K306" s="339">
        <f t="shared" si="133"/>
        <v>5.9981310397086824</v>
      </c>
      <c r="L306" s="340">
        <f t="shared" si="134"/>
        <v>1.4032955789434771</v>
      </c>
      <c r="M306" s="328">
        <f t="shared" si="118"/>
        <v>1.0044844299452964</v>
      </c>
      <c r="N306" s="331">
        <f t="shared" si="119"/>
        <v>9.4527619233949395E-2</v>
      </c>
      <c r="O306" s="332">
        <f t="shared" si="120"/>
        <v>1.0014208433029359</v>
      </c>
      <c r="P306" s="333">
        <f t="shared" si="121"/>
        <v>0.14525005273328823</v>
      </c>
      <c r="Q306" s="334">
        <f t="shared" si="122"/>
        <v>4.8260381222379571</v>
      </c>
      <c r="R306" s="335">
        <f t="shared" si="123"/>
        <v>-100.86339493475081</v>
      </c>
      <c r="S306" s="337">
        <f t="shared" si="124"/>
        <v>79.136605065249185</v>
      </c>
      <c r="U306" s="310">
        <f t="shared" si="130"/>
        <v>1000000000</v>
      </c>
      <c r="V306" s="310">
        <f t="shared" si="131"/>
        <v>441619717.5625</v>
      </c>
      <c r="X306" s="336">
        <f t="shared" si="125"/>
        <v>2.9188431480016681</v>
      </c>
      <c r="Y306" s="337">
        <f t="shared" si="126"/>
        <v>-15.011872085455854</v>
      </c>
      <c r="AA306" s="336">
        <f t="shared" si="127"/>
        <v>1.9071949742362895</v>
      </c>
      <c r="AB306" s="337">
        <f t="shared" si="128"/>
        <v>-85.85152284929498</v>
      </c>
      <c r="AD306">
        <f t="shared" si="132"/>
        <v>0</v>
      </c>
      <c r="AE306">
        <f t="shared" si="135"/>
        <v>0</v>
      </c>
    </row>
    <row r="307" spans="1:31" x14ac:dyDescent="0.25">
      <c r="A307" s="338">
        <v>21136.5</v>
      </c>
      <c r="B307" s="355">
        <f t="shared" si="129"/>
        <v>21.136500000000002</v>
      </c>
      <c r="C307" s="328">
        <f t="shared" si="110"/>
        <v>4.8477914838145857</v>
      </c>
      <c r="D307" s="329">
        <f t="shared" si="111"/>
        <v>1.3630251771572877</v>
      </c>
      <c r="E307" s="329">
        <f t="shared" si="112"/>
        <v>1.0000384127516049</v>
      </c>
      <c r="F307" s="330">
        <f t="shared" si="113"/>
        <v>8.7648755871292412E-3</v>
      </c>
      <c r="G307" s="329">
        <f t="shared" si="114"/>
        <v>1</v>
      </c>
      <c r="H307" s="330">
        <f t="shared" si="115"/>
        <v>0</v>
      </c>
      <c r="I307" s="328">
        <f t="shared" si="116"/>
        <v>46195.369590549584</v>
      </c>
      <c r="J307" s="331">
        <f t="shared" si="117"/>
        <v>1.5707746796036535</v>
      </c>
      <c r="K307" s="339">
        <f t="shared" si="133"/>
        <v>6.0319183228755122</v>
      </c>
      <c r="L307" s="340">
        <f t="shared" si="134"/>
        <v>1.4042426188060153</v>
      </c>
      <c r="M307" s="328">
        <f t="shared" si="118"/>
        <v>1.0045364243318553</v>
      </c>
      <c r="N307" s="331">
        <f t="shared" si="119"/>
        <v>9.5071985031759745E-2</v>
      </c>
      <c r="O307" s="332">
        <f t="shared" si="120"/>
        <v>1.0014378312509287</v>
      </c>
      <c r="P307" s="333">
        <f t="shared" si="121"/>
        <v>0.1460950909995585</v>
      </c>
      <c r="Q307" s="334">
        <f t="shared" si="122"/>
        <v>4.7760281707287184</v>
      </c>
      <c r="R307" s="335">
        <f t="shared" si="123"/>
        <v>-100.95283960886545</v>
      </c>
      <c r="S307" s="337">
        <f t="shared" si="124"/>
        <v>79.047160391134554</v>
      </c>
      <c r="U307" s="310">
        <f t="shared" si="130"/>
        <v>1000000000</v>
      </c>
      <c r="V307" s="310">
        <f t="shared" si="131"/>
        <v>446751632.25</v>
      </c>
      <c r="X307" s="336">
        <f t="shared" si="125"/>
        <v>2.9170066906615739</v>
      </c>
      <c r="Y307" s="337">
        <f t="shared" si="126"/>
        <v>-14.988807746698679</v>
      </c>
      <c r="AA307" s="336">
        <f t="shared" si="127"/>
        <v>1.8590214800671425</v>
      </c>
      <c r="AB307" s="337">
        <f t="shared" si="128"/>
        <v>-85.964031862166792</v>
      </c>
      <c r="AD307">
        <f t="shared" si="132"/>
        <v>0</v>
      </c>
      <c r="AE307">
        <f t="shared" si="135"/>
        <v>0</v>
      </c>
    </row>
    <row r="308" spans="1:31" x14ac:dyDescent="0.25">
      <c r="A308" s="338">
        <v>21258.25</v>
      </c>
      <c r="B308" s="355">
        <f t="shared" si="129"/>
        <v>21.25825</v>
      </c>
      <c r="C308" s="328">
        <f t="shared" si="110"/>
        <v>4.8745306770822667</v>
      </c>
      <c r="D308" s="329">
        <f t="shared" si="111"/>
        <v>1.3641814516817068</v>
      </c>
      <c r="E308" s="329">
        <f t="shared" si="112"/>
        <v>1.0000388565460696</v>
      </c>
      <c r="F308" s="330">
        <f t="shared" si="113"/>
        <v>8.8153602216412309E-3</v>
      </c>
      <c r="G308" s="329">
        <f t="shared" si="114"/>
        <v>1</v>
      </c>
      <c r="H308" s="330">
        <f t="shared" si="115"/>
        <v>0</v>
      </c>
      <c r="I308" s="328">
        <f t="shared" si="116"/>
        <v>46461.463137022343</v>
      </c>
      <c r="J308" s="331">
        <f t="shared" si="117"/>
        <v>1.570774803581193</v>
      </c>
      <c r="K308" s="339">
        <f t="shared" si="133"/>
        <v>6.0657109557046498</v>
      </c>
      <c r="L308" s="340">
        <f t="shared" si="134"/>
        <v>1.405179107408588</v>
      </c>
      <c r="M308" s="328">
        <f t="shared" si="118"/>
        <v>1.0045887163659681</v>
      </c>
      <c r="N308" s="331">
        <f t="shared" si="119"/>
        <v>9.5616294318915288E-2</v>
      </c>
      <c r="O308" s="332">
        <f t="shared" si="120"/>
        <v>1.0014549283682601</v>
      </c>
      <c r="P308" s="333">
        <f t="shared" si="121"/>
        <v>0.14694018954361746</v>
      </c>
      <c r="Q308" s="334">
        <f t="shared" si="122"/>
        <v>4.7262905275151308</v>
      </c>
      <c r="R308" s="335">
        <f t="shared" si="123"/>
        <v>-101.0421541663387</v>
      </c>
      <c r="S308" s="337">
        <f t="shared" si="124"/>
        <v>78.957845833661295</v>
      </c>
      <c r="U308" s="310">
        <f t="shared" si="130"/>
        <v>1000000000</v>
      </c>
      <c r="V308" s="310">
        <f t="shared" si="131"/>
        <v>451913193.0625</v>
      </c>
      <c r="X308" s="336">
        <f t="shared" si="125"/>
        <v>2.9151910116226794</v>
      </c>
      <c r="Y308" s="337">
        <f t="shared" si="126"/>
        <v>-14.966344630477053</v>
      </c>
      <c r="AA308" s="336">
        <f t="shared" si="127"/>
        <v>1.8110995158924534</v>
      </c>
      <c r="AB308" s="337">
        <f t="shared" si="128"/>
        <v>-86.075809535861666</v>
      </c>
      <c r="AD308">
        <f t="shared" si="132"/>
        <v>0</v>
      </c>
      <c r="AE308">
        <f t="shared" si="135"/>
        <v>0</v>
      </c>
    </row>
    <row r="309" spans="1:31" x14ac:dyDescent="0.25">
      <c r="A309" s="338">
        <v>21380</v>
      </c>
      <c r="B309" s="355">
        <f t="shared" si="129"/>
        <v>21.38</v>
      </c>
      <c r="C309" s="328">
        <f t="shared" si="110"/>
        <v>4.9012763163410797</v>
      </c>
      <c r="D309" s="329">
        <f t="shared" si="111"/>
        <v>1.3653251084363016</v>
      </c>
      <c r="E309" s="329">
        <f t="shared" si="112"/>
        <v>1.0000393028893293</v>
      </c>
      <c r="F309" s="330">
        <f t="shared" si="113"/>
        <v>8.8658448112167113E-3</v>
      </c>
      <c r="G309" s="329">
        <f t="shared" si="114"/>
        <v>1</v>
      </c>
      <c r="H309" s="330">
        <f t="shared" si="115"/>
        <v>0</v>
      </c>
      <c r="I309" s="328">
        <f t="shared" si="116"/>
        <v>46727.556683495808</v>
      </c>
      <c r="J309" s="331">
        <f t="shared" si="117"/>
        <v>1.5707749261467341</v>
      </c>
      <c r="K309" s="339">
        <f t="shared" si="133"/>
        <v>6.099508849281146</v>
      </c>
      <c r="L309" s="340">
        <f t="shared" si="134"/>
        <v>1.4061052184910383</v>
      </c>
      <c r="M309" s="328">
        <f t="shared" si="118"/>
        <v>1.004641306001157</v>
      </c>
      <c r="N309" s="331">
        <f t="shared" si="119"/>
        <v>9.6160546781737646E-2</v>
      </c>
      <c r="O309" s="332">
        <f t="shared" si="120"/>
        <v>1.001472134845016</v>
      </c>
      <c r="P309" s="333">
        <f t="shared" si="121"/>
        <v>0.14778534868931467</v>
      </c>
      <c r="Q309" s="334">
        <f t="shared" si="122"/>
        <v>4.6768221658582583</v>
      </c>
      <c r="R309" s="335">
        <f t="shared" si="123"/>
        <v>-101.13134050505556</v>
      </c>
      <c r="S309" s="337">
        <f t="shared" si="124"/>
        <v>78.868659494944438</v>
      </c>
      <c r="U309" s="310">
        <f t="shared" si="130"/>
        <v>1000000000</v>
      </c>
      <c r="V309" s="310">
        <f t="shared" si="131"/>
        <v>457104400</v>
      </c>
      <c r="X309" s="336">
        <f t="shared" si="125"/>
        <v>2.9133955937076279</v>
      </c>
      <c r="Y309" s="337">
        <f t="shared" si="126"/>
        <v>-14.944472765664898</v>
      </c>
      <c r="AA309" s="336">
        <f t="shared" si="127"/>
        <v>1.7634265721506339</v>
      </c>
      <c r="AB309" s="337">
        <f t="shared" si="128"/>
        <v>-86.186867739390678</v>
      </c>
      <c r="AD309">
        <f t="shared" si="132"/>
        <v>0</v>
      </c>
      <c r="AE309">
        <f t="shared" si="135"/>
        <v>0</v>
      </c>
    </row>
    <row r="310" spans="1:31" x14ac:dyDescent="0.25">
      <c r="A310" s="338">
        <v>21504.5</v>
      </c>
      <c r="B310" s="355">
        <f t="shared" si="129"/>
        <v>21.5045</v>
      </c>
      <c r="C310" s="328">
        <f t="shared" si="110"/>
        <v>4.928632623241147</v>
      </c>
      <c r="D310" s="329">
        <f t="shared" si="111"/>
        <v>1.3664817597183783</v>
      </c>
      <c r="E310" s="329">
        <f t="shared" si="112"/>
        <v>1.0000397619500616</v>
      </c>
      <c r="F310" s="330">
        <f t="shared" si="113"/>
        <v>8.9174696630584475E-3</v>
      </c>
      <c r="G310" s="329">
        <f t="shared" si="114"/>
        <v>1</v>
      </c>
      <c r="H310" s="330">
        <f t="shared" si="115"/>
        <v>0</v>
      </c>
      <c r="I310" s="328">
        <f t="shared" si="116"/>
        <v>46999.6605564817</v>
      </c>
      <c r="J310" s="331">
        <f t="shared" si="117"/>
        <v>1.5707750500454853</v>
      </c>
      <c r="K310" s="339">
        <f t="shared" si="133"/>
        <v>6.1340754946960159</v>
      </c>
      <c r="L310" s="340">
        <f t="shared" si="134"/>
        <v>1.4070416932126326</v>
      </c>
      <c r="M310" s="328">
        <f t="shared" si="118"/>
        <v>1.0046953912038734</v>
      </c>
      <c r="N310" s="331">
        <f t="shared" si="119"/>
        <v>9.671703333063128E-2</v>
      </c>
      <c r="O310" s="332">
        <f t="shared" si="120"/>
        <v>1.0014898432607899</v>
      </c>
      <c r="P310" s="333">
        <f t="shared" si="121"/>
        <v>0.14864966067931623</v>
      </c>
      <c r="Q310" s="334">
        <f t="shared" si="122"/>
        <v>4.6265118205636782</v>
      </c>
      <c r="R310" s="335">
        <f t="shared" si="123"/>
        <v>-101.22241066538705</v>
      </c>
      <c r="S310" s="337">
        <f t="shared" si="124"/>
        <v>78.777589334612955</v>
      </c>
      <c r="U310" s="310">
        <f t="shared" si="130"/>
        <v>1000000000</v>
      </c>
      <c r="V310" s="310">
        <f t="shared" si="131"/>
        <v>462443520.25</v>
      </c>
      <c r="X310" s="336">
        <f t="shared" si="125"/>
        <v>2.9115800510206586</v>
      </c>
      <c r="Y310" s="337">
        <f t="shared" si="126"/>
        <v>-14.922708145954925</v>
      </c>
      <c r="AA310" s="336">
        <f t="shared" si="127"/>
        <v>1.7149317695430211</v>
      </c>
      <c r="AB310" s="337">
        <f t="shared" si="128"/>
        <v>-86.299702519432117</v>
      </c>
      <c r="AD310">
        <f t="shared" si="132"/>
        <v>0</v>
      </c>
      <c r="AE310">
        <f t="shared" si="135"/>
        <v>0</v>
      </c>
    </row>
    <row r="311" spans="1:31" x14ac:dyDescent="0.25">
      <c r="A311" s="338">
        <v>21629</v>
      </c>
      <c r="B311" s="355">
        <f t="shared" si="129"/>
        <v>21.629000000000001</v>
      </c>
      <c r="C311" s="328">
        <f t="shared" si="110"/>
        <v>4.9559954510760447</v>
      </c>
      <c r="D311" s="329">
        <f t="shared" si="111"/>
        <v>1.3676256404106251</v>
      </c>
      <c r="E311" s="329">
        <f t="shared" si="112"/>
        <v>1.0000402236760229</v>
      </c>
      <c r="F311" s="330">
        <f t="shared" si="113"/>
        <v>8.9690944673666197E-3</v>
      </c>
      <c r="G311" s="329">
        <f t="shared" si="114"/>
        <v>1</v>
      </c>
      <c r="H311" s="330">
        <f t="shared" si="115"/>
        <v>0</v>
      </c>
      <c r="I311" s="328">
        <f t="shared" si="116"/>
        <v>47271.76442946832</v>
      </c>
      <c r="J311" s="331">
        <f t="shared" si="117"/>
        <v>1.5707751725178742</v>
      </c>
      <c r="K311" s="339">
        <f t="shared" si="133"/>
        <v>6.1686474593107015</v>
      </c>
      <c r="L311" s="340">
        <f t="shared" si="134"/>
        <v>1.4079676718603926</v>
      </c>
      <c r="M311" s="328">
        <f t="shared" si="118"/>
        <v>1.0047497875043727</v>
      </c>
      <c r="N311" s="331">
        <f t="shared" si="119"/>
        <v>9.7273459796403408E-2</v>
      </c>
      <c r="O311" s="332">
        <f t="shared" si="120"/>
        <v>1.0015076664375135</v>
      </c>
      <c r="P311" s="333">
        <f t="shared" si="121"/>
        <v>0.14951403672316663</v>
      </c>
      <c r="Q311" s="334">
        <f t="shared" si="122"/>
        <v>4.5764768133050051</v>
      </c>
      <c r="R311" s="335">
        <f t="shared" si="123"/>
        <v>-101.31335065405625</v>
      </c>
      <c r="S311" s="337">
        <f t="shared" si="124"/>
        <v>78.686649345943749</v>
      </c>
      <c r="U311" s="310">
        <f t="shared" si="130"/>
        <v>1000000000</v>
      </c>
      <c r="V311" s="310">
        <f t="shared" si="131"/>
        <v>467813641</v>
      </c>
      <c r="X311" s="336">
        <f t="shared" si="125"/>
        <v>2.9097846463140082</v>
      </c>
      <c r="Y311" s="337">
        <f t="shared" si="126"/>
        <v>-14.901541382743968</v>
      </c>
      <c r="AA311" s="336">
        <f t="shared" si="127"/>
        <v>1.6666921669909975</v>
      </c>
      <c r="AB311" s="337">
        <f t="shared" si="128"/>
        <v>-86.411809271312265</v>
      </c>
      <c r="AD311">
        <f t="shared" si="132"/>
        <v>0</v>
      </c>
      <c r="AE311">
        <f t="shared" si="135"/>
        <v>0</v>
      </c>
    </row>
    <row r="312" spans="1:31" x14ac:dyDescent="0.25">
      <c r="A312" s="338">
        <v>21753.5</v>
      </c>
      <c r="B312" s="355">
        <f t="shared" si="129"/>
        <v>21.753499999999999</v>
      </c>
      <c r="C312" s="328">
        <f t="shared" si="110"/>
        <v>4.9833646924296611</v>
      </c>
      <c r="D312" s="329">
        <f t="shared" si="111"/>
        <v>1.3687569579075383</v>
      </c>
      <c r="E312" s="329">
        <f t="shared" si="112"/>
        <v>1.000040688067209</v>
      </c>
      <c r="F312" s="330">
        <f t="shared" si="113"/>
        <v>9.02071922386612E-3</v>
      </c>
      <c r="G312" s="329">
        <f t="shared" si="114"/>
        <v>1</v>
      </c>
      <c r="H312" s="330">
        <f t="shared" si="115"/>
        <v>0</v>
      </c>
      <c r="I312" s="328">
        <f t="shared" si="116"/>
        <v>47543.86830245563</v>
      </c>
      <c r="J312" s="331">
        <f t="shared" si="117"/>
        <v>1.5707752935883912</v>
      </c>
      <c r="K312" s="339">
        <f t="shared" si="133"/>
        <v>6.2032246541899161</v>
      </c>
      <c r="L312" s="340">
        <f t="shared" si="134"/>
        <v>1.4088833283504416</v>
      </c>
      <c r="M312" s="328">
        <f t="shared" si="118"/>
        <v>1.0048044948521297</v>
      </c>
      <c r="N312" s="331">
        <f t="shared" si="119"/>
        <v>9.7829825844289287E-2</v>
      </c>
      <c r="O312" s="332">
        <f t="shared" si="120"/>
        <v>1.0015256045819336</v>
      </c>
      <c r="P312" s="333">
        <f t="shared" si="121"/>
        <v>0.15037847716584002</v>
      </c>
      <c r="Q312" s="334">
        <f t="shared" si="122"/>
        <v>4.5267140633853717</v>
      </c>
      <c r="R312" s="335">
        <f t="shared" si="123"/>
        <v>-101.40416239123657</v>
      </c>
      <c r="S312" s="337">
        <f t="shared" si="124"/>
        <v>78.595837608763432</v>
      </c>
      <c r="U312" s="310">
        <f t="shared" si="130"/>
        <v>1000000000</v>
      </c>
      <c r="V312" s="310">
        <f t="shared" si="131"/>
        <v>473214762.25</v>
      </c>
      <c r="X312" s="336">
        <f t="shared" si="125"/>
        <v>2.9080088712422536</v>
      </c>
      <c r="Y312" s="337">
        <f t="shared" si="126"/>
        <v>-14.880962493594769</v>
      </c>
      <c r="AA312" s="336">
        <f t="shared" si="127"/>
        <v>1.6187051921431184</v>
      </c>
      <c r="AB312" s="337">
        <f t="shared" si="128"/>
        <v>-86.523199897641788</v>
      </c>
      <c r="AD312">
        <f t="shared" si="132"/>
        <v>0</v>
      </c>
      <c r="AE312">
        <f t="shared" si="135"/>
        <v>0</v>
      </c>
    </row>
    <row r="313" spans="1:31" x14ac:dyDescent="0.25">
      <c r="A313" s="338">
        <v>21878</v>
      </c>
      <c r="B313" s="355">
        <f t="shared" si="129"/>
        <v>21.878</v>
      </c>
      <c r="C313" s="328">
        <f t="shared" si="110"/>
        <v>5.0107402422078628</v>
      </c>
      <c r="D313" s="329">
        <f t="shared" si="111"/>
        <v>1.3698759152015532</v>
      </c>
      <c r="E313" s="329">
        <f t="shared" si="112"/>
        <v>1.0000411551236168</v>
      </c>
      <c r="F313" s="330">
        <f t="shared" si="113"/>
        <v>9.0723439322818455E-3</v>
      </c>
      <c r="G313" s="329">
        <f t="shared" si="114"/>
        <v>1</v>
      </c>
      <c r="H313" s="330">
        <f t="shared" si="115"/>
        <v>0</v>
      </c>
      <c r="I313" s="328">
        <f t="shared" si="116"/>
        <v>47815.97217544364</v>
      </c>
      <c r="J313" s="331">
        <f t="shared" si="117"/>
        <v>1.5707754132809686</v>
      </c>
      <c r="K313" s="339">
        <f t="shared" si="133"/>
        <v>6.2378069923569992</v>
      </c>
      <c r="L313" s="340">
        <f t="shared" si="134"/>
        <v>1.4097888328122594</v>
      </c>
      <c r="M313" s="328">
        <f t="shared" si="118"/>
        <v>1.0048595131963416</v>
      </c>
      <c r="N313" s="331">
        <f t="shared" si="119"/>
        <v>9.8386131139746508E-2</v>
      </c>
      <c r="O313" s="332">
        <f t="shared" si="120"/>
        <v>1.001543657901971</v>
      </c>
      <c r="P313" s="333">
        <f t="shared" si="121"/>
        <v>0.15124298235186059</v>
      </c>
      <c r="Q313" s="334">
        <f t="shared" si="122"/>
        <v>4.4772205403795091</v>
      </c>
      <c r="R313" s="335">
        <f t="shared" si="123"/>
        <v>-101.49484776179553</v>
      </c>
      <c r="S313" s="337">
        <f t="shared" si="124"/>
        <v>78.505152238204474</v>
      </c>
      <c r="U313" s="310">
        <f t="shared" si="130"/>
        <v>1000000000</v>
      </c>
      <c r="V313" s="310">
        <f t="shared" si="131"/>
        <v>478646884</v>
      </c>
      <c r="X313" s="336">
        <f t="shared" si="125"/>
        <v>2.9062522315400834</v>
      </c>
      <c r="Y313" s="337">
        <f t="shared" si="126"/>
        <v>-14.860961713009486</v>
      </c>
      <c r="AA313" s="336">
        <f t="shared" si="127"/>
        <v>1.5709683088394262</v>
      </c>
      <c r="AB313" s="337">
        <f t="shared" si="128"/>
        <v>-86.633886048786025</v>
      </c>
      <c r="AD313">
        <f t="shared" si="132"/>
        <v>0</v>
      </c>
      <c r="AE313">
        <f t="shared" si="135"/>
        <v>0</v>
      </c>
    </row>
    <row r="314" spans="1:31" x14ac:dyDescent="0.25">
      <c r="A314" s="338">
        <v>22005.25</v>
      </c>
      <c r="B314" s="355">
        <f t="shared" si="129"/>
        <v>22.00525</v>
      </c>
      <c r="C314" s="328">
        <f t="shared" si="110"/>
        <v>5.038726884746195</v>
      </c>
      <c r="D314" s="329">
        <f t="shared" si="111"/>
        <v>1.3710070225013709</v>
      </c>
      <c r="E314" s="329">
        <f t="shared" si="112"/>
        <v>1.0000416352507047</v>
      </c>
      <c r="F314" s="330">
        <f t="shared" si="113"/>
        <v>9.1251088955269094E-3</v>
      </c>
      <c r="G314" s="329">
        <f t="shared" si="114"/>
        <v>1</v>
      </c>
      <c r="H314" s="330">
        <f t="shared" si="115"/>
        <v>0</v>
      </c>
      <c r="I314" s="328">
        <f t="shared" si="116"/>
        <v>48094.086374944127</v>
      </c>
      <c r="J314" s="331">
        <f t="shared" si="117"/>
        <v>1.5707755342177745</v>
      </c>
      <c r="K314" s="339">
        <f t="shared" si="133"/>
        <v>6.2731584238368532</v>
      </c>
      <c r="L314" s="340">
        <f t="shared" si="134"/>
        <v>1.4107040207548525</v>
      </c>
      <c r="M314" s="328">
        <f t="shared" si="118"/>
        <v>1.0049160681284306</v>
      </c>
      <c r="N314" s="331">
        <f t="shared" si="119"/>
        <v>9.8954661175025202E-2</v>
      </c>
      <c r="O314" s="332">
        <f t="shared" si="120"/>
        <v>1.001562229227567</v>
      </c>
      <c r="P314" s="333">
        <f t="shared" si="121"/>
        <v>0.15212665029638084</v>
      </c>
      <c r="Q314" s="334">
        <f t="shared" si="122"/>
        <v>4.426908896561736</v>
      </c>
      <c r="R314" s="335">
        <f t="shared" si="123"/>
        <v>-101.5874075645138</v>
      </c>
      <c r="S314" s="337">
        <f t="shared" si="124"/>
        <v>78.412592435486204</v>
      </c>
      <c r="U314" s="310">
        <f t="shared" si="130"/>
        <v>1000000000</v>
      </c>
      <c r="V314" s="310">
        <f t="shared" si="131"/>
        <v>484231027.5625</v>
      </c>
      <c r="X314" s="336">
        <f t="shared" si="125"/>
        <v>2.9044760643295304</v>
      </c>
      <c r="Y314" s="337">
        <f t="shared" si="126"/>
        <v>-14.841106607131413</v>
      </c>
      <c r="AA314" s="336">
        <f t="shared" si="127"/>
        <v>1.5224328322322096</v>
      </c>
      <c r="AB314" s="337">
        <f t="shared" si="128"/>
        <v>-86.746300957382388</v>
      </c>
      <c r="AD314">
        <f t="shared" si="132"/>
        <v>0</v>
      </c>
      <c r="AE314">
        <f t="shared" si="135"/>
        <v>0</v>
      </c>
    </row>
    <row r="315" spans="1:31" x14ac:dyDescent="0.25">
      <c r="A315" s="338">
        <v>22132.5</v>
      </c>
      <c r="B315" s="355">
        <f t="shared" si="129"/>
        <v>22.1325</v>
      </c>
      <c r="C315" s="328">
        <f t="shared" si="110"/>
        <v>5.0667199026289067</v>
      </c>
      <c r="D315" s="329">
        <f t="shared" si="111"/>
        <v>1.3721256327557001</v>
      </c>
      <c r="E315" s="329">
        <f t="shared" si="112"/>
        <v>1.0000421181620474</v>
      </c>
      <c r="F315" s="330">
        <f t="shared" si="113"/>
        <v>9.1778738079594281E-3</v>
      </c>
      <c r="G315" s="329">
        <f t="shared" si="114"/>
        <v>1</v>
      </c>
      <c r="H315" s="330">
        <f t="shared" si="115"/>
        <v>0</v>
      </c>
      <c r="I315" s="328">
        <f t="shared" si="116"/>
        <v>48372.200574445305</v>
      </c>
      <c r="J315" s="331">
        <f t="shared" si="117"/>
        <v>1.5707756537639368</v>
      </c>
      <c r="K315" s="339">
        <f t="shared" si="133"/>
        <v>6.30851505063037</v>
      </c>
      <c r="L315" s="340">
        <f t="shared" si="134"/>
        <v>1.4116089509458796</v>
      </c>
      <c r="M315" s="328">
        <f t="shared" si="118"/>
        <v>1.0049729478393041</v>
      </c>
      <c r="N315" s="331">
        <f t="shared" si="119"/>
        <v>9.9523127038418827E-2</v>
      </c>
      <c r="O315" s="332">
        <f t="shared" si="120"/>
        <v>1.0015809213160183</v>
      </c>
      <c r="P315" s="333">
        <f t="shared" si="121"/>
        <v>0.15301038660230917</v>
      </c>
      <c r="Q315" s="334">
        <f t="shared" si="122"/>
        <v>4.3768722591351699</v>
      </c>
      <c r="R315" s="335">
        <f t="shared" si="123"/>
        <v>-101.67983922841641</v>
      </c>
      <c r="S315" s="337">
        <f t="shared" si="124"/>
        <v>78.320160771583588</v>
      </c>
      <c r="U315" s="310">
        <f t="shared" si="130"/>
        <v>1000000000</v>
      </c>
      <c r="V315" s="310">
        <f t="shared" si="131"/>
        <v>489847556.25</v>
      </c>
      <c r="X315" s="336">
        <f t="shared" si="125"/>
        <v>2.9027188861071758</v>
      </c>
      <c r="Y315" s="337">
        <f t="shared" si="126"/>
        <v>-14.821835470669853</v>
      </c>
      <c r="AA315" s="336">
        <f t="shared" si="127"/>
        <v>1.4741533730279934</v>
      </c>
      <c r="AB315" s="337">
        <f t="shared" si="128"/>
        <v>-86.858003757746545</v>
      </c>
      <c r="AD315">
        <f t="shared" si="132"/>
        <v>0</v>
      </c>
      <c r="AE315">
        <f t="shared" si="135"/>
        <v>0</v>
      </c>
    </row>
    <row r="316" spans="1:31" x14ac:dyDescent="0.25">
      <c r="A316" s="338">
        <v>22259.75</v>
      </c>
      <c r="B316" s="355">
        <f t="shared" si="129"/>
        <v>22.25975</v>
      </c>
      <c r="C316" s="328">
        <f t="shared" si="110"/>
        <v>5.0947191907676963</v>
      </c>
      <c r="D316" s="329">
        <f t="shared" si="111"/>
        <v>1.3732319491836122</v>
      </c>
      <c r="E316" s="329">
        <f t="shared" si="112"/>
        <v>1.0000426038576404</v>
      </c>
      <c r="F316" s="330">
        <f t="shared" si="113"/>
        <v>9.2306386692856627E-3</v>
      </c>
      <c r="G316" s="329">
        <f t="shared" si="114"/>
        <v>1</v>
      </c>
      <c r="H316" s="330">
        <f t="shared" si="115"/>
        <v>0</v>
      </c>
      <c r="I316" s="328">
        <f t="shared" si="116"/>
        <v>48650.314773947175</v>
      </c>
      <c r="J316" s="331">
        <f t="shared" si="117"/>
        <v>1.5707757719433049</v>
      </c>
      <c r="K316" s="339">
        <f t="shared" si="133"/>
        <v>6.343876785871692</v>
      </c>
      <c r="L316" s="340">
        <f t="shared" si="134"/>
        <v>1.4125037934255271</v>
      </c>
      <c r="M316" s="328">
        <f t="shared" si="118"/>
        <v>1.0050301522738199</v>
      </c>
      <c r="N316" s="331">
        <f t="shared" si="119"/>
        <v>0.10009152837345073</v>
      </c>
      <c r="O316" s="332">
        <f t="shared" si="120"/>
        <v>1.001599734393132</v>
      </c>
      <c r="P316" s="333">
        <f t="shared" si="121"/>
        <v>0.15389419163603332</v>
      </c>
      <c r="Q316" s="334">
        <f t="shared" si="122"/>
        <v>4.327107548257608</v>
      </c>
      <c r="R316" s="335">
        <f t="shared" si="123"/>
        <v>-101.77214465646459</v>
      </c>
      <c r="S316" s="337">
        <f t="shared" si="124"/>
        <v>78.22785534353541</v>
      </c>
      <c r="U316" s="310">
        <f t="shared" si="130"/>
        <v>1000000000</v>
      </c>
      <c r="V316" s="310">
        <f t="shared" si="131"/>
        <v>495496470.0625</v>
      </c>
      <c r="X316" s="336">
        <f t="shared" si="125"/>
        <v>2.9009802117811114</v>
      </c>
      <c r="Y316" s="337">
        <f t="shared" si="126"/>
        <v>-14.803138541981602</v>
      </c>
      <c r="AA316" s="336">
        <f t="shared" si="127"/>
        <v>1.426127336476495</v>
      </c>
      <c r="AB316" s="337">
        <f t="shared" si="128"/>
        <v>-86.969006114482951</v>
      </c>
      <c r="AD316">
        <f t="shared" si="132"/>
        <v>0</v>
      </c>
      <c r="AE316">
        <f t="shared" si="135"/>
        <v>0</v>
      </c>
    </row>
    <row r="317" spans="1:31" x14ac:dyDescent="0.25">
      <c r="A317" s="338">
        <v>22387</v>
      </c>
      <c r="B317" s="355">
        <f t="shared" si="129"/>
        <v>22.387</v>
      </c>
      <c r="C317" s="328">
        <f t="shared" si="110"/>
        <v>5.1227246463485061</v>
      </c>
      <c r="D317" s="329">
        <f t="shared" si="111"/>
        <v>1.3743261706821341</v>
      </c>
      <c r="E317" s="329">
        <f t="shared" si="112"/>
        <v>1.0000430923374799</v>
      </c>
      <c r="F317" s="330">
        <f t="shared" si="113"/>
        <v>9.2834034792118811E-3</v>
      </c>
      <c r="G317" s="329">
        <f t="shared" si="114"/>
        <v>1</v>
      </c>
      <c r="H317" s="330">
        <f t="shared" si="115"/>
        <v>0</v>
      </c>
      <c r="I317" s="328">
        <f t="shared" si="116"/>
        <v>48928.428973449714</v>
      </c>
      <c r="J317" s="331">
        <f t="shared" si="117"/>
        <v>1.5707758887791856</v>
      </c>
      <c r="K317" s="339">
        <f t="shared" si="133"/>
        <v>6.3792435446086246</v>
      </c>
      <c r="L317" s="340">
        <f t="shared" si="134"/>
        <v>1.4133887145285877</v>
      </c>
      <c r="M317" s="328">
        <f t="shared" si="118"/>
        <v>1.005087681376533</v>
      </c>
      <c r="N317" s="331">
        <f t="shared" si="119"/>
        <v>0.10065986482389201</v>
      </c>
      <c r="O317" s="332">
        <f t="shared" si="120"/>
        <v>1.0016186686859949</v>
      </c>
      <c r="P317" s="333">
        <f t="shared" si="121"/>
        <v>0.15477806576343822</v>
      </c>
      <c r="Q317" s="334">
        <f t="shared" si="122"/>
        <v>4.2776117343633757</v>
      </c>
      <c r="R317" s="335">
        <f t="shared" si="123"/>
        <v>-101.86432571624236</v>
      </c>
      <c r="S317" s="337">
        <f t="shared" si="124"/>
        <v>78.135674283757638</v>
      </c>
      <c r="U317" s="310">
        <f t="shared" si="130"/>
        <v>1000000000</v>
      </c>
      <c r="V317" s="310">
        <f t="shared" si="131"/>
        <v>501177769</v>
      </c>
      <c r="X317" s="336">
        <f t="shared" si="125"/>
        <v>2.8992595696994488</v>
      </c>
      <c r="Y317" s="337">
        <f t="shared" si="126"/>
        <v>-14.785006271710049</v>
      </c>
      <c r="AA317" s="336">
        <f t="shared" si="127"/>
        <v>1.3783521646639276</v>
      </c>
      <c r="AB317" s="337">
        <f t="shared" si="128"/>
        <v>-87.079319444532317</v>
      </c>
      <c r="AD317">
        <f t="shared" si="132"/>
        <v>0</v>
      </c>
      <c r="AE317">
        <f t="shared" si="135"/>
        <v>0</v>
      </c>
    </row>
    <row r="318" spans="1:31" x14ac:dyDescent="0.25">
      <c r="A318" s="338">
        <v>22517.5</v>
      </c>
      <c r="B318" s="355">
        <f t="shared" si="129"/>
        <v>22.517499999999998</v>
      </c>
      <c r="C318" s="328">
        <f t="shared" si="110"/>
        <v>5.1514516693362236</v>
      </c>
      <c r="D318" s="329">
        <f t="shared" si="111"/>
        <v>1.3754359805663927</v>
      </c>
      <c r="E318" s="329">
        <f t="shared" si="112"/>
        <v>1.0000435961850449</v>
      </c>
      <c r="F318" s="330">
        <f t="shared" si="113"/>
        <v>9.337515863202913E-3</v>
      </c>
      <c r="G318" s="329">
        <f t="shared" si="114"/>
        <v>1</v>
      </c>
      <c r="H318" s="330">
        <f t="shared" si="115"/>
        <v>0</v>
      </c>
      <c r="I318" s="328">
        <f t="shared" si="116"/>
        <v>49213.646286103292</v>
      </c>
      <c r="J318" s="331">
        <f t="shared" si="117"/>
        <v>1.5707760072275503</v>
      </c>
      <c r="K318" s="339">
        <f t="shared" si="133"/>
        <v>6.4155187106540419</v>
      </c>
      <c r="L318" s="340">
        <f t="shared" si="134"/>
        <v>1.4142861024870059</v>
      </c>
      <c r="M318" s="328">
        <f t="shared" si="118"/>
        <v>1.0051470169422185</v>
      </c>
      <c r="N318" s="331">
        <f t="shared" si="119"/>
        <v>0.10124264897920983</v>
      </c>
      <c r="O318" s="332">
        <f t="shared" si="120"/>
        <v>1.0016382127042331</v>
      </c>
      <c r="P318" s="333">
        <f t="shared" si="121"/>
        <v>0.15568458642511279</v>
      </c>
      <c r="Q318" s="334">
        <f t="shared" si="122"/>
        <v>4.2271279484544451</v>
      </c>
      <c r="R318" s="335">
        <f t="shared" si="123"/>
        <v>-101.95873385196843</v>
      </c>
      <c r="S318" s="337">
        <f t="shared" si="124"/>
        <v>78.041266148031568</v>
      </c>
      <c r="U318" s="310">
        <f t="shared" si="130"/>
        <v>1000000000</v>
      </c>
      <c r="V318" s="310">
        <f t="shared" si="131"/>
        <v>507037806.25</v>
      </c>
      <c r="X318" s="336">
        <f t="shared" si="125"/>
        <v>2.8975132305491695</v>
      </c>
      <c r="Y318" s="337">
        <f t="shared" si="126"/>
        <v>-14.766987588144419</v>
      </c>
      <c r="AA318" s="336">
        <f t="shared" si="127"/>
        <v>1.3296147179052762</v>
      </c>
      <c r="AB318" s="337">
        <f t="shared" si="128"/>
        <v>-87.191746263824001</v>
      </c>
      <c r="AD318">
        <f t="shared" si="132"/>
        <v>0</v>
      </c>
      <c r="AE318">
        <f t="shared" si="135"/>
        <v>0</v>
      </c>
    </row>
    <row r="319" spans="1:31" x14ac:dyDescent="0.25">
      <c r="A319" s="338">
        <v>22648</v>
      </c>
      <c r="B319" s="355">
        <f t="shared" si="129"/>
        <v>22.648</v>
      </c>
      <c r="C319" s="328">
        <f t="shared" si="110"/>
        <v>5.1801849668766256</v>
      </c>
      <c r="D319" s="329">
        <f t="shared" si="111"/>
        <v>1.3765334800683329</v>
      </c>
      <c r="E319" s="329">
        <f t="shared" si="112"/>
        <v>1.0000441029608849</v>
      </c>
      <c r="F319" s="330">
        <f t="shared" si="113"/>
        <v>9.3916281925091171E-3</v>
      </c>
      <c r="G319" s="329">
        <f t="shared" si="114"/>
        <v>1</v>
      </c>
      <c r="H319" s="330">
        <f t="shared" si="115"/>
        <v>0</v>
      </c>
      <c r="I319" s="328">
        <f t="shared" si="116"/>
        <v>49498.863598757554</v>
      </c>
      <c r="J319" s="331">
        <f t="shared" si="117"/>
        <v>1.5707761243108926</v>
      </c>
      <c r="K319" s="339">
        <f t="shared" si="133"/>
        <v>6.4517989850506785</v>
      </c>
      <c r="L319" s="340">
        <f t="shared" si="134"/>
        <v>1.4151733986251576</v>
      </c>
      <c r="M319" s="328">
        <f t="shared" si="118"/>
        <v>1.0052066938530246</v>
      </c>
      <c r="N319" s="331">
        <f t="shared" si="119"/>
        <v>0.10182536413519262</v>
      </c>
      <c r="O319" s="332">
        <f t="shared" si="120"/>
        <v>1.0016578846969573</v>
      </c>
      <c r="P319" s="333">
        <f t="shared" si="121"/>
        <v>0.15659118053270105</v>
      </c>
      <c r="Q319" s="334">
        <f t="shared" si="122"/>
        <v>4.1769206739612406</v>
      </c>
      <c r="R319" s="335">
        <f t="shared" si="123"/>
        <v>-102.05301505314554</v>
      </c>
      <c r="S319" s="337">
        <f t="shared" si="124"/>
        <v>77.946984946854457</v>
      </c>
      <c r="U319" s="310">
        <f t="shared" si="130"/>
        <v>1000000000</v>
      </c>
      <c r="V319" s="310">
        <f t="shared" si="131"/>
        <v>512931904</v>
      </c>
      <c r="X319" s="336">
        <f t="shared" si="125"/>
        <v>2.8957848932079502</v>
      </c>
      <c r="Y319" s="337">
        <f t="shared" si="126"/>
        <v>-14.74954309170764</v>
      </c>
      <c r="AA319" s="336">
        <f t="shared" si="127"/>
        <v>1.2811357807532908</v>
      </c>
      <c r="AB319" s="337">
        <f t="shared" si="128"/>
        <v>-87.303471961437907</v>
      </c>
      <c r="AD319">
        <f t="shared" si="132"/>
        <v>0</v>
      </c>
      <c r="AE319">
        <f t="shared" si="135"/>
        <v>0</v>
      </c>
    </row>
    <row r="320" spans="1:31" x14ac:dyDescent="0.25">
      <c r="A320" s="338">
        <v>22778.5</v>
      </c>
      <c r="B320" s="355">
        <f t="shared" si="129"/>
        <v>22.778500000000001</v>
      </c>
      <c r="C320" s="328">
        <f t="shared" si="110"/>
        <v>5.2089244351352724</v>
      </c>
      <c r="D320" s="329">
        <f t="shared" si="111"/>
        <v>1.3776188702840793</v>
      </c>
      <c r="E320" s="329">
        <f t="shared" si="112"/>
        <v>1.0000446126649949</v>
      </c>
      <c r="F320" s="330">
        <f t="shared" si="113"/>
        <v>9.4457404668136756E-3</v>
      </c>
      <c r="G320" s="329">
        <f t="shared" si="114"/>
        <v>1</v>
      </c>
      <c r="H320" s="330">
        <f t="shared" si="115"/>
        <v>0</v>
      </c>
      <c r="I320" s="328">
        <f t="shared" si="116"/>
        <v>49784.080911412493</v>
      </c>
      <c r="J320" s="331">
        <f t="shared" si="117"/>
        <v>1.5707762400526739</v>
      </c>
      <c r="K320" s="339">
        <f t="shared" si="133"/>
        <v>6.4880842821034133</v>
      </c>
      <c r="L320" s="340">
        <f t="shared" si="134"/>
        <v>1.4160507708527794</v>
      </c>
      <c r="M320" s="328">
        <f t="shared" si="118"/>
        <v>1.0052667120481604</v>
      </c>
      <c r="N320" s="331">
        <f t="shared" si="119"/>
        <v>0.10240800990843411</v>
      </c>
      <c r="O320" s="332">
        <f t="shared" si="120"/>
        <v>1.0016776849132947</v>
      </c>
      <c r="P320" s="333">
        <f t="shared" si="121"/>
        <v>0.1574978484791775</v>
      </c>
      <c r="Q320" s="334">
        <f t="shared" si="122"/>
        <v>4.1269868009309727</v>
      </c>
      <c r="R320" s="335">
        <f t="shared" si="123"/>
        <v>-102.14717122312432</v>
      </c>
      <c r="S320" s="337">
        <f t="shared" si="124"/>
        <v>77.852828776875683</v>
      </c>
      <c r="U320" s="310">
        <f t="shared" si="130"/>
        <v>1000000000</v>
      </c>
      <c r="V320" s="310">
        <f t="shared" si="131"/>
        <v>518860062.25</v>
      </c>
      <c r="X320" s="336">
        <f t="shared" si="125"/>
        <v>2.8940740901501281</v>
      </c>
      <c r="Y320" s="337">
        <f t="shared" si="126"/>
        <v>-14.732663141257078</v>
      </c>
      <c r="AA320" s="336">
        <f t="shared" si="127"/>
        <v>1.2329127107808469</v>
      </c>
      <c r="AB320" s="337">
        <f t="shared" si="128"/>
        <v>-87.414508081867254</v>
      </c>
      <c r="AD320">
        <f t="shared" si="132"/>
        <v>0</v>
      </c>
      <c r="AE320">
        <f t="shared" si="135"/>
        <v>0</v>
      </c>
    </row>
    <row r="321" spans="1:31" x14ac:dyDescent="0.25">
      <c r="A321" s="338">
        <v>22909</v>
      </c>
      <c r="B321" s="355">
        <f t="shared" si="129"/>
        <v>22.908999999999999</v>
      </c>
      <c r="C321" s="328">
        <f t="shared" si="110"/>
        <v>5.2376699725346523</v>
      </c>
      <c r="D321" s="329">
        <f t="shared" si="111"/>
        <v>1.3786923480106617</v>
      </c>
      <c r="E321" s="329">
        <f t="shared" si="112"/>
        <v>1.000045125297371</v>
      </c>
      <c r="F321" s="330">
        <f t="shared" si="113"/>
        <v>9.4998526857997777E-3</v>
      </c>
      <c r="G321" s="329">
        <f t="shared" si="114"/>
        <v>1</v>
      </c>
      <c r="H321" s="330">
        <f t="shared" si="115"/>
        <v>0</v>
      </c>
      <c r="I321" s="328">
        <f t="shared" si="116"/>
        <v>50069.298224068087</v>
      </c>
      <c r="J321" s="331">
        <f t="shared" si="117"/>
        <v>1.5707763544758202</v>
      </c>
      <c r="K321" s="339">
        <f t="shared" si="133"/>
        <v>6.524374518011772</v>
      </c>
      <c r="L321" s="340">
        <f t="shared" si="134"/>
        <v>1.4169183834056744</v>
      </c>
      <c r="M321" s="328">
        <f t="shared" si="118"/>
        <v>1.0053270714665012</v>
      </c>
      <c r="N321" s="331">
        <f t="shared" si="119"/>
        <v>0.10299058591580774</v>
      </c>
      <c r="O321" s="332">
        <f t="shared" si="120"/>
        <v>1.0016976136037876</v>
      </c>
      <c r="P321" s="333">
        <f t="shared" si="121"/>
        <v>0.15840459065694731</v>
      </c>
      <c r="Q321" s="334">
        <f t="shared" si="122"/>
        <v>4.077323270366275</v>
      </c>
      <c r="R321" s="335">
        <f t="shared" si="123"/>
        <v>-102.24120422938896</v>
      </c>
      <c r="S321" s="337">
        <f t="shared" si="124"/>
        <v>77.758795770611044</v>
      </c>
      <c r="U321" s="310">
        <f t="shared" si="130"/>
        <v>1000000000</v>
      </c>
      <c r="V321" s="310">
        <f t="shared" si="131"/>
        <v>524822281</v>
      </c>
      <c r="X321" s="336">
        <f t="shared" si="125"/>
        <v>2.892380366850106</v>
      </c>
      <c r="Y321" s="337">
        <f t="shared" si="126"/>
        <v>-14.716338306136421</v>
      </c>
      <c r="AA321" s="336">
        <f t="shared" si="127"/>
        <v>1.1849429035161705</v>
      </c>
      <c r="AB321" s="337">
        <f t="shared" si="128"/>
        <v>-87.524865923252534</v>
      </c>
      <c r="AD321">
        <f t="shared" si="132"/>
        <v>0</v>
      </c>
      <c r="AE321">
        <f t="shared" si="135"/>
        <v>0</v>
      </c>
    </row>
    <row r="322" spans="1:31" x14ac:dyDescent="0.25">
      <c r="A322" s="338">
        <v>23042.25</v>
      </c>
      <c r="B322" s="355">
        <f t="shared" si="129"/>
        <v>23.042249999999999</v>
      </c>
      <c r="C322" s="328">
        <f t="shared" si="110"/>
        <v>5.2670274178824279</v>
      </c>
      <c r="D322" s="329">
        <f t="shared" si="111"/>
        <v>1.3797763553523357</v>
      </c>
      <c r="E322" s="329">
        <f t="shared" si="112"/>
        <v>1.0000456517538165</v>
      </c>
      <c r="F322" s="330">
        <f t="shared" si="113"/>
        <v>9.5551051431797679E-3</v>
      </c>
      <c r="G322" s="329">
        <f t="shared" si="114"/>
        <v>1</v>
      </c>
      <c r="H322" s="330">
        <f t="shared" si="115"/>
        <v>0</v>
      </c>
      <c r="I322" s="328">
        <f t="shared" si="116"/>
        <v>50360.525863236253</v>
      </c>
      <c r="J322" s="331">
        <f t="shared" si="117"/>
        <v>1.5707764699728535</v>
      </c>
      <c r="K322" s="339">
        <f t="shared" si="133"/>
        <v>6.561434501607045</v>
      </c>
      <c r="L322" s="340">
        <f t="shared" si="134"/>
        <v>1.4177943755648708</v>
      </c>
      <c r="M322" s="328">
        <f t="shared" si="118"/>
        <v>1.0053890548475062</v>
      </c>
      <c r="N322" s="331">
        <f t="shared" si="119"/>
        <v>0.10358536604467779</v>
      </c>
      <c r="O322" s="332">
        <f t="shared" si="120"/>
        <v>1.0017180950729836</v>
      </c>
      <c r="P322" s="333">
        <f t="shared" si="121"/>
        <v>0.15933051742980989</v>
      </c>
      <c r="Q322" s="334">
        <f t="shared" si="122"/>
        <v>4.0268890116352454</v>
      </c>
      <c r="R322" s="335">
        <f t="shared" si="123"/>
        <v>-102.3370935937518</v>
      </c>
      <c r="S322" s="337">
        <f t="shared" si="124"/>
        <v>77.662906406248197</v>
      </c>
      <c r="U322" s="310">
        <f t="shared" si="130"/>
        <v>1000000000</v>
      </c>
      <c r="V322" s="310">
        <f t="shared" si="131"/>
        <v>530945285.0625</v>
      </c>
      <c r="X322" s="336">
        <f t="shared" si="125"/>
        <v>2.890668116332225</v>
      </c>
      <c r="Y322" s="337">
        <f t="shared" si="126"/>
        <v>-14.700232661124565</v>
      </c>
      <c r="AA322" s="336">
        <f t="shared" si="127"/>
        <v>1.1362208953030237</v>
      </c>
      <c r="AB322" s="337">
        <f t="shared" si="128"/>
        <v>-87.636860932627215</v>
      </c>
      <c r="AD322">
        <f t="shared" si="132"/>
        <v>0</v>
      </c>
      <c r="AE322">
        <f t="shared" si="135"/>
        <v>0</v>
      </c>
    </row>
    <row r="323" spans="1:31" x14ac:dyDescent="0.25">
      <c r="A323" s="338">
        <v>23175.5</v>
      </c>
      <c r="B323" s="355">
        <f t="shared" si="129"/>
        <v>23.1755</v>
      </c>
      <c r="C323" s="328">
        <f t="shared" si="110"/>
        <v>5.2963909837502818</v>
      </c>
      <c r="D323" s="329">
        <f t="shared" si="111"/>
        <v>1.3808483443154604</v>
      </c>
      <c r="E323" s="329">
        <f t="shared" si="112"/>
        <v>1.0000461812632322</v>
      </c>
      <c r="F323" s="330">
        <f t="shared" si="113"/>
        <v>9.6103575422177446E-3</v>
      </c>
      <c r="G323" s="329">
        <f t="shared" si="114"/>
        <v>1</v>
      </c>
      <c r="H323" s="330">
        <f t="shared" si="115"/>
        <v>0</v>
      </c>
      <c r="I323" s="328">
        <f t="shared" si="116"/>
        <v>50651.753502405081</v>
      </c>
      <c r="J323" s="331">
        <f t="shared" si="117"/>
        <v>1.5707765841417618</v>
      </c>
      <c r="K323" s="339">
        <f t="shared" si="133"/>
        <v>6.5984994636399286</v>
      </c>
      <c r="L323" s="340">
        <f t="shared" si="134"/>
        <v>1.4186605271704897</v>
      </c>
      <c r="M323" s="328">
        <f t="shared" si="118"/>
        <v>1.0054513938544374</v>
      </c>
      <c r="N323" s="331">
        <f t="shared" si="119"/>
        <v>0.10418007262996822</v>
      </c>
      <c r="O323" s="332">
        <f t="shared" si="120"/>
        <v>1.0017387110204394</v>
      </c>
      <c r="P323" s="333">
        <f t="shared" si="121"/>
        <v>0.16025652242047911</v>
      </c>
      <c r="Q323" s="334">
        <f t="shared" si="122"/>
        <v>3.9767303210955083</v>
      </c>
      <c r="R323" s="335">
        <f t="shared" si="123"/>
        <v>-102.43285837299534</v>
      </c>
      <c r="S323" s="337">
        <f t="shared" si="124"/>
        <v>77.567141627004659</v>
      </c>
      <c r="U323" s="310">
        <f t="shared" si="130"/>
        <v>1000000000</v>
      </c>
      <c r="V323" s="310">
        <f t="shared" si="131"/>
        <v>537103800.25</v>
      </c>
      <c r="X323" s="336">
        <f t="shared" si="125"/>
        <v>2.8889727548515216</v>
      </c>
      <c r="Y323" s="337">
        <f t="shared" si="126"/>
        <v>-14.684686548468733</v>
      </c>
      <c r="AA323" s="336">
        <f t="shared" si="127"/>
        <v>1.0877575662439898</v>
      </c>
      <c r="AB323" s="337">
        <f t="shared" si="128"/>
        <v>-87.748171824526608</v>
      </c>
      <c r="AD323">
        <f t="shared" si="132"/>
        <v>0</v>
      </c>
      <c r="AE323">
        <f t="shared" si="135"/>
        <v>0</v>
      </c>
    </row>
    <row r="324" spans="1:31" x14ac:dyDescent="0.25">
      <c r="A324" s="338">
        <v>23308.75</v>
      </c>
      <c r="B324" s="355">
        <f t="shared" si="129"/>
        <v>23.30875</v>
      </c>
      <c r="C324" s="328">
        <f t="shared" si="110"/>
        <v>5.3257605689018055</v>
      </c>
      <c r="D324" s="329">
        <f t="shared" si="111"/>
        <v>1.3819085112463014</v>
      </c>
      <c r="E324" s="329">
        <f t="shared" si="112"/>
        <v>1.0000467138256133</v>
      </c>
      <c r="F324" s="330">
        <f t="shared" si="113"/>
        <v>9.665609882576448E-3</v>
      </c>
      <c r="G324" s="329">
        <f t="shared" si="114"/>
        <v>1</v>
      </c>
      <c r="H324" s="330">
        <f t="shared" si="115"/>
        <v>0</v>
      </c>
      <c r="I324" s="328">
        <f t="shared" si="116"/>
        <v>50942.981141574557</v>
      </c>
      <c r="J324" s="331">
        <f t="shared" si="117"/>
        <v>1.570776697005323</v>
      </c>
      <c r="K324" s="339">
        <f t="shared" si="133"/>
        <v>6.6355693206847546</v>
      </c>
      <c r="L324" s="340">
        <f t="shared" si="134"/>
        <v>1.4195170018357799</v>
      </c>
      <c r="M324" s="328">
        <f t="shared" si="118"/>
        <v>1.005514088421152</v>
      </c>
      <c r="N324" s="331">
        <f t="shared" si="119"/>
        <v>0.10477470526473001</v>
      </c>
      <c r="O324" s="332">
        <f t="shared" si="120"/>
        <v>1.001759461717433</v>
      </c>
      <c r="P324" s="333">
        <f t="shared" si="121"/>
        <v>0.16118260604483467</v>
      </c>
      <c r="Q324" s="334">
        <f t="shared" si="122"/>
        <v>3.9268440996701335</v>
      </c>
      <c r="R324" s="335">
        <f t="shared" si="123"/>
        <v>-102.52850044441945</v>
      </c>
      <c r="S324" s="337">
        <f t="shared" si="124"/>
        <v>77.47149955558055</v>
      </c>
      <c r="U324" s="310">
        <f t="shared" si="130"/>
        <v>1000000000</v>
      </c>
      <c r="V324" s="310">
        <f t="shared" si="131"/>
        <v>543297826.5625</v>
      </c>
      <c r="X324" s="336">
        <f t="shared" si="125"/>
        <v>2.8872938377756641</v>
      </c>
      <c r="Y324" s="337">
        <f t="shared" si="126"/>
        <v>-14.669690571808909</v>
      </c>
      <c r="AA324" s="336">
        <f t="shared" si="127"/>
        <v>1.0395502618944688</v>
      </c>
      <c r="AB324" s="337">
        <f t="shared" si="128"/>
        <v>-87.858809872610536</v>
      </c>
      <c r="AD324">
        <f t="shared" si="132"/>
        <v>0</v>
      </c>
      <c r="AE324">
        <f t="shared" si="135"/>
        <v>0</v>
      </c>
    </row>
    <row r="325" spans="1:31" x14ac:dyDescent="0.25">
      <c r="A325" s="338">
        <v>23442</v>
      </c>
      <c r="B325" s="355">
        <f t="shared" si="129"/>
        <v>23.442</v>
      </c>
      <c r="C325" s="328">
        <f t="shared" si="110"/>
        <v>5.3551360743009351</v>
      </c>
      <c r="D325" s="329">
        <f t="shared" si="111"/>
        <v>1.3829570482905367</v>
      </c>
      <c r="E325" s="329">
        <f t="shared" si="112"/>
        <v>1.0000472494409547</v>
      </c>
      <c r="F325" s="330">
        <f t="shared" si="113"/>
        <v>9.7208621639186202E-3</v>
      </c>
      <c r="G325" s="329">
        <f t="shared" si="114"/>
        <v>1</v>
      </c>
      <c r="H325" s="330">
        <f t="shared" si="115"/>
        <v>0</v>
      </c>
      <c r="I325" s="328">
        <f t="shared" si="116"/>
        <v>51234.208780744681</v>
      </c>
      <c r="J325" s="331">
        <f t="shared" si="117"/>
        <v>1.5707768085857965</v>
      </c>
      <c r="K325" s="339">
        <f t="shared" si="133"/>
        <v>6.6726439911588438</v>
      </c>
      <c r="L325" s="340">
        <f t="shared" si="134"/>
        <v>1.4203639595952162</v>
      </c>
      <c r="M325" s="328">
        <f t="shared" si="118"/>
        <v>1.0055771384811454</v>
      </c>
      <c r="N325" s="331">
        <f t="shared" si="119"/>
        <v>0.10536926354232452</v>
      </c>
      <c r="O325" s="332">
        <f t="shared" si="120"/>
        <v>1.0017803474367786</v>
      </c>
      <c r="P325" s="333">
        <f t="shared" si="121"/>
        <v>0.16210876871812266</v>
      </c>
      <c r="Q325" s="334">
        <f t="shared" si="122"/>
        <v>3.8772272990251593</v>
      </c>
      <c r="R325" s="335">
        <f t="shared" si="123"/>
        <v>-102.62402164964836</v>
      </c>
      <c r="S325" s="337">
        <f t="shared" si="124"/>
        <v>77.375978350351645</v>
      </c>
      <c r="U325" s="310">
        <f t="shared" si="130"/>
        <v>1000000000</v>
      </c>
      <c r="V325" s="310">
        <f t="shared" si="131"/>
        <v>549527364</v>
      </c>
      <c r="X325" s="336">
        <f t="shared" si="125"/>
        <v>2.8856309328270822</v>
      </c>
      <c r="Y325" s="337">
        <f t="shared" si="126"/>
        <v>-14.655235539821767</v>
      </c>
      <c r="AA325" s="336">
        <f t="shared" si="127"/>
        <v>0.99159636619807656</v>
      </c>
      <c r="AB325" s="337">
        <f t="shared" si="128"/>
        <v>-87.968786109826581</v>
      </c>
      <c r="AD325">
        <f t="shared" si="132"/>
        <v>0</v>
      </c>
      <c r="AE325">
        <f t="shared" si="135"/>
        <v>0</v>
      </c>
    </row>
    <row r="326" spans="1:31" x14ac:dyDescent="0.25">
      <c r="A326" s="338">
        <v>23578.5</v>
      </c>
      <c r="B326" s="355">
        <f t="shared" si="129"/>
        <v>23.578499999999998</v>
      </c>
      <c r="C326" s="328">
        <f t="shared" si="110"/>
        <v>5.3852340927726372</v>
      </c>
      <c r="D326" s="329">
        <f t="shared" si="111"/>
        <v>1.384019297130697</v>
      </c>
      <c r="E326" s="329">
        <f t="shared" si="112"/>
        <v>1.000047801285642</v>
      </c>
      <c r="F326" s="330">
        <f t="shared" si="113"/>
        <v>9.77746200033313E-3</v>
      </c>
      <c r="G326" s="329">
        <f t="shared" si="114"/>
        <v>1</v>
      </c>
      <c r="H326" s="330">
        <f t="shared" si="115"/>
        <v>0</v>
      </c>
      <c r="I326" s="328">
        <f t="shared" si="116"/>
        <v>51532.539533065945</v>
      </c>
      <c r="J326" s="331">
        <f t="shared" si="117"/>
        <v>1.5707769215800726</v>
      </c>
      <c r="K326" s="339">
        <f t="shared" si="133"/>
        <v>6.7106278294561079</v>
      </c>
      <c r="L326" s="340">
        <f t="shared" si="134"/>
        <v>1.4212218705692548</v>
      </c>
      <c r="M326" s="328">
        <f t="shared" si="118"/>
        <v>1.0056420948824529</v>
      </c>
      <c r="N326" s="331">
        <f t="shared" si="119"/>
        <v>0.10597824571691894</v>
      </c>
      <c r="O326" s="332">
        <f t="shared" si="120"/>
        <v>1.0018018828530579</v>
      </c>
      <c r="P326" s="333">
        <f t="shared" si="121"/>
        <v>0.16305760312277642</v>
      </c>
      <c r="Q326" s="334">
        <f t="shared" si="122"/>
        <v>3.8266765560314706</v>
      </c>
      <c r="R326" s="335">
        <f t="shared" si="123"/>
        <v>-102.72174920467738</v>
      </c>
      <c r="S326" s="337">
        <f t="shared" si="124"/>
        <v>77.27825079532262</v>
      </c>
      <c r="U326" s="310">
        <f t="shared" si="130"/>
        <v>1000000000</v>
      </c>
      <c r="V326" s="310">
        <f t="shared" si="131"/>
        <v>555945662.25</v>
      </c>
      <c r="X326" s="336">
        <f t="shared" si="125"/>
        <v>2.8839436326190087</v>
      </c>
      <c r="Y326" s="337">
        <f t="shared" si="126"/>
        <v>-14.640979444293208</v>
      </c>
      <c r="AA326" s="336">
        <f t="shared" si="127"/>
        <v>0.94273292341246251</v>
      </c>
      <c r="AB326" s="337">
        <f t="shared" si="128"/>
        <v>-88.080769760384186</v>
      </c>
      <c r="AD326">
        <f t="shared" si="132"/>
        <v>0</v>
      </c>
      <c r="AE326">
        <f t="shared" si="135"/>
        <v>0</v>
      </c>
    </row>
    <row r="327" spans="1:31" x14ac:dyDescent="0.25">
      <c r="A327" s="338">
        <v>23715</v>
      </c>
      <c r="B327" s="355">
        <f t="shared" si="129"/>
        <v>23.715</v>
      </c>
      <c r="C327" s="328">
        <f t="shared" si="110"/>
        <v>5.4153381202449822</v>
      </c>
      <c r="D327" s="329">
        <f t="shared" si="111"/>
        <v>1.3850697369986911</v>
      </c>
      <c r="E327" s="329">
        <f t="shared" si="112"/>
        <v>1.0000483563340206</v>
      </c>
      <c r="F327" s="330">
        <f t="shared" si="113"/>
        <v>9.8340617741007035E-3</v>
      </c>
      <c r="G327" s="329">
        <f t="shared" si="114"/>
        <v>1</v>
      </c>
      <c r="H327" s="330">
        <f t="shared" si="115"/>
        <v>0</v>
      </c>
      <c r="I327" s="328">
        <f t="shared" si="116"/>
        <v>51830.870285387864</v>
      </c>
      <c r="J327" s="331">
        <f t="shared" si="117"/>
        <v>1.5707770332735924</v>
      </c>
      <c r="K327" s="339">
        <f t="shared" si="133"/>
        <v>6.7486165512504472</v>
      </c>
      <c r="L327" s="340">
        <f t="shared" si="134"/>
        <v>1.4220701236069955</v>
      </c>
      <c r="M327" s="328">
        <f t="shared" si="118"/>
        <v>1.0057074241872157</v>
      </c>
      <c r="N327" s="331">
        <f t="shared" si="119"/>
        <v>0.10658714900009771</v>
      </c>
      <c r="O327" s="332">
        <f t="shared" si="120"/>
        <v>1.0018235605429544</v>
      </c>
      <c r="P327" s="333">
        <f t="shared" si="121"/>
        <v>0.16400652135950519</v>
      </c>
      <c r="Q327" s="334">
        <f t="shared" si="122"/>
        <v>3.7764022193787934</v>
      </c>
      <c r="R327" s="335">
        <f t="shared" si="123"/>
        <v>-102.81935372656993</v>
      </c>
      <c r="S327" s="337">
        <f t="shared" si="124"/>
        <v>77.180646273430071</v>
      </c>
      <c r="U327" s="310">
        <f t="shared" si="130"/>
        <v>1000000000</v>
      </c>
      <c r="V327" s="310">
        <f t="shared" si="131"/>
        <v>562401225</v>
      </c>
      <c r="X327" s="336">
        <f t="shared" si="125"/>
        <v>2.8822722548374271</v>
      </c>
      <c r="Y327" s="337">
        <f t="shared" si="126"/>
        <v>-14.62727211308094</v>
      </c>
      <c r="AA327" s="336">
        <f t="shared" si="127"/>
        <v>0.89412996454136806</v>
      </c>
      <c r="AB327" s="337">
        <f t="shared" si="128"/>
        <v>-88.192081613488995</v>
      </c>
      <c r="AD327">
        <f t="shared" si="132"/>
        <v>0</v>
      </c>
      <c r="AE327">
        <f t="shared" si="135"/>
        <v>0</v>
      </c>
    </row>
    <row r="328" spans="1:31" x14ac:dyDescent="0.25">
      <c r="A328" s="338">
        <v>23851.5</v>
      </c>
      <c r="B328" s="355">
        <f t="shared" si="129"/>
        <v>23.851500000000001</v>
      </c>
      <c r="C328" s="328">
        <f t="shared" si="110"/>
        <v>5.4454480570594397</v>
      </c>
      <c r="D328" s="329">
        <f t="shared" si="111"/>
        <v>1.3861085614457109</v>
      </c>
      <c r="E328" s="329">
        <f t="shared" si="112"/>
        <v>1.0000489145860847</v>
      </c>
      <c r="F328" s="330">
        <f t="shared" si="113"/>
        <v>9.8906614848588079E-3</v>
      </c>
      <c r="G328" s="329">
        <f t="shared" si="114"/>
        <v>1</v>
      </c>
      <c r="H328" s="330">
        <f t="shared" si="115"/>
        <v>0</v>
      </c>
      <c r="I328" s="328">
        <f t="shared" si="116"/>
        <v>52129.201037710416</v>
      </c>
      <c r="J328" s="331">
        <f t="shared" si="117"/>
        <v>1.5707771436886884</v>
      </c>
      <c r="K328" s="339">
        <f t="shared" si="133"/>
        <v>6.7866100745342886</v>
      </c>
      <c r="L328" s="340">
        <f t="shared" si="134"/>
        <v>1.4229088796816438</v>
      </c>
      <c r="M328" s="328">
        <f t="shared" si="118"/>
        <v>1.0057731263227689</v>
      </c>
      <c r="N328" s="331">
        <f t="shared" si="119"/>
        <v>0.10719597295576019</v>
      </c>
      <c r="O328" s="332">
        <f t="shared" si="120"/>
        <v>1.0018453808047429</v>
      </c>
      <c r="P328" s="333">
        <f t="shared" si="121"/>
        <v>0.16495552387259335</v>
      </c>
      <c r="Q328" s="334">
        <f t="shared" si="122"/>
        <v>3.7264011707409277</v>
      </c>
      <c r="R328" s="335">
        <f t="shared" si="123"/>
        <v>-102.91683708367634</v>
      </c>
      <c r="S328" s="337">
        <f t="shared" si="124"/>
        <v>77.083162916323658</v>
      </c>
      <c r="U328" s="310">
        <f t="shared" si="130"/>
        <v>1000000000</v>
      </c>
      <c r="V328" s="310">
        <f t="shared" si="131"/>
        <v>568894052.25</v>
      </c>
      <c r="X328" s="336">
        <f t="shared" si="125"/>
        <v>2.8806163725122942</v>
      </c>
      <c r="Y328" s="337">
        <f t="shared" si="126"/>
        <v>-14.614104299392487</v>
      </c>
      <c r="AA328" s="336">
        <f t="shared" si="127"/>
        <v>0.84578479822863284</v>
      </c>
      <c r="AB328" s="337">
        <f t="shared" si="128"/>
        <v>-88.302732784283833</v>
      </c>
      <c r="AD328">
        <f t="shared" si="132"/>
        <v>0</v>
      </c>
      <c r="AE328">
        <f t="shared" si="135"/>
        <v>0</v>
      </c>
    </row>
    <row r="329" spans="1:31" x14ac:dyDescent="0.25">
      <c r="A329" s="338">
        <v>23988</v>
      </c>
      <c r="B329" s="355">
        <f t="shared" si="129"/>
        <v>23.988</v>
      </c>
      <c r="C329" s="328">
        <f t="shared" si="110"/>
        <v>5.4755638057302027</v>
      </c>
      <c r="D329" s="329">
        <f t="shared" si="111"/>
        <v>1.3871359598663386</v>
      </c>
      <c r="E329" s="329">
        <f t="shared" si="112"/>
        <v>1.0000494760418293</v>
      </c>
      <c r="F329" s="330">
        <f t="shared" si="113"/>
        <v>9.9472611322449066E-3</v>
      </c>
      <c r="G329" s="329">
        <f t="shared" si="114"/>
        <v>1</v>
      </c>
      <c r="H329" s="330">
        <f t="shared" si="115"/>
        <v>0</v>
      </c>
      <c r="I329" s="328">
        <f t="shared" si="116"/>
        <v>52427.531790033609</v>
      </c>
      <c r="J329" s="331">
        <f t="shared" si="117"/>
        <v>1.5707772528471842</v>
      </c>
      <c r="K329" s="339">
        <f t="shared" si="133"/>
        <v>6.8246083191159963</v>
      </c>
      <c r="L329" s="340">
        <f t="shared" si="134"/>
        <v>1.4237382962354523</v>
      </c>
      <c r="M329" s="328">
        <f t="shared" si="118"/>
        <v>1.0058392012160517</v>
      </c>
      <c r="N329" s="331">
        <f t="shared" si="119"/>
        <v>0.10780471714815458</v>
      </c>
      <c r="O329" s="332">
        <f t="shared" si="120"/>
        <v>1.0018673439383863</v>
      </c>
      <c r="P329" s="333">
        <f t="shared" si="121"/>
        <v>0.16590461110561106</v>
      </c>
      <c r="Q329" s="334">
        <f t="shared" si="122"/>
        <v>3.6766703429788326</v>
      </c>
      <c r="R329" s="335">
        <f t="shared" si="123"/>
        <v>-103.01420110844934</v>
      </c>
      <c r="S329" s="337">
        <f t="shared" si="124"/>
        <v>76.985798891550658</v>
      </c>
      <c r="U329" s="310">
        <f t="shared" si="130"/>
        <v>1000000000</v>
      </c>
      <c r="V329" s="310">
        <f t="shared" si="131"/>
        <v>575424144</v>
      </c>
      <c r="X329" s="336">
        <f t="shared" si="125"/>
        <v>2.8789755705674054</v>
      </c>
      <c r="Y329" s="337">
        <f t="shared" si="126"/>
        <v>-14.601466958734946</v>
      </c>
      <c r="AA329" s="336">
        <f t="shared" si="127"/>
        <v>0.79769477241143083</v>
      </c>
      <c r="AB329" s="337">
        <f t="shared" si="128"/>
        <v>-88.412734149714424</v>
      </c>
      <c r="AD329">
        <f t="shared" si="132"/>
        <v>0</v>
      </c>
      <c r="AE329">
        <f t="shared" si="135"/>
        <v>0</v>
      </c>
    </row>
    <row r="330" spans="1:31" x14ac:dyDescent="0.25">
      <c r="A330" s="338">
        <v>24127.75</v>
      </c>
      <c r="B330" s="355">
        <f t="shared" si="129"/>
        <v>24.127749999999999</v>
      </c>
      <c r="C330" s="328">
        <f t="shared" si="110"/>
        <v>5.5064025175300237</v>
      </c>
      <c r="D330" s="329">
        <f t="shared" si="111"/>
        <v>1.3881761763357097</v>
      </c>
      <c r="E330" s="329">
        <f t="shared" si="112"/>
        <v>1.0000500541845678</v>
      </c>
      <c r="F330" s="330">
        <f t="shared" si="113"/>
        <v>1.0005208324251245E-2</v>
      </c>
      <c r="G330" s="329">
        <f t="shared" si="114"/>
        <v>1</v>
      </c>
      <c r="H330" s="330">
        <f t="shared" si="115"/>
        <v>0</v>
      </c>
      <c r="I330" s="328">
        <f t="shared" si="116"/>
        <v>52732.965655507986</v>
      </c>
      <c r="J330" s="331">
        <f t="shared" si="117"/>
        <v>1.5707773633251272</v>
      </c>
      <c r="K330" s="339">
        <f t="shared" si="133"/>
        <v>6.8635160931780348</v>
      </c>
      <c r="L330" s="340">
        <f t="shared" si="134"/>
        <v>1.4245779458761716</v>
      </c>
      <c r="M330" s="328">
        <f t="shared" si="118"/>
        <v>1.0059072354205352</v>
      </c>
      <c r="N330" s="331">
        <f t="shared" si="119"/>
        <v>0.10842787216067441</v>
      </c>
      <c r="O330" s="332">
        <f t="shared" si="120"/>
        <v>1.0018899783337003</v>
      </c>
      <c r="P330" s="333">
        <f t="shared" si="121"/>
        <v>0.16687638388578568</v>
      </c>
      <c r="Q330" s="334">
        <f t="shared" si="122"/>
        <v>3.6260322459351819</v>
      </c>
      <c r="R330" s="335">
        <f t="shared" si="123"/>
        <v>-103.113761572888</v>
      </c>
      <c r="S330" s="337">
        <f t="shared" si="124"/>
        <v>76.886238427112005</v>
      </c>
      <c r="U330" s="310">
        <f t="shared" si="130"/>
        <v>1000000000</v>
      </c>
      <c r="V330" s="310">
        <f t="shared" si="131"/>
        <v>582148320.0625</v>
      </c>
      <c r="X330" s="336">
        <f t="shared" si="125"/>
        <v>2.8773109037980382</v>
      </c>
      <c r="Y330" s="337">
        <f t="shared" si="126"/>
        <v>-14.589069060157557</v>
      </c>
      <c r="AA330" s="336">
        <f t="shared" si="127"/>
        <v>0.74872134213714425</v>
      </c>
      <c r="AB330" s="337">
        <f t="shared" si="128"/>
        <v>-88.524692512730411</v>
      </c>
      <c r="AD330">
        <f t="shared" si="132"/>
        <v>0</v>
      </c>
      <c r="AE330">
        <f t="shared" si="135"/>
        <v>0</v>
      </c>
    </row>
    <row r="331" spans="1:31" x14ac:dyDescent="0.25">
      <c r="A331" s="338">
        <v>24267.5</v>
      </c>
      <c r="B331" s="355">
        <f t="shared" si="129"/>
        <v>24.267499999999998</v>
      </c>
      <c r="C331" s="328">
        <f t="shared" si="110"/>
        <v>5.5372471211643024</v>
      </c>
      <c r="D331" s="329">
        <f t="shared" si="111"/>
        <v>1.3892048050933614</v>
      </c>
      <c r="E331" s="329">
        <f t="shared" si="112"/>
        <v>1.0000506356853476</v>
      </c>
      <c r="F331" s="330">
        <f t="shared" si="113"/>
        <v>1.00631554490629E-2</v>
      </c>
      <c r="G331" s="329">
        <f t="shared" si="114"/>
        <v>1</v>
      </c>
      <c r="H331" s="330">
        <f t="shared" si="115"/>
        <v>0</v>
      </c>
      <c r="I331" s="328">
        <f t="shared" si="116"/>
        <v>53038.399520982988</v>
      </c>
      <c r="J331" s="331">
        <f t="shared" si="117"/>
        <v>1.5707774725306449</v>
      </c>
      <c r="K331" s="339">
        <f t="shared" si="133"/>
        <v>6.902428651544426</v>
      </c>
      <c r="L331" s="340">
        <f t="shared" si="134"/>
        <v>1.4254081290185667</v>
      </c>
      <c r="M331" s="328">
        <f t="shared" si="118"/>
        <v>1.0059756601881755</v>
      </c>
      <c r="N331" s="331">
        <f t="shared" si="119"/>
        <v>0.10905094264321319</v>
      </c>
      <c r="O331" s="332">
        <f t="shared" si="120"/>
        <v>1.0019127631270226</v>
      </c>
      <c r="P331" s="333">
        <f t="shared" si="121"/>
        <v>0.16784824640684542</v>
      </c>
      <c r="Q331" s="334">
        <f t="shared" si="122"/>
        <v>3.5756710438414654</v>
      </c>
      <c r="R331" s="335">
        <f t="shared" si="123"/>
        <v>-103.21320073025964</v>
      </c>
      <c r="S331" s="337">
        <f t="shared" si="124"/>
        <v>76.786799269740357</v>
      </c>
      <c r="U331" s="310">
        <f t="shared" si="130"/>
        <v>1000000000</v>
      </c>
      <c r="V331" s="310">
        <f t="shared" si="131"/>
        <v>588911556.25</v>
      </c>
      <c r="X331" s="336">
        <f t="shared" si="125"/>
        <v>2.8756612000783264</v>
      </c>
      <c r="Y331" s="337">
        <f t="shared" si="126"/>
        <v>-14.577208635865771</v>
      </c>
      <c r="AA331" s="336">
        <f t="shared" si="127"/>
        <v>0.70000984376313646</v>
      </c>
      <c r="AB331" s="337">
        <f t="shared" si="128"/>
        <v>-88.63599209439387</v>
      </c>
      <c r="AD331">
        <f t="shared" si="132"/>
        <v>0</v>
      </c>
      <c r="AE331">
        <f t="shared" si="135"/>
        <v>0</v>
      </c>
    </row>
    <row r="332" spans="1:31" x14ac:dyDescent="0.25">
      <c r="A332" s="338">
        <v>24407.25</v>
      </c>
      <c r="B332" s="355">
        <f t="shared" si="129"/>
        <v>24.407250000000001</v>
      </c>
      <c r="C332" s="328">
        <f t="shared" si="110"/>
        <v>5.5680975187191857</v>
      </c>
      <c r="D332" s="329">
        <f t="shared" si="111"/>
        <v>1.390222036551626</v>
      </c>
      <c r="E332" s="329">
        <f t="shared" si="112"/>
        <v>1.0000512205441627</v>
      </c>
      <c r="F332" s="330">
        <f t="shared" si="113"/>
        <v>1.0121102506290834E-2</v>
      </c>
      <c r="G332" s="329">
        <f t="shared" si="114"/>
        <v>1</v>
      </c>
      <c r="H332" s="330">
        <f t="shared" si="115"/>
        <v>0</v>
      </c>
      <c r="I332" s="328">
        <f t="shared" si="116"/>
        <v>53343.833386458624</v>
      </c>
      <c r="J332" s="331">
        <f t="shared" si="117"/>
        <v>1.5707775804855939</v>
      </c>
      <c r="K332" s="339">
        <f t="shared" si="133"/>
        <v>6.9413459137540343</v>
      </c>
      <c r="L332" s="340">
        <f t="shared" si="134"/>
        <v>1.4262290037328249</v>
      </c>
      <c r="M332" s="328">
        <f t="shared" si="118"/>
        <v>1.0060444754392817</v>
      </c>
      <c r="N332" s="331">
        <f t="shared" si="119"/>
        <v>0.1096739281292952</v>
      </c>
      <c r="O332" s="332">
        <f t="shared" si="120"/>
        <v>1.0019356986457524</v>
      </c>
      <c r="P332" s="333">
        <f t="shared" si="121"/>
        <v>0.16882019914244978</v>
      </c>
      <c r="Q332" s="334">
        <f t="shared" si="122"/>
        <v>3.5255836048147366</v>
      </c>
      <c r="R332" s="335">
        <f t="shared" si="123"/>
        <v>-103.31252043531893</v>
      </c>
      <c r="S332" s="337">
        <f t="shared" si="124"/>
        <v>76.68747956468107</v>
      </c>
      <c r="U332" s="310">
        <f t="shared" si="130"/>
        <v>1000000000</v>
      </c>
      <c r="V332" s="310">
        <f t="shared" si="131"/>
        <v>595713852.5625</v>
      </c>
      <c r="X332" s="336">
        <f t="shared" si="125"/>
        <v>2.8740260502037032</v>
      </c>
      <c r="Y332" s="337">
        <f t="shared" si="126"/>
        <v>-14.565876603630178</v>
      </c>
      <c r="AA332" s="336">
        <f t="shared" si="127"/>
        <v>0.65155755461103082</v>
      </c>
      <c r="AB332" s="337">
        <f t="shared" si="128"/>
        <v>-88.746643831688772</v>
      </c>
      <c r="AD332">
        <f t="shared" si="132"/>
        <v>0</v>
      </c>
      <c r="AE332">
        <f t="shared" si="135"/>
        <v>0</v>
      </c>
    </row>
    <row r="333" spans="1:31" x14ac:dyDescent="0.25">
      <c r="A333" s="338">
        <v>24547</v>
      </c>
      <c r="B333" s="355">
        <f t="shared" si="129"/>
        <v>24.547000000000001</v>
      </c>
      <c r="C333" s="328">
        <f t="shared" ref="C333:C396" si="136">SQRT(1+(A333/pole1)^2)</f>
        <v>5.59895361442066</v>
      </c>
      <c r="D333" s="329">
        <f t="shared" ref="D333:D396" si="137">ATAN(A333/pole1)</f>
        <v>1.391228057020885</v>
      </c>
      <c r="E333" s="329">
        <f t="shared" ref="E333:E396" si="138">SQRT(1+(A333/Zero1)^2)</f>
        <v>1.0000518087610073</v>
      </c>
      <c r="F333" s="330">
        <f t="shared" ref="F333:F396" si="139">ATAN(A333/Zero1)</f>
        <v>1.0179049495546003E-2</v>
      </c>
      <c r="G333" s="329">
        <f t="shared" ref="G333:G396" si="140">IF(VIN_nom&gt;Vout, 1, SQRT(1+(A333/z_RHP)^2))</f>
        <v>1</v>
      </c>
      <c r="H333" s="330">
        <f t="shared" ref="H333:H396" si="141">IF(VIN_nom&gt;Vout, 0, -ATAN(A333/z_RHP))</f>
        <v>0</v>
      </c>
      <c r="I333" s="328">
        <f t="shared" ref="I333:I396" si="142">SQRT(1+(A333/Pole2)^2)</f>
        <v>53649.267251934878</v>
      </c>
      <c r="J333" s="331">
        <f t="shared" ref="J333:J396" si="143">ATAN(A333/Pole2)</f>
        <v>1.5707776872113333</v>
      </c>
      <c r="K333" s="339">
        <f t="shared" si="133"/>
        <v>6.9802678011304957</v>
      </c>
      <c r="L333" s="340">
        <f t="shared" si="134"/>
        <v>1.4270407246143637</v>
      </c>
      <c r="M333" s="328">
        <f t="shared" ref="M333:M396" si="144">SQRT(1+(A333/pole4)^2)</f>
        <v>1.0061136810937303</v>
      </c>
      <c r="N333" s="331">
        <f t="shared" ref="N333:N396" si="145">ATAN(A333/pole4)</f>
        <v>0.11029682815283587</v>
      </c>
      <c r="O333" s="332">
        <f t="shared" ref="O333:O396" si="146">SQRT((1-(V333/pterm2))^2+(A333/pterm1)^2)</f>
        <v>1.0019587852191407</v>
      </c>
      <c r="P333" s="333">
        <f t="shared" ref="P333:P396" si="147">IF((ATAN((A333/pterm1)/(1-A333^2/pterm2))&gt;0),ATAN((A333/pterm1)/(1-A333^2/pterm2)),PI()+ATAN((A333/pterm1)/(1-A333^2/pterm2)))</f>
        <v>0.16979224256545467</v>
      </c>
      <c r="Q333" s="334">
        <f t="shared" ref="Q333:Q396" si="148">20*LOG10(((E333*K333*G333)/(C333*I333*O333*M333))*Adc)</f>
        <v>3.475766848480065</v>
      </c>
      <c r="R333" s="335">
        <f t="shared" ref="R333:R396" si="149">((F333+L333+H333)-(D333+J333+P333+N333))*radconv</f>
        <v>-103.41172250683354</v>
      </c>
      <c r="S333" s="337">
        <f t="shared" ref="S333:S396" si="150">IF(R333&gt;0,R333,R333+180)</f>
        <v>76.588277493166458</v>
      </c>
      <c r="U333" s="310">
        <f t="shared" si="130"/>
        <v>1000000000</v>
      </c>
      <c r="V333" s="310">
        <f t="shared" si="131"/>
        <v>602555209</v>
      </c>
      <c r="X333" s="336">
        <f t="shared" ref="X333:X396" si="151">20*LOG10((K333/(I333*M333))*AEA*Afb)</f>
        <v>2.8724050563908596</v>
      </c>
      <c r="Y333" s="337">
        <f t="shared" ref="Y333:Y396" si="152">(L333-(J333+N333))*radconv</f>
        <v>-14.555064080304925</v>
      </c>
      <c r="AA333" s="336">
        <f t="shared" ref="AA333:AA396" si="153">20*LOG10((E333*G333/(C333*O333))*Am)</f>
        <v>0.60336179208920859</v>
      </c>
      <c r="AB333" s="337">
        <f t="shared" ref="AB333:AB396" si="154">(F333+H333-(D333+P333))*radconv</f>
        <v>-88.856658426528611</v>
      </c>
      <c r="AD333">
        <f t="shared" si="132"/>
        <v>0</v>
      </c>
      <c r="AE333">
        <f t="shared" si="135"/>
        <v>0</v>
      </c>
    </row>
    <row r="334" spans="1:31" x14ac:dyDescent="0.25">
      <c r="A334" s="338">
        <v>24690</v>
      </c>
      <c r="B334" s="355">
        <f t="shared" ref="B334:B397" si="155">A334/1000</f>
        <v>24.69</v>
      </c>
      <c r="C334" s="328">
        <f t="shared" si="136"/>
        <v>5.6305330944781673</v>
      </c>
      <c r="D334" s="329">
        <f t="shared" si="137"/>
        <v>1.3922460583788445</v>
      </c>
      <c r="E334" s="329">
        <f t="shared" si="138"/>
        <v>1.0000524141333853</v>
      </c>
      <c r="F334" s="330">
        <f t="shared" si="139"/>
        <v>1.0238344018434339E-2</v>
      </c>
      <c r="G334" s="329">
        <f t="shared" si="140"/>
        <v>1</v>
      </c>
      <c r="H334" s="330">
        <f t="shared" si="141"/>
        <v>0</v>
      </c>
      <c r="I334" s="328">
        <f t="shared" si="142"/>
        <v>53961.804230562375</v>
      </c>
      <c r="J334" s="331">
        <f t="shared" si="143"/>
        <v>1.570777795168419</v>
      </c>
      <c r="K334" s="339">
        <f t="shared" si="133"/>
        <v>7.0200995561866675</v>
      </c>
      <c r="L334" s="340">
        <f t="shared" si="134"/>
        <v>1.4278620048220008</v>
      </c>
      <c r="M334" s="328">
        <f t="shared" si="144"/>
        <v>1.0061849002256007</v>
      </c>
      <c r="N334" s="331">
        <f t="shared" si="145"/>
        <v>0.11093412527073547</v>
      </c>
      <c r="O334" s="332">
        <f t="shared" si="146"/>
        <v>1.0019825653998495</v>
      </c>
      <c r="P334" s="333">
        <f t="shared" si="147"/>
        <v>0.17078698601732265</v>
      </c>
      <c r="Q334" s="334">
        <f t="shared" si="148"/>
        <v>3.4250686007225264</v>
      </c>
      <c r="R334" s="335">
        <f t="shared" si="149"/>
        <v>-103.51311169482128</v>
      </c>
      <c r="S334" s="337">
        <f t="shared" si="150"/>
        <v>76.486888305178724</v>
      </c>
      <c r="U334" s="310">
        <f t="shared" ref="U334:U397" si="156">IF(Q334&lt;0,A334,1000000000)</f>
        <v>1000000000</v>
      </c>
      <c r="V334" s="310">
        <f t="shared" ref="V334:V397" si="157">A334^2</f>
        <v>609596100</v>
      </c>
      <c r="X334" s="336">
        <f t="shared" si="151"/>
        <v>2.8707606153803171</v>
      </c>
      <c r="Y334" s="337">
        <f t="shared" si="152"/>
        <v>-14.544528811234533</v>
      </c>
      <c r="AA334" s="336">
        <f t="shared" si="153"/>
        <v>0.5543079853422076</v>
      </c>
      <c r="AB334" s="337">
        <f t="shared" si="154"/>
        <v>-88.96858288358672</v>
      </c>
      <c r="AD334">
        <f t="shared" ref="AD334:AD397" si="158">SUM((Q335&lt;0)*(Q334&gt;0))*A334</f>
        <v>0</v>
      </c>
      <c r="AE334">
        <f t="shared" si="135"/>
        <v>0</v>
      </c>
    </row>
    <row r="335" spans="1:31" x14ac:dyDescent="0.25">
      <c r="A335" s="338">
        <v>24833</v>
      </c>
      <c r="B335" s="355">
        <f t="shared" si="155"/>
        <v>24.832999999999998</v>
      </c>
      <c r="C335" s="328">
        <f t="shared" si="136"/>
        <v>5.6621183445161174</v>
      </c>
      <c r="D335" s="329">
        <f t="shared" si="137"/>
        <v>1.3932527032445974</v>
      </c>
      <c r="E335" s="329">
        <f t="shared" si="138"/>
        <v>1.0000530230217839</v>
      </c>
      <c r="F335" s="330">
        <f t="shared" si="139"/>
        <v>1.0297638469327481E-2</v>
      </c>
      <c r="G335" s="329">
        <f t="shared" si="140"/>
        <v>1</v>
      </c>
      <c r="H335" s="330">
        <f t="shared" si="141"/>
        <v>0</v>
      </c>
      <c r="I335" s="328">
        <f t="shared" si="142"/>
        <v>54274.341209190476</v>
      </c>
      <c r="J335" s="331">
        <f t="shared" si="143"/>
        <v>1.5707779018821704</v>
      </c>
      <c r="K335" s="339">
        <f t="shared" si="133"/>
        <v>7.0599359928764827</v>
      </c>
      <c r="L335" s="340">
        <f t="shared" si="134"/>
        <v>1.4286740172510646</v>
      </c>
      <c r="M335" s="328">
        <f t="shared" si="144"/>
        <v>1.0062565279591265</v>
      </c>
      <c r="N335" s="331">
        <f t="shared" si="145"/>
        <v>0.11157133191875446</v>
      </c>
      <c r="O335" s="332">
        <f t="shared" si="146"/>
        <v>1.0020065044461492</v>
      </c>
      <c r="P335" s="333">
        <f t="shared" si="147"/>
        <v>0.17178182542278378</v>
      </c>
      <c r="Q335" s="334">
        <f t="shared" si="148"/>
        <v>3.3746474066855878</v>
      </c>
      <c r="R335" s="335">
        <f t="shared" si="149"/>
        <v>-103.61438145541383</v>
      </c>
      <c r="S335" s="337">
        <f t="shared" si="150"/>
        <v>76.385618544586166</v>
      </c>
      <c r="U335" s="310">
        <f t="shared" si="156"/>
        <v>1000000000</v>
      </c>
      <c r="V335" s="310">
        <f t="shared" si="157"/>
        <v>616677889</v>
      </c>
      <c r="X335" s="336">
        <f t="shared" si="151"/>
        <v>2.8691301888350704</v>
      </c>
      <c r="Y335" s="337">
        <f t="shared" si="152"/>
        <v>-14.534519291982306</v>
      </c>
      <c r="AA335" s="336">
        <f t="shared" si="153"/>
        <v>0.5055172178505174</v>
      </c>
      <c r="AB335" s="337">
        <f t="shared" si="154"/>
        <v>-89.079862163431557</v>
      </c>
      <c r="AD335">
        <f t="shared" si="158"/>
        <v>0</v>
      </c>
      <c r="AE335">
        <f t="shared" si="135"/>
        <v>0</v>
      </c>
    </row>
    <row r="336" spans="1:31" x14ac:dyDescent="0.25">
      <c r="A336" s="338">
        <v>24976</v>
      </c>
      <c r="B336" s="355">
        <f t="shared" si="155"/>
        <v>24.975999999999999</v>
      </c>
      <c r="C336" s="328">
        <f t="shared" si="136"/>
        <v>5.6937092685094415</v>
      </c>
      <c r="D336" s="329">
        <f t="shared" si="137"/>
        <v>1.3942481785916141</v>
      </c>
      <c r="E336" s="329">
        <f t="shared" si="138"/>
        <v>1.0000536354261964</v>
      </c>
      <c r="F336" s="330">
        <f t="shared" si="139"/>
        <v>1.0356932847808618E-2</v>
      </c>
      <c r="G336" s="329">
        <f t="shared" si="140"/>
        <v>1</v>
      </c>
      <c r="H336" s="330">
        <f t="shared" si="141"/>
        <v>0</v>
      </c>
      <c r="I336" s="328">
        <f t="shared" si="142"/>
        <v>54586.878187819202</v>
      </c>
      <c r="J336" s="331">
        <f t="shared" si="143"/>
        <v>1.5707780073739432</v>
      </c>
      <c r="K336" s="339">
        <f t="shared" si="133"/>
        <v>7.0997770323948171</v>
      </c>
      <c r="L336" s="340">
        <f t="shared" si="134"/>
        <v>1.4294769168425443</v>
      </c>
      <c r="M336" s="328">
        <f t="shared" si="144"/>
        <v>1.0063285642070583</v>
      </c>
      <c r="N336" s="331">
        <f t="shared" si="145"/>
        <v>0.11220844759881357</v>
      </c>
      <c r="O336" s="332">
        <f t="shared" si="146"/>
        <v>1.0020306027168184</v>
      </c>
      <c r="P336" s="333">
        <f t="shared" si="147"/>
        <v>0.17277676128581329</v>
      </c>
      <c r="Q336" s="334">
        <f t="shared" si="148"/>
        <v>3.3245001263267335</v>
      </c>
      <c r="R336" s="335">
        <f t="shared" si="149"/>
        <v>-103.71553362552258</v>
      </c>
      <c r="S336" s="337">
        <f t="shared" si="150"/>
        <v>76.284466374477418</v>
      </c>
      <c r="U336" s="310">
        <f t="shared" si="156"/>
        <v>1000000000</v>
      </c>
      <c r="V336" s="310">
        <f t="shared" si="157"/>
        <v>623800576</v>
      </c>
      <c r="X336" s="336">
        <f t="shared" si="151"/>
        <v>2.867513385291975</v>
      </c>
      <c r="Y336" s="337">
        <f t="shared" si="152"/>
        <v>-14.525026617769258</v>
      </c>
      <c r="AA336" s="336">
        <f t="shared" si="153"/>
        <v>0.45698674103475895</v>
      </c>
      <c r="AB336" s="337">
        <f t="shared" si="154"/>
        <v>-89.190507007753325</v>
      </c>
      <c r="AD336">
        <f t="shared" si="158"/>
        <v>0</v>
      </c>
      <c r="AE336">
        <f t="shared" si="135"/>
        <v>0</v>
      </c>
    </row>
    <row r="337" spans="1:31" x14ac:dyDescent="0.25">
      <c r="A337" s="338">
        <v>25119</v>
      </c>
      <c r="B337" s="355">
        <f t="shared" si="155"/>
        <v>25.119</v>
      </c>
      <c r="C337" s="328">
        <f t="shared" si="136"/>
        <v>5.7253057725353855</v>
      </c>
      <c r="D337" s="329">
        <f t="shared" si="137"/>
        <v>1.3952326673555959</v>
      </c>
      <c r="E337" s="329">
        <f t="shared" si="138"/>
        <v>1.0000542513466164</v>
      </c>
      <c r="F337" s="330">
        <f t="shared" si="139"/>
        <v>1.0416227153460951E-2</v>
      </c>
      <c r="G337" s="329">
        <f t="shared" si="140"/>
        <v>1</v>
      </c>
      <c r="H337" s="330">
        <f t="shared" si="141"/>
        <v>0</v>
      </c>
      <c r="I337" s="328">
        <f t="shared" si="142"/>
        <v>54899.415166448518</v>
      </c>
      <c r="J337" s="331">
        <f t="shared" si="143"/>
        <v>1.5707781116646076</v>
      </c>
      <c r="K337" s="339">
        <f t="shared" si="133"/>
        <v>7.1396225976865608</v>
      </c>
      <c r="L337" s="340">
        <f t="shared" si="134"/>
        <v>1.4302708551261829</v>
      </c>
      <c r="M337" s="328">
        <f t="shared" si="144"/>
        <v>1.0064010088816737</v>
      </c>
      <c r="N337" s="331">
        <f t="shared" si="145"/>
        <v>0.11284547181327112</v>
      </c>
      <c r="O337" s="332">
        <f t="shared" si="146"/>
        <v>1.0020548605726625</v>
      </c>
      <c r="P337" s="333">
        <f t="shared" si="147"/>
        <v>0.17377179410948457</v>
      </c>
      <c r="Q337" s="334">
        <f t="shared" si="148"/>
        <v>3.2746236713145955</v>
      </c>
      <c r="R337" s="335">
        <f t="shared" si="149"/>
        <v>-103.8165700061072</v>
      </c>
      <c r="S337" s="337">
        <f t="shared" si="150"/>
        <v>76.183429993892801</v>
      </c>
      <c r="U337" s="310">
        <f t="shared" si="156"/>
        <v>1000000000</v>
      </c>
      <c r="V337" s="310">
        <f t="shared" si="157"/>
        <v>630964161</v>
      </c>
      <c r="X337" s="336">
        <f t="shared" si="151"/>
        <v>2.8659098242298073</v>
      </c>
      <c r="Y337" s="337">
        <f t="shared" si="152"/>
        <v>-14.516042079263602</v>
      </c>
      <c r="AA337" s="336">
        <f t="shared" si="153"/>
        <v>0.4087138470847857</v>
      </c>
      <c r="AB337" s="337">
        <f t="shared" si="154"/>
        <v>-89.300527926843571</v>
      </c>
      <c r="AD337">
        <f t="shared" si="158"/>
        <v>0</v>
      </c>
      <c r="AE337">
        <f t="shared" si="135"/>
        <v>0</v>
      </c>
    </row>
    <row r="338" spans="1:31" x14ac:dyDescent="0.25">
      <c r="A338" s="338">
        <v>25265.25</v>
      </c>
      <c r="B338" s="355">
        <f t="shared" si="155"/>
        <v>25.265250000000002</v>
      </c>
      <c r="C338" s="328">
        <f t="shared" si="136"/>
        <v>5.757626054886483</v>
      </c>
      <c r="D338" s="329">
        <f t="shared" si="137"/>
        <v>1.396228353434837</v>
      </c>
      <c r="E338" s="329">
        <f t="shared" si="138"/>
        <v>1.0000548849020008</v>
      </c>
      <c r="F338" s="330">
        <f t="shared" si="139"/>
        <v>1.0476868981204215E-2</v>
      </c>
      <c r="G338" s="329">
        <f t="shared" si="140"/>
        <v>1</v>
      </c>
      <c r="H338" s="330">
        <f t="shared" si="141"/>
        <v>0</v>
      </c>
      <c r="I338" s="328">
        <f t="shared" si="142"/>
        <v>55219.055258229113</v>
      </c>
      <c r="J338" s="331">
        <f t="shared" si="143"/>
        <v>1.5707782171044034</v>
      </c>
      <c r="K338" s="339">
        <f t="shared" si="133"/>
        <v>7.1803783467155498</v>
      </c>
      <c r="L338" s="340">
        <f t="shared" si="134"/>
        <v>1.4310737227846693</v>
      </c>
      <c r="M338" s="328">
        <f t="shared" si="144"/>
        <v>1.0064755223900523</v>
      </c>
      <c r="N338" s="331">
        <f t="shared" si="145"/>
        <v>0.11349687872524139</v>
      </c>
      <c r="O338" s="332">
        <f t="shared" si="146"/>
        <v>1.0020798351883562</v>
      </c>
      <c r="P338" s="333">
        <f t="shared" si="147"/>
        <v>0.17478954213001627</v>
      </c>
      <c r="Q338" s="334">
        <f t="shared" si="148"/>
        <v>3.2238906228833306</v>
      </c>
      <c r="R338" s="335">
        <f t="shared" si="149"/>
        <v>-103.91978474139617</v>
      </c>
      <c r="S338" s="337">
        <f t="shared" si="150"/>
        <v>76.080215258603829</v>
      </c>
      <c r="U338" s="310">
        <f t="shared" si="156"/>
        <v>1000000000</v>
      </c>
      <c r="V338" s="310">
        <f t="shared" si="157"/>
        <v>638332857.5625</v>
      </c>
      <c r="X338" s="336">
        <f t="shared" si="151"/>
        <v>2.8642831304609655</v>
      </c>
      <c r="Y338" s="337">
        <f t="shared" si="152"/>
        <v>-14.5073700589717</v>
      </c>
      <c r="AA338" s="336">
        <f t="shared" si="153"/>
        <v>0.35960749242236423</v>
      </c>
      <c r="AB338" s="337">
        <f t="shared" si="154"/>
        <v>-89.412414682424469</v>
      </c>
      <c r="AD338">
        <f t="shared" si="158"/>
        <v>0</v>
      </c>
      <c r="AE338">
        <f t="shared" si="135"/>
        <v>0</v>
      </c>
    </row>
    <row r="339" spans="1:31" x14ac:dyDescent="0.25">
      <c r="A339" s="338">
        <v>25411.5</v>
      </c>
      <c r="B339" s="355">
        <f t="shared" si="155"/>
        <v>25.4115</v>
      </c>
      <c r="C339" s="328">
        <f t="shared" si="136"/>
        <v>5.7899519815653493</v>
      </c>
      <c r="D339" s="329">
        <f t="shared" si="137"/>
        <v>1.3972129224354688</v>
      </c>
      <c r="E339" s="329">
        <f t="shared" si="138"/>
        <v>1.0000555221350136</v>
      </c>
      <c r="F339" s="330">
        <f t="shared" si="139"/>
        <v>1.0537510731888831E-2</v>
      </c>
      <c r="G339" s="329">
        <f t="shared" si="140"/>
        <v>1</v>
      </c>
      <c r="H339" s="330">
        <f t="shared" si="141"/>
        <v>0</v>
      </c>
      <c r="I339" s="328">
        <f t="shared" si="142"/>
        <v>55538.695350010326</v>
      </c>
      <c r="J339" s="331">
        <f t="shared" si="143"/>
        <v>1.5707783213305306</v>
      </c>
      <c r="K339" s="339">
        <f t="shared" si="133"/>
        <v>7.2211386719439501</v>
      </c>
      <c r="L339" s="340">
        <f t="shared" si="134"/>
        <v>1.4318675272418426</v>
      </c>
      <c r="M339" s="328">
        <f t="shared" si="144"/>
        <v>1.0065504629138229</v>
      </c>
      <c r="N339" s="331">
        <f t="shared" si="145"/>
        <v>0.11414818891538107</v>
      </c>
      <c r="O339" s="332">
        <f t="shared" si="146"/>
        <v>1.0021049774953759</v>
      </c>
      <c r="P339" s="333">
        <f t="shared" si="147"/>
        <v>0.17580739263002348</v>
      </c>
      <c r="Q339" s="334">
        <f t="shared" si="148"/>
        <v>3.1734344766670985</v>
      </c>
      <c r="R339" s="335">
        <f t="shared" si="149"/>
        <v>-104.02288206295016</v>
      </c>
      <c r="S339" s="337">
        <f t="shared" si="150"/>
        <v>75.97711793704984</v>
      </c>
      <c r="U339" s="310">
        <f t="shared" si="156"/>
        <v>1000000000</v>
      </c>
      <c r="V339" s="310">
        <f t="shared" si="157"/>
        <v>645744332.25</v>
      </c>
      <c r="X339" s="336">
        <f t="shared" si="151"/>
        <v>2.8626695163610094</v>
      </c>
      <c r="Y339" s="337">
        <f t="shared" si="152"/>
        <v>-14.49921171057375</v>
      </c>
      <c r="AA339" s="336">
        <f t="shared" si="153"/>
        <v>0.31076496030609047</v>
      </c>
      <c r="AB339" s="337">
        <f t="shared" si="154"/>
        <v>-89.523670352376385</v>
      </c>
      <c r="AD339">
        <f t="shared" si="158"/>
        <v>0</v>
      </c>
      <c r="AE339">
        <f t="shared" si="135"/>
        <v>0</v>
      </c>
    </row>
    <row r="340" spans="1:31" x14ac:dyDescent="0.25">
      <c r="A340" s="338">
        <v>25557.75</v>
      </c>
      <c r="B340" s="355">
        <f t="shared" si="155"/>
        <v>25.557749999999999</v>
      </c>
      <c r="C340" s="328">
        <f t="shared" si="136"/>
        <v>5.8222834585582897</v>
      </c>
      <c r="D340" s="329">
        <f t="shared" si="137"/>
        <v>1.3981865576339254</v>
      </c>
      <c r="E340" s="329">
        <f t="shared" si="138"/>
        <v>1.0000561630456477</v>
      </c>
      <c r="F340" s="330">
        <f t="shared" si="139"/>
        <v>1.0598152405068928E-2</v>
      </c>
      <c r="G340" s="329">
        <f t="shared" si="140"/>
        <v>1</v>
      </c>
      <c r="H340" s="330">
        <f t="shared" si="141"/>
        <v>0</v>
      </c>
      <c r="I340" s="328">
        <f t="shared" si="142"/>
        <v>55858.335441792122</v>
      </c>
      <c r="J340" s="331">
        <f t="shared" si="143"/>
        <v>1.5707784243638245</v>
      </c>
      <c r="K340" s="339">
        <f t="shared" si="133"/>
        <v>7.2619034963145364</v>
      </c>
      <c r="L340" s="340">
        <f t="shared" si="134"/>
        <v>1.432652420118117</v>
      </c>
      <c r="M340" s="328">
        <f t="shared" si="144"/>
        <v>1.0066258303576148</v>
      </c>
      <c r="N340" s="331">
        <f t="shared" si="145"/>
        <v>0.11479940185277619</v>
      </c>
      <c r="O340" s="332">
        <f t="shared" si="146"/>
        <v>1.0021302878862652</v>
      </c>
      <c r="P340" s="333">
        <f t="shared" si="147"/>
        <v>0.17682534614470322</v>
      </c>
      <c r="Q340" s="334">
        <f t="shared" si="148"/>
        <v>3.1232520895558618</v>
      </c>
      <c r="R340" s="335">
        <f t="shared" si="149"/>
        <v>-104.12586378599012</v>
      </c>
      <c r="S340" s="337">
        <f t="shared" si="150"/>
        <v>75.87413621400988</v>
      </c>
      <c r="U340" s="310">
        <f t="shared" si="156"/>
        <v>1000000000</v>
      </c>
      <c r="V340" s="310">
        <f t="shared" si="157"/>
        <v>653198585.0625</v>
      </c>
      <c r="X340" s="336">
        <f t="shared" si="151"/>
        <v>2.8610686080736607</v>
      </c>
      <c r="Y340" s="337">
        <f t="shared" si="152"/>
        <v>-14.491558317634553</v>
      </c>
      <c r="AA340" s="336">
        <f t="shared" si="153"/>
        <v>0.26218348148220166</v>
      </c>
      <c r="AB340" s="337">
        <f t="shared" si="154"/>
        <v>-89.634305468355578</v>
      </c>
      <c r="AD340">
        <f t="shared" si="158"/>
        <v>0</v>
      </c>
      <c r="AE340">
        <f t="shared" si="135"/>
        <v>0</v>
      </c>
    </row>
    <row r="341" spans="1:31" x14ac:dyDescent="0.25">
      <c r="A341" s="338">
        <v>25704</v>
      </c>
      <c r="B341" s="355">
        <f t="shared" si="155"/>
        <v>25.704000000000001</v>
      </c>
      <c r="C341" s="328">
        <f t="shared" si="136"/>
        <v>5.8546203939123656</v>
      </c>
      <c r="D341" s="329">
        <f t="shared" si="137"/>
        <v>1.3991494383414291</v>
      </c>
      <c r="E341" s="329">
        <f t="shared" si="138"/>
        <v>1.000056807633896</v>
      </c>
      <c r="F341" s="330">
        <f t="shared" si="139"/>
        <v>1.0658794000298651E-2</v>
      </c>
      <c r="G341" s="329">
        <f t="shared" si="140"/>
        <v>1</v>
      </c>
      <c r="H341" s="330">
        <f t="shared" si="141"/>
        <v>0</v>
      </c>
      <c r="I341" s="328">
        <f t="shared" si="142"/>
        <v>56177.975533574514</v>
      </c>
      <c r="J341" s="331">
        <f t="shared" si="143"/>
        <v>1.5707785262246454</v>
      </c>
      <c r="K341" s="339">
        <f t="shared" si="133"/>
        <v>7.3026727444822619</v>
      </c>
      <c r="L341" s="340">
        <f t="shared" si="134"/>
        <v>1.433428549692533</v>
      </c>
      <c r="M341" s="328">
        <f t="shared" si="144"/>
        <v>1.0067016246255431</v>
      </c>
      <c r="N341" s="331">
        <f t="shared" si="145"/>
        <v>0.11545051700700117</v>
      </c>
      <c r="O341" s="332">
        <f t="shared" si="146"/>
        <v>1.0021557667557832</v>
      </c>
      <c r="P341" s="333">
        <f t="shared" si="147"/>
        <v>0.1778434032082421</v>
      </c>
      <c r="Q341" s="334">
        <f t="shared" si="148"/>
        <v>3.073340370242108</v>
      </c>
      <c r="R341" s="335">
        <f t="shared" si="149"/>
        <v>-104.22873168993678</v>
      </c>
      <c r="S341" s="337">
        <f t="shared" si="150"/>
        <v>75.77126831006322</v>
      </c>
      <c r="U341" s="310">
        <f t="shared" si="156"/>
        <v>1000000000</v>
      </c>
      <c r="V341" s="310">
        <f t="shared" si="157"/>
        <v>660695616</v>
      </c>
      <c r="X341" s="336">
        <f t="shared" si="151"/>
        <v>2.8594800422026907</v>
      </c>
      <c r="Y341" s="337">
        <f t="shared" si="152"/>
        <v>-14.484401355166293</v>
      </c>
      <c r="AA341" s="336">
        <f t="shared" si="153"/>
        <v>0.21386032803941862</v>
      </c>
      <c r="AB341" s="337">
        <f t="shared" si="154"/>
        <v>-89.744330334770495</v>
      </c>
      <c r="AD341">
        <f t="shared" si="158"/>
        <v>0</v>
      </c>
      <c r="AE341">
        <f t="shared" si="135"/>
        <v>0</v>
      </c>
    </row>
    <row r="342" spans="1:31" x14ac:dyDescent="0.25">
      <c r="A342" s="338">
        <v>25853.75</v>
      </c>
      <c r="B342" s="355">
        <f t="shared" si="155"/>
        <v>25.853750000000002</v>
      </c>
      <c r="C342" s="328">
        <f t="shared" si="136"/>
        <v>5.8877367665739957</v>
      </c>
      <c r="D342" s="329">
        <f t="shared" si="137"/>
        <v>1.4001244019453312</v>
      </c>
      <c r="E342" s="329">
        <f t="shared" si="138"/>
        <v>1.000057471458865</v>
      </c>
      <c r="F342" s="330">
        <f t="shared" si="139"/>
        <v>1.0720886766143438E-2</v>
      </c>
      <c r="G342" s="329">
        <f t="shared" si="140"/>
        <v>1</v>
      </c>
      <c r="H342" s="330">
        <f t="shared" si="141"/>
        <v>0</v>
      </c>
      <c r="I342" s="328">
        <f t="shared" si="142"/>
        <v>56505.265131827502</v>
      </c>
      <c r="J342" s="331">
        <f t="shared" si="143"/>
        <v>1.570778629329046</v>
      </c>
      <c r="K342" s="339">
        <f t="shared" si="133"/>
        <v>7.3444221738872244</v>
      </c>
      <c r="L342" s="340">
        <f t="shared" si="134"/>
        <v>1.4342143243718588</v>
      </c>
      <c r="M342" s="328">
        <f t="shared" si="144"/>
        <v>1.0067796749409552</v>
      </c>
      <c r="N342" s="331">
        <f t="shared" si="145"/>
        <v>0.11611711252940977</v>
      </c>
      <c r="O342" s="332">
        <f t="shared" si="146"/>
        <v>1.0021820303654809</v>
      </c>
      <c r="P342" s="333">
        <f t="shared" si="147"/>
        <v>0.17888593188307983</v>
      </c>
      <c r="Q342" s="334">
        <f t="shared" si="148"/>
        <v>3.0225114685429997</v>
      </c>
      <c r="R342" s="335">
        <f t="shared" si="149"/>
        <v>-104.33394527415754</v>
      </c>
      <c r="S342" s="337">
        <f t="shared" si="150"/>
        <v>75.666054725842457</v>
      </c>
      <c r="U342" s="310">
        <f t="shared" si="156"/>
        <v>1000000000</v>
      </c>
      <c r="V342" s="310">
        <f t="shared" si="157"/>
        <v>668416389.0625</v>
      </c>
      <c r="X342" s="336">
        <f t="shared" si="151"/>
        <v>2.8578658794585539</v>
      </c>
      <c r="Y342" s="337">
        <f t="shared" si="152"/>
        <v>-14.47757879990821</v>
      </c>
      <c r="AA342" s="336">
        <f t="shared" si="153"/>
        <v>0.16464558908444502</v>
      </c>
      <c r="AB342" s="337">
        <f t="shared" si="154"/>
        <v>-89.856366474249327</v>
      </c>
      <c r="AD342">
        <f t="shared" si="158"/>
        <v>0</v>
      </c>
      <c r="AE342">
        <f t="shared" si="135"/>
        <v>0</v>
      </c>
    </row>
    <row r="343" spans="1:31" x14ac:dyDescent="0.25">
      <c r="A343" s="338">
        <v>26003.5</v>
      </c>
      <c r="B343" s="355">
        <f t="shared" si="155"/>
        <v>26.003499999999999</v>
      </c>
      <c r="C343" s="328">
        <f t="shared" si="136"/>
        <v>5.9208586732388371</v>
      </c>
      <c r="D343" s="329">
        <f t="shared" si="137"/>
        <v>1.4010884583590415</v>
      </c>
      <c r="E343" s="329">
        <f t="shared" si="138"/>
        <v>1.000058139139562</v>
      </c>
      <c r="F343" s="330">
        <f t="shared" si="139"/>
        <v>1.0782979449316159E-2</v>
      </c>
      <c r="G343" s="329">
        <f t="shared" si="140"/>
        <v>1</v>
      </c>
      <c r="H343" s="330">
        <f t="shared" si="141"/>
        <v>0</v>
      </c>
      <c r="I343" s="328">
        <f t="shared" si="142"/>
        <v>56832.554730081087</v>
      </c>
      <c r="J343" s="331">
        <f t="shared" si="143"/>
        <v>1.5707787312459229</v>
      </c>
      <c r="K343" s="339">
        <f t="shared" ref="K343:K406" si="159">SQRT(1+(A343/Zero2)^2)</f>
        <v>7.3861760867799058</v>
      </c>
      <c r="L343" s="340">
        <f t="shared" ref="L343:L406" si="160">ATAN(A343/Zero2)</f>
        <v>1.434991215587736</v>
      </c>
      <c r="M343" s="328">
        <f t="shared" si="144"/>
        <v>1.0068581725490295</v>
      </c>
      <c r="N343" s="331">
        <f t="shared" si="145"/>
        <v>0.11678360440846212</v>
      </c>
      <c r="O343" s="332">
        <f t="shared" si="146"/>
        <v>1.002208471459006</v>
      </c>
      <c r="P343" s="333">
        <f t="shared" si="147"/>
        <v>0.17992857025251893</v>
      </c>
      <c r="Q343" s="334">
        <f t="shared" si="148"/>
        <v>2.9719599466511069</v>
      </c>
      <c r="R343" s="335">
        <f t="shared" si="149"/>
        <v>-104.43904319078437</v>
      </c>
      <c r="S343" s="337">
        <f t="shared" si="150"/>
        <v>75.560956809215625</v>
      </c>
      <c r="U343" s="310">
        <f t="shared" si="156"/>
        <v>1000000000</v>
      </c>
      <c r="V343" s="310">
        <f t="shared" si="157"/>
        <v>676182012.25</v>
      </c>
      <c r="X343" s="336">
        <f t="shared" si="151"/>
        <v>2.8562639179590659</v>
      </c>
      <c r="Y343" s="337">
        <f t="shared" si="152"/>
        <v>-14.471259223246784</v>
      </c>
      <c r="AA343" s="336">
        <f t="shared" si="153"/>
        <v>0.11569602869204001</v>
      </c>
      <c r="AB343" s="337">
        <f t="shared" si="154"/>
        <v>-89.967783967537585</v>
      </c>
      <c r="AD343">
        <f t="shared" si="158"/>
        <v>0</v>
      </c>
      <c r="AE343">
        <f t="shared" si="135"/>
        <v>0</v>
      </c>
    </row>
    <row r="344" spans="1:31" x14ac:dyDescent="0.25">
      <c r="A344" s="338">
        <v>26153.25</v>
      </c>
      <c r="B344" s="355">
        <f t="shared" si="155"/>
        <v>26.15325</v>
      </c>
      <c r="C344" s="328">
        <f t="shared" si="136"/>
        <v>5.9539860215502376</v>
      </c>
      <c r="D344" s="329">
        <f t="shared" si="137"/>
        <v>1.4020417878347995</v>
      </c>
      <c r="E344" s="329">
        <f t="shared" si="138"/>
        <v>1.0000588106759793</v>
      </c>
      <c r="F344" s="330">
        <f t="shared" si="139"/>
        <v>1.0845072049338187E-2</v>
      </c>
      <c r="G344" s="329">
        <f t="shared" si="140"/>
        <v>1</v>
      </c>
      <c r="H344" s="330">
        <f t="shared" si="141"/>
        <v>0</v>
      </c>
      <c r="I344" s="328">
        <f t="shared" si="142"/>
        <v>57159.844328335254</v>
      </c>
      <c r="J344" s="331">
        <f t="shared" si="143"/>
        <v>1.5707788319956753</v>
      </c>
      <c r="K344" s="339">
        <f t="shared" si="159"/>
        <v>7.4279344075525513</v>
      </c>
      <c r="L344" s="340">
        <f t="shared" si="160"/>
        <v>1.435759372217384</v>
      </c>
      <c r="M344" s="328">
        <f t="shared" si="144"/>
        <v>1.006937117345158</v>
      </c>
      <c r="N344" s="331">
        <f t="shared" si="145"/>
        <v>0.11744999207634026</v>
      </c>
      <c r="O344" s="332">
        <f t="shared" si="146"/>
        <v>1.0022350904673534</v>
      </c>
      <c r="P344" s="333">
        <f t="shared" si="147"/>
        <v>0.18097131888669102</v>
      </c>
      <c r="Q344" s="334">
        <f t="shared" si="148"/>
        <v>2.9216826475156892</v>
      </c>
      <c r="R344" s="335">
        <f t="shared" si="149"/>
        <v>-104.54402723880226</v>
      </c>
      <c r="S344" s="337">
        <f t="shared" si="150"/>
        <v>75.455972761197742</v>
      </c>
      <c r="U344" s="310">
        <f t="shared" si="156"/>
        <v>1000000000</v>
      </c>
      <c r="V344" s="310">
        <f t="shared" si="157"/>
        <v>683992485.5625</v>
      </c>
      <c r="X344" s="336">
        <f t="shared" si="151"/>
        <v>2.8546737994595537</v>
      </c>
      <c r="Y344" s="337">
        <f t="shared" si="152"/>
        <v>-14.465434063780888</v>
      </c>
      <c r="AA344" s="336">
        <f t="shared" si="153"/>
        <v>6.7008848056135092E-2</v>
      </c>
      <c r="AB344" s="337">
        <f t="shared" si="154"/>
        <v>-90.078593175021396</v>
      </c>
      <c r="AD344">
        <f t="shared" si="158"/>
        <v>0</v>
      </c>
      <c r="AE344">
        <f t="shared" si="135"/>
        <v>0</v>
      </c>
    </row>
    <row r="345" spans="1:31" x14ac:dyDescent="0.25">
      <c r="A345" s="338">
        <v>26303</v>
      </c>
      <c r="B345" s="355">
        <f t="shared" si="155"/>
        <v>26.303000000000001</v>
      </c>
      <c r="C345" s="328">
        <f t="shared" si="136"/>
        <v>5.9871187211806172</v>
      </c>
      <c r="D345" s="329">
        <f t="shared" si="137"/>
        <v>1.402984566713763</v>
      </c>
      <c r="E345" s="329">
        <f t="shared" si="138"/>
        <v>1.0000594860681093</v>
      </c>
      <c r="F345" s="330">
        <f t="shared" si="139"/>
        <v>1.0907164565730895E-2</v>
      </c>
      <c r="G345" s="329">
        <f t="shared" si="140"/>
        <v>1</v>
      </c>
      <c r="H345" s="330">
        <f t="shared" si="141"/>
        <v>0</v>
      </c>
      <c r="I345" s="328">
        <f t="shared" si="142"/>
        <v>57487.133926589995</v>
      </c>
      <c r="J345" s="331">
        <f t="shared" si="143"/>
        <v>1.570778931598237</v>
      </c>
      <c r="K345" s="339">
        <f t="shared" si="159"/>
        <v>7.4696970622802095</v>
      </c>
      <c r="L345" s="340">
        <f t="shared" si="160"/>
        <v>1.4365189398503273</v>
      </c>
      <c r="M345" s="328">
        <f t="shared" si="144"/>
        <v>1.0070165092241687</v>
      </c>
      <c r="N345" s="331">
        <f t="shared" si="145"/>
        <v>0.11811627496577401</v>
      </c>
      <c r="O345" s="332">
        <f t="shared" si="146"/>
        <v>1.0022618878239471</v>
      </c>
      <c r="P345" s="333">
        <f t="shared" si="147"/>
        <v>0.18201417835459063</v>
      </c>
      <c r="Q345" s="334">
        <f t="shared" si="148"/>
        <v>2.8716764662181453</v>
      </c>
      <c r="R345" s="335">
        <f t="shared" si="149"/>
        <v>-104.64889918141843</v>
      </c>
      <c r="S345" s="337">
        <f t="shared" si="150"/>
        <v>75.351100818581571</v>
      </c>
      <c r="U345" s="310">
        <f t="shared" si="156"/>
        <v>1000000000</v>
      </c>
      <c r="V345" s="310">
        <f t="shared" si="157"/>
        <v>691847809</v>
      </c>
      <c r="X345" s="336">
        <f t="shared" si="151"/>
        <v>2.8530951757606542</v>
      </c>
      <c r="Y345" s="337">
        <f t="shared" si="152"/>
        <v>-14.460094948485148</v>
      </c>
      <c r="AA345" s="336">
        <f t="shared" si="153"/>
        <v>1.8581290457491906E-2</v>
      </c>
      <c r="AB345" s="337">
        <f t="shared" si="154"/>
        <v>-90.188804232933279</v>
      </c>
      <c r="AD345">
        <f t="shared" si="158"/>
        <v>0</v>
      </c>
      <c r="AE345">
        <f t="shared" si="135"/>
        <v>0</v>
      </c>
    </row>
    <row r="346" spans="1:31" x14ac:dyDescent="0.25">
      <c r="A346" s="338">
        <v>26456</v>
      </c>
      <c r="B346" s="355">
        <f t="shared" si="155"/>
        <v>26.456</v>
      </c>
      <c r="C346" s="328">
        <f t="shared" si="136"/>
        <v>6.0209759293132867</v>
      </c>
      <c r="D346" s="329">
        <f t="shared" si="137"/>
        <v>1.4039370894816354</v>
      </c>
      <c r="E346" s="329">
        <f t="shared" si="138"/>
        <v>1.0000601801002973</v>
      </c>
      <c r="F346" s="330">
        <f t="shared" si="139"/>
        <v>1.0970604579082424E-2</v>
      </c>
      <c r="G346" s="329">
        <f t="shared" si="140"/>
        <v>1</v>
      </c>
      <c r="H346" s="330">
        <f t="shared" si="141"/>
        <v>0</v>
      </c>
      <c r="I346" s="328">
        <f t="shared" si="142"/>
        <v>57821.526637996096</v>
      </c>
      <c r="J346" s="331">
        <f t="shared" si="143"/>
        <v>1.5707790321979154</v>
      </c>
      <c r="K346" s="339">
        <f t="shared" si="159"/>
        <v>7.5123704860150085</v>
      </c>
      <c r="L346" s="340">
        <f t="shared" si="160"/>
        <v>1.4372862697354525</v>
      </c>
      <c r="M346" s="328">
        <f t="shared" si="144"/>
        <v>1.0070980857649035</v>
      </c>
      <c r="N346" s="331">
        <f t="shared" si="145"/>
        <v>0.11879690928122338</v>
      </c>
      <c r="O346" s="332">
        <f t="shared" si="146"/>
        <v>1.00228945140889</v>
      </c>
      <c r="P346" s="333">
        <f t="shared" si="147"/>
        <v>0.18307978589129084</v>
      </c>
      <c r="Q346" s="334">
        <f t="shared" si="148"/>
        <v>2.820861839999218</v>
      </c>
      <c r="R346" s="335">
        <f t="shared" si="149"/>
        <v>-104.75593315917497</v>
      </c>
      <c r="S346" s="337">
        <f t="shared" si="150"/>
        <v>75.244066840825027</v>
      </c>
      <c r="U346" s="310">
        <f t="shared" si="156"/>
        <v>1000000000</v>
      </c>
      <c r="V346" s="310">
        <f t="shared" si="157"/>
        <v>699919936</v>
      </c>
      <c r="X346" s="336">
        <f t="shared" si="151"/>
        <v>2.8514938110982002</v>
      </c>
      <c r="Y346" s="337">
        <f t="shared" si="152"/>
        <v>-14.455133422171558</v>
      </c>
      <c r="AA346" s="336">
        <f t="shared" si="153"/>
        <v>-3.0631971098982868E-2</v>
      </c>
      <c r="AB346" s="337">
        <f t="shared" si="154"/>
        <v>-90.300799737003416</v>
      </c>
      <c r="AD346">
        <f t="shared" si="158"/>
        <v>0</v>
      </c>
      <c r="AE346">
        <f t="shared" ref="AE346:AE409" si="161">IF(AD346&gt;0,S346,0)</f>
        <v>0</v>
      </c>
    </row>
    <row r="347" spans="1:31" x14ac:dyDescent="0.25">
      <c r="A347" s="338">
        <v>26609</v>
      </c>
      <c r="B347" s="355">
        <f t="shared" si="155"/>
        <v>26.609000000000002</v>
      </c>
      <c r="C347" s="328">
        <f t="shared" si="136"/>
        <v>6.0548385391786095</v>
      </c>
      <c r="D347" s="329">
        <f t="shared" si="137"/>
        <v>1.4048789588378199</v>
      </c>
      <c r="E347" s="329">
        <f t="shared" si="138"/>
        <v>1.0000608781573574</v>
      </c>
      <c r="F347" s="330">
        <f t="shared" si="139"/>
        <v>1.1034044504125168E-2</v>
      </c>
      <c r="G347" s="329">
        <f t="shared" si="140"/>
        <v>1</v>
      </c>
      <c r="H347" s="330">
        <f t="shared" si="141"/>
        <v>0</v>
      </c>
      <c r="I347" s="328">
        <f t="shared" si="142"/>
        <v>58155.919349402764</v>
      </c>
      <c r="J347" s="331">
        <f t="shared" si="143"/>
        <v>1.5707791316407105</v>
      </c>
      <c r="K347" s="339">
        <f t="shared" si="159"/>
        <v>7.5550482830276842</v>
      </c>
      <c r="L347" s="340">
        <f t="shared" si="160"/>
        <v>1.4380449309062833</v>
      </c>
      <c r="M347" s="328">
        <f t="shared" si="144"/>
        <v>1.007180128781288</v>
      </c>
      <c r="N347" s="331">
        <f t="shared" si="145"/>
        <v>0.11947743302548565</v>
      </c>
      <c r="O347" s="332">
        <f t="shared" si="146"/>
        <v>1.0023172020898654</v>
      </c>
      <c r="P347" s="333">
        <f t="shared" si="147"/>
        <v>0.18414551032188761</v>
      </c>
      <c r="Q347" s="334">
        <f t="shared" si="148"/>
        <v>2.7703238363135982</v>
      </c>
      <c r="R347" s="335">
        <f t="shared" si="149"/>
        <v>-104.86285372318689</v>
      </c>
      <c r="S347" s="337">
        <f t="shared" si="150"/>
        <v>75.137146276813112</v>
      </c>
      <c r="U347" s="310">
        <f t="shared" si="156"/>
        <v>1000000000</v>
      </c>
      <c r="V347" s="310">
        <f t="shared" si="157"/>
        <v>708038881</v>
      </c>
      <c r="X347" s="336">
        <f t="shared" si="151"/>
        <v>2.8499037414026884</v>
      </c>
      <c r="Y347" s="337">
        <f t="shared" si="152"/>
        <v>-14.45066217505453</v>
      </c>
      <c r="AA347" s="336">
        <f t="shared" si="153"/>
        <v>-7.9579905089089062E-2</v>
      </c>
      <c r="AB347" s="337">
        <f t="shared" si="154"/>
        <v>-90.41219154813237</v>
      </c>
      <c r="AD347">
        <f t="shared" si="158"/>
        <v>0</v>
      </c>
      <c r="AE347">
        <f t="shared" si="161"/>
        <v>0</v>
      </c>
    </row>
    <row r="348" spans="1:31" x14ac:dyDescent="0.25">
      <c r="A348" s="338">
        <v>26762</v>
      </c>
      <c r="B348" s="355">
        <f t="shared" si="155"/>
        <v>26.762</v>
      </c>
      <c r="C348" s="328">
        <f t="shared" si="136"/>
        <v>6.0887064606506618</v>
      </c>
      <c r="D348" s="329">
        <f t="shared" si="137"/>
        <v>1.4058103508732618</v>
      </c>
      <c r="E348" s="329">
        <f t="shared" si="138"/>
        <v>1.0000615802392809</v>
      </c>
      <c r="F348" s="330">
        <f t="shared" si="139"/>
        <v>1.1097484340348671E-2</v>
      </c>
      <c r="G348" s="329">
        <f t="shared" si="140"/>
        <v>1</v>
      </c>
      <c r="H348" s="330">
        <f t="shared" si="141"/>
        <v>0</v>
      </c>
      <c r="I348" s="328">
        <f t="shared" si="142"/>
        <v>58490.312060810007</v>
      </c>
      <c r="J348" s="331">
        <f t="shared" si="143"/>
        <v>1.5707792299464645</v>
      </c>
      <c r="K348" s="339">
        <f t="shared" si="159"/>
        <v>7.5977303796218045</v>
      </c>
      <c r="L348" s="340">
        <f t="shared" si="160"/>
        <v>1.4387950685778836</v>
      </c>
      <c r="M348" s="328">
        <f t="shared" si="144"/>
        <v>1.007262638159337</v>
      </c>
      <c r="N348" s="331">
        <f t="shared" si="145"/>
        <v>0.12015784559533858</v>
      </c>
      <c r="O348" s="332">
        <f t="shared" si="146"/>
        <v>1.0023451403369861</v>
      </c>
      <c r="P348" s="333">
        <f t="shared" si="147"/>
        <v>0.18521135224950999</v>
      </c>
      <c r="Q348" s="334">
        <f t="shared" si="148"/>
        <v>2.7200593049999409</v>
      </c>
      <c r="R348" s="335">
        <f t="shared" si="149"/>
        <v>-104.96966264367265</v>
      </c>
      <c r="S348" s="337">
        <f t="shared" si="150"/>
        <v>75.030337356327351</v>
      </c>
      <c r="U348" s="310">
        <f t="shared" si="156"/>
        <v>1000000000</v>
      </c>
      <c r="V348" s="310">
        <f t="shared" si="157"/>
        <v>716204644</v>
      </c>
      <c r="X348" s="336">
        <f t="shared" si="151"/>
        <v>2.8483246256815242</v>
      </c>
      <c r="Y348" s="337">
        <f t="shared" si="152"/>
        <v>-14.446672853498518</v>
      </c>
      <c r="AA348" s="336">
        <f t="shared" si="153"/>
        <v>-0.12826532068158256</v>
      </c>
      <c r="AB348" s="337">
        <f t="shared" si="154"/>
        <v>-90.522989790174151</v>
      </c>
      <c r="AD348">
        <f t="shared" si="158"/>
        <v>0</v>
      </c>
      <c r="AE348">
        <f t="shared" si="161"/>
        <v>0</v>
      </c>
    </row>
    <row r="349" spans="1:31" x14ac:dyDescent="0.25">
      <c r="A349" s="338">
        <v>26915</v>
      </c>
      <c r="B349" s="355">
        <f t="shared" si="155"/>
        <v>26.914999999999999</v>
      </c>
      <c r="C349" s="328">
        <f t="shared" si="136"/>
        <v>6.1225796055837156</v>
      </c>
      <c r="D349" s="329">
        <f t="shared" si="137"/>
        <v>1.4067314378556495</v>
      </c>
      <c r="E349" s="329">
        <f t="shared" si="138"/>
        <v>1.0000622863460595</v>
      </c>
      <c r="F349" s="330">
        <f t="shared" si="139"/>
        <v>1.1160924087242478E-2</v>
      </c>
      <c r="G349" s="329">
        <f t="shared" si="140"/>
        <v>1</v>
      </c>
      <c r="H349" s="330">
        <f t="shared" si="141"/>
        <v>0</v>
      </c>
      <c r="I349" s="328">
        <f t="shared" si="142"/>
        <v>58824.70477221781</v>
      </c>
      <c r="J349" s="331">
        <f t="shared" si="143"/>
        <v>1.5707793271345682</v>
      </c>
      <c r="K349" s="339">
        <f t="shared" si="159"/>
        <v>7.6404167037403807</v>
      </c>
      <c r="L349" s="340">
        <f t="shared" si="160"/>
        <v>1.4395368247589666</v>
      </c>
      <c r="M349" s="328">
        <f t="shared" si="144"/>
        <v>1.0073456137844541</v>
      </c>
      <c r="N349" s="331">
        <f t="shared" si="145"/>
        <v>0.12083814638816869</v>
      </c>
      <c r="O349" s="332">
        <f t="shared" si="146"/>
        <v>1.0023732666230076</v>
      </c>
      <c r="P349" s="333">
        <f t="shared" si="147"/>
        <v>0.18627731227601849</v>
      </c>
      <c r="Q349" s="334">
        <f t="shared" si="148"/>
        <v>2.670065147900984</v>
      </c>
      <c r="R349" s="335">
        <f t="shared" si="149"/>
        <v>-105.07636165544095</v>
      </c>
      <c r="S349" s="337">
        <f t="shared" si="150"/>
        <v>74.923638344559052</v>
      </c>
      <c r="U349" s="310">
        <f t="shared" si="156"/>
        <v>1000000000</v>
      </c>
      <c r="V349" s="310">
        <f t="shared" si="157"/>
        <v>724417225</v>
      </c>
      <c r="X349" s="336">
        <f t="shared" si="151"/>
        <v>2.8467561325049138</v>
      </c>
      <c r="Y349" s="337">
        <f t="shared" si="152"/>
        <v>-14.443157287587447</v>
      </c>
      <c r="AA349" s="336">
        <f t="shared" si="153"/>
        <v>-0.17669098460392815</v>
      </c>
      <c r="AB349" s="337">
        <f t="shared" si="154"/>
        <v>-90.633204367853523</v>
      </c>
      <c r="AD349">
        <f t="shared" si="158"/>
        <v>0</v>
      </c>
      <c r="AE349">
        <f t="shared" si="161"/>
        <v>0</v>
      </c>
    </row>
    <row r="350" spans="1:31" x14ac:dyDescent="0.25">
      <c r="A350" s="338">
        <v>27071.75</v>
      </c>
      <c r="B350" s="355">
        <f t="shared" si="155"/>
        <v>27.071750000000002</v>
      </c>
      <c r="C350" s="328">
        <f t="shared" si="136"/>
        <v>6.1572883015928328</v>
      </c>
      <c r="D350" s="329">
        <f t="shared" si="137"/>
        <v>1.4076645896873468</v>
      </c>
      <c r="E350" s="329">
        <f t="shared" si="138"/>
        <v>1.0000630139334044</v>
      </c>
      <c r="F350" s="330">
        <f t="shared" si="139"/>
        <v>1.1225918636719083E-2</v>
      </c>
      <c r="G350" s="329">
        <f t="shared" si="140"/>
        <v>1</v>
      </c>
      <c r="H350" s="330">
        <f t="shared" si="141"/>
        <v>0</v>
      </c>
      <c r="I350" s="328">
        <f t="shared" si="142"/>
        <v>59167.293383415585</v>
      </c>
      <c r="J350" s="331">
        <f t="shared" si="143"/>
        <v>1.5707794255654697</v>
      </c>
      <c r="K350" s="339">
        <f t="shared" si="159"/>
        <v>7.6841535718497598</v>
      </c>
      <c r="L350" s="340">
        <f t="shared" si="160"/>
        <v>1.4402882142825868</v>
      </c>
      <c r="M350" s="328">
        <f t="shared" si="144"/>
        <v>1.0074311065339669</v>
      </c>
      <c r="N350" s="331">
        <f t="shared" si="145"/>
        <v>0.12153500467058111</v>
      </c>
      <c r="O350" s="332">
        <f t="shared" si="146"/>
        <v>1.0024022777844239</v>
      </c>
      <c r="P350" s="333">
        <f t="shared" si="147"/>
        <v>0.1873695218779198</v>
      </c>
      <c r="Q350" s="334">
        <f t="shared" si="148"/>
        <v>2.6191228537358247</v>
      </c>
      <c r="R350" s="335">
        <f t="shared" si="149"/>
        <v>-105.18556363402556</v>
      </c>
      <c r="S350" s="337">
        <f t="shared" si="150"/>
        <v>74.814436365974444</v>
      </c>
      <c r="U350" s="310">
        <f t="shared" si="156"/>
        <v>1000000000</v>
      </c>
      <c r="V350" s="310">
        <f t="shared" si="157"/>
        <v>732879648.0625</v>
      </c>
      <c r="X350" s="336">
        <f t="shared" si="151"/>
        <v>2.8451598753404501</v>
      </c>
      <c r="Y350" s="337">
        <f t="shared" si="152"/>
        <v>-14.440038517286297</v>
      </c>
      <c r="AA350" s="336">
        <f t="shared" si="153"/>
        <v>-0.22603702160462522</v>
      </c>
      <c r="AB350" s="337">
        <f t="shared" si="154"/>
        <v>-90.745525116739273</v>
      </c>
      <c r="AD350">
        <f t="shared" si="158"/>
        <v>0</v>
      </c>
      <c r="AE350">
        <f t="shared" si="161"/>
        <v>0</v>
      </c>
    </row>
    <row r="351" spans="1:31" x14ac:dyDescent="0.25">
      <c r="A351" s="338">
        <v>27228.5</v>
      </c>
      <c r="B351" s="355">
        <f t="shared" si="155"/>
        <v>27.2285</v>
      </c>
      <c r="C351" s="328">
        <f t="shared" si="136"/>
        <v>6.1920022990877275</v>
      </c>
      <c r="D351" s="329">
        <f t="shared" si="137"/>
        <v>1.4085872793245933</v>
      </c>
      <c r="E351" s="329">
        <f t="shared" si="138"/>
        <v>1.0000637457453008</v>
      </c>
      <c r="F351" s="330">
        <f t="shared" si="139"/>
        <v>1.1290913091348737E-2</v>
      </c>
      <c r="G351" s="329">
        <f t="shared" si="140"/>
        <v>1</v>
      </c>
      <c r="H351" s="330">
        <f t="shared" si="141"/>
        <v>0</v>
      </c>
      <c r="I351" s="328">
        <f t="shared" si="142"/>
        <v>59509.881994613927</v>
      </c>
      <c r="J351" s="331">
        <f t="shared" si="143"/>
        <v>1.5707795228630701</v>
      </c>
      <c r="K351" s="339">
        <f t="shared" si="159"/>
        <v>7.7278947292179785</v>
      </c>
      <c r="L351" s="340">
        <f t="shared" si="160"/>
        <v>1.4410310982446854</v>
      </c>
      <c r="M351" s="328">
        <f t="shared" si="144"/>
        <v>1.0075170884204119</v>
      </c>
      <c r="N351" s="331">
        <f t="shared" si="145"/>
        <v>0.1222317443509956</v>
      </c>
      <c r="O351" s="332">
        <f t="shared" si="146"/>
        <v>1.0024314873283846</v>
      </c>
      <c r="P351" s="333">
        <f t="shared" si="147"/>
        <v>0.18846185671363222</v>
      </c>
      <c r="Q351" s="334">
        <f t="shared" si="148"/>
        <v>2.5684579288402527</v>
      </c>
      <c r="R351" s="335">
        <f t="shared" si="149"/>
        <v>-105.29465382627703</v>
      </c>
      <c r="S351" s="337">
        <f t="shared" si="150"/>
        <v>74.705346173722972</v>
      </c>
      <c r="U351" s="310">
        <f t="shared" si="156"/>
        <v>1000000000</v>
      </c>
      <c r="V351" s="310">
        <f t="shared" si="157"/>
        <v>741391212.25</v>
      </c>
      <c r="X351" s="336">
        <f t="shared" si="151"/>
        <v>2.8435740929532933</v>
      </c>
      <c r="Y351" s="337">
        <f t="shared" si="152"/>
        <v>-14.437400219435979</v>
      </c>
      <c r="AA351" s="336">
        <f t="shared" si="153"/>
        <v>-0.27511616411303919</v>
      </c>
      <c r="AB351" s="337">
        <f t="shared" si="154"/>
        <v>-90.857253606841027</v>
      </c>
      <c r="AD351">
        <f t="shared" si="158"/>
        <v>0</v>
      </c>
      <c r="AE351">
        <f t="shared" si="161"/>
        <v>0</v>
      </c>
    </row>
    <row r="352" spans="1:31" x14ac:dyDescent="0.25">
      <c r="A352" s="338">
        <v>27385.25</v>
      </c>
      <c r="B352" s="355">
        <f t="shared" si="155"/>
        <v>27.385249999999999</v>
      </c>
      <c r="C352" s="328">
        <f t="shared" si="136"/>
        <v>6.2267215094009876</v>
      </c>
      <c r="D352" s="329">
        <f t="shared" si="137"/>
        <v>1.4094996801896333</v>
      </c>
      <c r="E352" s="329">
        <f t="shared" si="138"/>
        <v>1.0000644817817392</v>
      </c>
      <c r="F352" s="330">
        <f t="shared" si="139"/>
        <v>1.135590745058254E-2</v>
      </c>
      <c r="G352" s="329">
        <f t="shared" si="140"/>
        <v>1</v>
      </c>
      <c r="H352" s="330">
        <f t="shared" si="141"/>
        <v>0</v>
      </c>
      <c r="I352" s="328">
        <f t="shared" si="142"/>
        <v>59852.470605812829</v>
      </c>
      <c r="J352" s="331">
        <f t="shared" si="143"/>
        <v>1.5707796190468299</v>
      </c>
      <c r="K352" s="339">
        <f t="shared" si="159"/>
        <v>7.771640103421273</v>
      </c>
      <c r="L352" s="340">
        <f t="shared" si="160"/>
        <v>1.4417656194478174</v>
      </c>
      <c r="M352" s="328">
        <f t="shared" si="144"/>
        <v>1.0076035593185706</v>
      </c>
      <c r="N352" s="331">
        <f t="shared" si="145"/>
        <v>0.12292836478340192</v>
      </c>
      <c r="O352" s="332">
        <f t="shared" si="146"/>
        <v>1.0024608957718881</v>
      </c>
      <c r="P352" s="333">
        <f t="shared" si="147"/>
        <v>0.18955431742617163</v>
      </c>
      <c r="Q352" s="334">
        <f t="shared" si="148"/>
        <v>2.5180672041069223</v>
      </c>
      <c r="R352" s="335">
        <f t="shared" si="149"/>
        <v>-105.40363398754918</v>
      </c>
      <c r="S352" s="337">
        <f t="shared" si="150"/>
        <v>74.596366012450815</v>
      </c>
      <c r="U352" s="310">
        <f t="shared" si="156"/>
        <v>1000000000</v>
      </c>
      <c r="V352" s="310">
        <f t="shared" si="157"/>
        <v>749951917.5625</v>
      </c>
      <c r="X352" s="336">
        <f t="shared" si="151"/>
        <v>2.8419984581343649</v>
      </c>
      <c r="Y352" s="337">
        <f t="shared" si="152"/>
        <v>-14.435234176154117</v>
      </c>
      <c r="AA352" s="336">
        <f t="shared" si="153"/>
        <v>-0.32393125402744538</v>
      </c>
      <c r="AB352" s="337">
        <f t="shared" si="154"/>
        <v>-90.968399811395031</v>
      </c>
      <c r="AD352">
        <f t="shared" si="158"/>
        <v>0</v>
      </c>
      <c r="AE352">
        <f t="shared" si="161"/>
        <v>0</v>
      </c>
    </row>
    <row r="353" spans="1:31" x14ac:dyDescent="0.25">
      <c r="A353" s="338">
        <v>27542</v>
      </c>
      <c r="B353" s="355">
        <f t="shared" si="155"/>
        <v>27.542000000000002</v>
      </c>
      <c r="C353" s="328">
        <f t="shared" si="136"/>
        <v>6.2614458458186464</v>
      </c>
      <c r="D353" s="329">
        <f t="shared" si="137"/>
        <v>1.4104019619270853</v>
      </c>
      <c r="E353" s="329">
        <f t="shared" si="138"/>
        <v>1.0000652220427106</v>
      </c>
      <c r="F353" s="330">
        <f t="shared" si="139"/>
        <v>1.1420901713871598E-2</v>
      </c>
      <c r="G353" s="329">
        <f t="shared" si="140"/>
        <v>1</v>
      </c>
      <c r="H353" s="330">
        <f t="shared" si="141"/>
        <v>0</v>
      </c>
      <c r="I353" s="328">
        <f t="shared" si="142"/>
        <v>60195.059217012269</v>
      </c>
      <c r="J353" s="331">
        <f t="shared" si="143"/>
        <v>1.5707797141357671</v>
      </c>
      <c r="K353" s="339">
        <f t="shared" si="159"/>
        <v>7.8153896236504945</v>
      </c>
      <c r="L353" s="340">
        <f t="shared" si="160"/>
        <v>1.4424919175335382</v>
      </c>
      <c r="M353" s="328">
        <f t="shared" si="144"/>
        <v>1.0076905191025551</v>
      </c>
      <c r="N353" s="331">
        <f t="shared" si="145"/>
        <v>0.12362486532247392</v>
      </c>
      <c r="O353" s="332">
        <f t="shared" si="146"/>
        <v>1.002490503634839</v>
      </c>
      <c r="P353" s="333">
        <f t="shared" si="147"/>
        <v>0.19064690465712267</v>
      </c>
      <c r="Q353" s="334">
        <f t="shared" si="148"/>
        <v>2.4679475628713932</v>
      </c>
      <c r="R353" s="335">
        <f t="shared" si="149"/>
        <v>-105.51250583779759</v>
      </c>
      <c r="S353" s="337">
        <f t="shared" si="150"/>
        <v>74.48749416220241</v>
      </c>
      <c r="U353" s="310">
        <f t="shared" si="156"/>
        <v>1000000000</v>
      </c>
      <c r="V353" s="310">
        <f t="shared" si="157"/>
        <v>758561764</v>
      </c>
      <c r="X353" s="336">
        <f t="shared" si="151"/>
        <v>2.8404326528776851</v>
      </c>
      <c r="Y353" s="337">
        <f t="shared" si="152"/>
        <v>-14.43353235068413</v>
      </c>
      <c r="AA353" s="336">
        <f t="shared" si="153"/>
        <v>-0.37248509000628877</v>
      </c>
      <c r="AB353" s="337">
        <f t="shared" si="154"/>
        <v>-91.078973487113458</v>
      </c>
      <c r="AD353">
        <f t="shared" si="158"/>
        <v>0</v>
      </c>
      <c r="AE353">
        <f t="shared" si="161"/>
        <v>0</v>
      </c>
    </row>
    <row r="354" spans="1:31" x14ac:dyDescent="0.25">
      <c r="A354" s="338">
        <v>27702.5</v>
      </c>
      <c r="B354" s="355">
        <f t="shared" si="155"/>
        <v>27.702500000000001</v>
      </c>
      <c r="C354" s="328">
        <f t="shared" si="136"/>
        <v>6.2970061309396606</v>
      </c>
      <c r="D354" s="329">
        <f t="shared" si="137"/>
        <v>1.4113155175226786</v>
      </c>
      <c r="E354" s="329">
        <f t="shared" si="138"/>
        <v>1.0000659843906048</v>
      </c>
      <c r="F354" s="330">
        <f t="shared" si="139"/>
        <v>1.1487450763853732E-2</v>
      </c>
      <c r="G354" s="329">
        <f t="shared" si="140"/>
        <v>1</v>
      </c>
      <c r="H354" s="330">
        <f t="shared" si="141"/>
        <v>0</v>
      </c>
      <c r="I354" s="328">
        <f t="shared" si="142"/>
        <v>60545.843728001739</v>
      </c>
      <c r="J354" s="331">
        <f t="shared" si="143"/>
        <v>1.5707798103845458</v>
      </c>
      <c r="K354" s="339">
        <f t="shared" si="159"/>
        <v>7.8601900068067723</v>
      </c>
      <c r="L354" s="340">
        <f t="shared" si="160"/>
        <v>1.443227213229531</v>
      </c>
      <c r="M354" s="328">
        <f t="shared" si="144"/>
        <v>1.0077800657014415</v>
      </c>
      <c r="N354" s="331">
        <f t="shared" si="145"/>
        <v>0.12433790365055361</v>
      </c>
      <c r="O354" s="332">
        <f t="shared" si="146"/>
        <v>1.0025210269986429</v>
      </c>
      <c r="P354" s="333">
        <f t="shared" si="147"/>
        <v>0.19176576210190655</v>
      </c>
      <c r="Q354" s="334">
        <f t="shared" si="148"/>
        <v>2.4169065748464353</v>
      </c>
      <c r="R354" s="335">
        <f t="shared" si="149"/>
        <v>-105.62387180907554</v>
      </c>
      <c r="S354" s="337">
        <f t="shared" si="150"/>
        <v>74.376128190924462</v>
      </c>
      <c r="U354" s="310">
        <f t="shared" si="156"/>
        <v>1000000000</v>
      </c>
      <c r="V354" s="310">
        <f t="shared" si="157"/>
        <v>767428506.25</v>
      </c>
      <c r="X354" s="336">
        <f t="shared" si="151"/>
        <v>2.8388392504865974</v>
      </c>
      <c r="Y354" s="337">
        <f t="shared" si="152"/>
        <v>-14.432262612087003</v>
      </c>
      <c r="AA354" s="336">
        <f t="shared" si="153"/>
        <v>-0.42193267564016079</v>
      </c>
      <c r="AB354" s="337">
        <f t="shared" si="154"/>
        <v>-91.191609196988551</v>
      </c>
      <c r="AD354">
        <f t="shared" si="158"/>
        <v>0</v>
      </c>
      <c r="AE354">
        <f t="shared" si="161"/>
        <v>0</v>
      </c>
    </row>
    <row r="355" spans="1:31" x14ac:dyDescent="0.25">
      <c r="A355" s="338">
        <v>27863</v>
      </c>
      <c r="B355" s="355">
        <f t="shared" si="155"/>
        <v>27.863</v>
      </c>
      <c r="C355" s="328">
        <f t="shared" si="136"/>
        <v>6.3325716124148865</v>
      </c>
      <c r="D355" s="329">
        <f t="shared" si="137"/>
        <v>1.4122188123010533</v>
      </c>
      <c r="E355" s="329">
        <f t="shared" si="138"/>
        <v>1.0000667511675605</v>
      </c>
      <c r="F355" s="330">
        <f t="shared" si="139"/>
        <v>1.1553999712080855E-2</v>
      </c>
      <c r="G355" s="329">
        <f t="shared" si="140"/>
        <v>1</v>
      </c>
      <c r="H355" s="330">
        <f t="shared" si="141"/>
        <v>0</v>
      </c>
      <c r="I355" s="328">
        <f t="shared" si="142"/>
        <v>60896.628238991761</v>
      </c>
      <c r="J355" s="331">
        <f t="shared" si="143"/>
        <v>1.5707799055244756</v>
      </c>
      <c r="K355" s="339">
        <f t="shared" si="159"/>
        <v>7.9049945914812083</v>
      </c>
      <c r="L355" s="340">
        <f t="shared" si="160"/>
        <v>1.4439541741748674</v>
      </c>
      <c r="M355" s="328">
        <f t="shared" si="144"/>
        <v>1.0078701245883557</v>
      </c>
      <c r="N355" s="331">
        <f t="shared" si="145"/>
        <v>0.12505081491303835</v>
      </c>
      <c r="O355" s="332">
        <f t="shared" si="146"/>
        <v>1.0025517605501535</v>
      </c>
      <c r="P355" s="333">
        <f t="shared" si="147"/>
        <v>0.19288475354778253</v>
      </c>
      <c r="Q355" s="334">
        <f t="shared" si="148"/>
        <v>2.3661433462211732</v>
      </c>
      <c r="R355" s="335">
        <f t="shared" si="149"/>
        <v>-105.73512776454079</v>
      </c>
      <c r="S355" s="337">
        <f t="shared" si="150"/>
        <v>74.264872235459208</v>
      </c>
      <c r="U355" s="310">
        <f t="shared" si="156"/>
        <v>1000000000</v>
      </c>
      <c r="V355" s="310">
        <f t="shared" si="157"/>
        <v>776346769</v>
      </c>
      <c r="X355" s="336">
        <f t="shared" si="151"/>
        <v>2.8372555070742962</v>
      </c>
      <c r="Y355" s="337">
        <f t="shared" si="152"/>
        <v>-14.431463075671619</v>
      </c>
      <c r="AA355" s="336">
        <f t="shared" si="153"/>
        <v>-0.47111216085312158</v>
      </c>
      <c r="AB355" s="337">
        <f t="shared" si="154"/>
        <v>-91.303664688869148</v>
      </c>
      <c r="AD355">
        <f t="shared" si="158"/>
        <v>0</v>
      </c>
      <c r="AE355">
        <f t="shared" si="161"/>
        <v>0</v>
      </c>
    </row>
    <row r="356" spans="1:31" x14ac:dyDescent="0.25">
      <c r="A356" s="338">
        <v>28023.5</v>
      </c>
      <c r="B356" s="355">
        <f t="shared" si="155"/>
        <v>28.023499999999999</v>
      </c>
      <c r="C356" s="328">
        <f t="shared" si="136"/>
        <v>6.3681422031808603</v>
      </c>
      <c r="D356" s="329">
        <f t="shared" si="137"/>
        <v>1.4131120167174755</v>
      </c>
      <c r="E356" s="329">
        <f t="shared" si="138"/>
        <v>1.0000675223735676</v>
      </c>
      <c r="F356" s="330">
        <f t="shared" si="139"/>
        <v>1.1620548557963741E-2</v>
      </c>
      <c r="G356" s="329">
        <f t="shared" si="140"/>
        <v>1</v>
      </c>
      <c r="H356" s="330">
        <f t="shared" si="141"/>
        <v>0</v>
      </c>
      <c r="I356" s="328">
        <f t="shared" si="142"/>
        <v>61247.412749982323</v>
      </c>
      <c r="J356" s="331">
        <f t="shared" si="143"/>
        <v>1.5707799995746086</v>
      </c>
      <c r="K356" s="339">
        <f t="shared" si="159"/>
        <v>7.9498033066353395</v>
      </c>
      <c r="L356" s="340">
        <f t="shared" si="160"/>
        <v>1.4446729405299823</v>
      </c>
      <c r="M356" s="328">
        <f t="shared" si="144"/>
        <v>1.0079606956259826</v>
      </c>
      <c r="N356" s="331">
        <f t="shared" si="145"/>
        <v>0.1257635984194212</v>
      </c>
      <c r="O356" s="332">
        <f t="shared" si="146"/>
        <v>1.0025827048569509</v>
      </c>
      <c r="P356" s="333">
        <f t="shared" si="147"/>
        <v>0.19400387967877233</v>
      </c>
      <c r="Q356" s="334">
        <f t="shared" si="148"/>
        <v>2.315654694763464</v>
      </c>
      <c r="R356" s="335">
        <f t="shared" si="149"/>
        <v>-105.84627544071306</v>
      </c>
      <c r="S356" s="337">
        <f t="shared" si="150"/>
        <v>74.153724559286943</v>
      </c>
      <c r="U356" s="310">
        <f t="shared" si="156"/>
        <v>1000000000</v>
      </c>
      <c r="V356" s="310">
        <f t="shared" si="157"/>
        <v>785316552.25</v>
      </c>
      <c r="X356" s="336">
        <f t="shared" si="151"/>
        <v>2.8356811092961731</v>
      </c>
      <c r="Y356" s="337">
        <f t="shared" si="152"/>
        <v>-14.431125672365111</v>
      </c>
      <c r="AA356" s="336">
        <f t="shared" si="153"/>
        <v>-0.52002641453270915</v>
      </c>
      <c r="AB356" s="337">
        <f t="shared" si="154"/>
        <v>-91.415149768347959</v>
      </c>
      <c r="AD356">
        <f t="shared" si="158"/>
        <v>0</v>
      </c>
      <c r="AE356">
        <f t="shared" si="161"/>
        <v>0</v>
      </c>
    </row>
    <row r="357" spans="1:31" x14ac:dyDescent="0.25">
      <c r="A357" s="338">
        <v>28184</v>
      </c>
      <c r="B357" s="355">
        <f t="shared" si="155"/>
        <v>28.184000000000001</v>
      </c>
      <c r="C357" s="328">
        <f t="shared" si="136"/>
        <v>6.4037178180961876</v>
      </c>
      <c r="D357" s="329">
        <f t="shared" si="137"/>
        <v>1.4139952975046013</v>
      </c>
      <c r="E357" s="329">
        <f t="shared" si="138"/>
        <v>1.0000682980086157</v>
      </c>
      <c r="F357" s="330">
        <f t="shared" si="139"/>
        <v>1.1687097300913168E-2</v>
      </c>
      <c r="G357" s="329">
        <f t="shared" si="140"/>
        <v>1</v>
      </c>
      <c r="H357" s="330">
        <f t="shared" si="141"/>
        <v>0</v>
      </c>
      <c r="I357" s="328">
        <f t="shared" si="142"/>
        <v>61598.197260973429</v>
      </c>
      <c r="J357" s="331">
        <f t="shared" si="143"/>
        <v>1.5707800925535631</v>
      </c>
      <c r="K357" s="339">
        <f t="shared" si="159"/>
        <v>7.9946160828168651</v>
      </c>
      <c r="L357" s="340">
        <f t="shared" si="160"/>
        <v>1.4453836493470105</v>
      </c>
      <c r="M357" s="328">
        <f t="shared" si="144"/>
        <v>1.0080517786762753</v>
      </c>
      <c r="N357" s="331">
        <f t="shared" si="145"/>
        <v>0.12647625347996186</v>
      </c>
      <c r="O357" s="332">
        <f t="shared" si="146"/>
        <v>1.0026138604898018</v>
      </c>
      <c r="P357" s="333">
        <f t="shared" si="147"/>
        <v>0.19512314117728716</v>
      </c>
      <c r="Q357" s="334">
        <f t="shared" si="148"/>
        <v>2.2654374909949127</v>
      </c>
      <c r="R357" s="335">
        <f t="shared" si="149"/>
        <v>-105.95731653884158</v>
      </c>
      <c r="S357" s="337">
        <f t="shared" si="150"/>
        <v>74.042683461158418</v>
      </c>
      <c r="U357" s="310">
        <f t="shared" si="156"/>
        <v>1000000000</v>
      </c>
      <c r="V357" s="310">
        <f t="shared" si="157"/>
        <v>794337856</v>
      </c>
      <c r="X357" s="336">
        <f t="shared" si="151"/>
        <v>2.8341157526423277</v>
      </c>
      <c r="Y357" s="337">
        <f t="shared" si="152"/>
        <v>-14.431242511206097</v>
      </c>
      <c r="AA357" s="336">
        <f t="shared" si="153"/>
        <v>-0.56867826164741542</v>
      </c>
      <c r="AB357" s="337">
        <f t="shared" si="154"/>
        <v>-91.526074027635474</v>
      </c>
      <c r="AD357">
        <f t="shared" si="158"/>
        <v>0</v>
      </c>
      <c r="AE357">
        <f t="shared" si="161"/>
        <v>0</v>
      </c>
    </row>
    <row r="358" spans="1:31" x14ac:dyDescent="0.25">
      <c r="A358" s="338">
        <v>28348</v>
      </c>
      <c r="B358" s="355">
        <f t="shared" si="155"/>
        <v>28.347999999999999</v>
      </c>
      <c r="C358" s="328">
        <f t="shared" si="136"/>
        <v>6.4400743282921047</v>
      </c>
      <c r="D358" s="329">
        <f t="shared" si="137"/>
        <v>1.4148877589619928</v>
      </c>
      <c r="E358" s="329">
        <f t="shared" si="138"/>
        <v>1.0000690951327822</v>
      </c>
      <c r="F358" s="330">
        <f t="shared" si="139"/>
        <v>1.1755097155618233E-2</v>
      </c>
      <c r="G358" s="329">
        <f t="shared" si="140"/>
        <v>1</v>
      </c>
      <c r="H358" s="330">
        <f t="shared" si="141"/>
        <v>0</v>
      </c>
      <c r="I358" s="328">
        <f t="shared" si="142"/>
        <v>61956.631278435278</v>
      </c>
      <c r="J358" s="331">
        <f t="shared" si="143"/>
        <v>1.5707801864725548</v>
      </c>
      <c r="K358" s="339">
        <f t="shared" si="159"/>
        <v>8.0404102088287086</v>
      </c>
      <c r="L358" s="340">
        <f t="shared" si="160"/>
        <v>1.4461016729035341</v>
      </c>
      <c r="M358" s="328">
        <f t="shared" si="144"/>
        <v>1.0081453766993991</v>
      </c>
      <c r="N358" s="331">
        <f t="shared" si="145"/>
        <v>0.1272043159103417</v>
      </c>
      <c r="O358" s="332">
        <f t="shared" si="146"/>
        <v>1.0026459144150026</v>
      </c>
      <c r="P358" s="333">
        <f t="shared" si="147"/>
        <v>0.19626695078336548</v>
      </c>
      <c r="Q358" s="334">
        <f t="shared" si="148"/>
        <v>2.2144023972658102</v>
      </c>
      <c r="R358" s="335">
        <f t="shared" si="149"/>
        <v>-106.07067073843531</v>
      </c>
      <c r="S358" s="337">
        <f t="shared" si="150"/>
        <v>73.929329261564689</v>
      </c>
      <c r="U358" s="310">
        <f t="shared" si="156"/>
        <v>1000000000</v>
      </c>
      <c r="V358" s="310">
        <f t="shared" si="157"/>
        <v>803609104</v>
      </c>
      <c r="X358" s="336">
        <f t="shared" si="151"/>
        <v>2.8325252916014265</v>
      </c>
      <c r="Y358" s="337">
        <f t="shared" si="152"/>
        <v>-14.431823077471625</v>
      </c>
      <c r="AA358" s="336">
        <f t="shared" si="153"/>
        <v>-0.61812289433561607</v>
      </c>
      <c r="AB358" s="337">
        <f t="shared" si="154"/>
        <v>-91.638847660963677</v>
      </c>
      <c r="AD358">
        <f t="shared" si="158"/>
        <v>0</v>
      </c>
      <c r="AE358">
        <f t="shared" si="161"/>
        <v>0</v>
      </c>
    </row>
    <row r="359" spans="1:31" x14ac:dyDescent="0.25">
      <c r="A359" s="338">
        <v>28512</v>
      </c>
      <c r="B359" s="355">
        <f t="shared" si="155"/>
        <v>28.512</v>
      </c>
      <c r="C359" s="328">
        <f t="shared" si="136"/>
        <v>6.4764359103342048</v>
      </c>
      <c r="D359" s="329">
        <f t="shared" si="137"/>
        <v>1.4157701997672205</v>
      </c>
      <c r="E359" s="329">
        <f t="shared" si="138"/>
        <v>1.0000698968812411</v>
      </c>
      <c r="F359" s="330">
        <f t="shared" si="139"/>
        <v>1.182309690160779E-2</v>
      </c>
      <c r="G359" s="329">
        <f t="shared" si="140"/>
        <v>1</v>
      </c>
      <c r="H359" s="330">
        <f t="shared" si="141"/>
        <v>0</v>
      </c>
      <c r="I359" s="328">
        <f t="shared" si="142"/>
        <v>62315.065295897679</v>
      </c>
      <c r="J359" s="331">
        <f t="shared" si="143"/>
        <v>1.5707802793111092</v>
      </c>
      <c r="K359" s="339">
        <f t="shared" si="159"/>
        <v>8.0862084331841331</v>
      </c>
      <c r="L359" s="340">
        <f t="shared" si="160"/>
        <v>1.4468115634176291</v>
      </c>
      <c r="M359" s="328">
        <f t="shared" si="144"/>
        <v>1.0082395090157013</v>
      </c>
      <c r="N359" s="331">
        <f t="shared" si="145"/>
        <v>0.12793224277825835</v>
      </c>
      <c r="O359" s="332">
        <f t="shared" si="146"/>
        <v>1.0026781901984942</v>
      </c>
      <c r="P359" s="333">
        <f t="shared" si="147"/>
        <v>0.19741090316056986</v>
      </c>
      <c r="Q359" s="334">
        <f t="shared" si="148"/>
        <v>2.1636442765294612</v>
      </c>
      <c r="R359" s="335">
        <f t="shared" si="149"/>
        <v>-106.18391714330811</v>
      </c>
      <c r="S359" s="337">
        <f t="shared" si="150"/>
        <v>73.816082856691892</v>
      </c>
      <c r="U359" s="310">
        <f t="shared" si="156"/>
        <v>1000000000</v>
      </c>
      <c r="V359" s="310">
        <f t="shared" si="157"/>
        <v>812934144</v>
      </c>
      <c r="X359" s="336">
        <f t="shared" si="151"/>
        <v>2.8309436544627431</v>
      </c>
      <c r="Y359" s="337">
        <f t="shared" si="152"/>
        <v>-14.432861803681936</v>
      </c>
      <c r="AA359" s="336">
        <f t="shared" si="153"/>
        <v>-0.66729937793328054</v>
      </c>
      <c r="AB359" s="337">
        <f t="shared" si="154"/>
        <v>-91.751055339626163</v>
      </c>
      <c r="AD359">
        <f t="shared" si="158"/>
        <v>0</v>
      </c>
      <c r="AE359">
        <f t="shared" si="161"/>
        <v>0</v>
      </c>
    </row>
    <row r="360" spans="1:31" x14ac:dyDescent="0.25">
      <c r="A360" s="338">
        <v>28676</v>
      </c>
      <c r="B360" s="355">
        <f t="shared" si="155"/>
        <v>28.675999999999998</v>
      </c>
      <c r="C360" s="328">
        <f t="shared" si="136"/>
        <v>6.5128024792727208</v>
      </c>
      <c r="D360" s="329">
        <f t="shared" si="137"/>
        <v>1.4166427863960473</v>
      </c>
      <c r="E360" s="329">
        <f t="shared" si="138"/>
        <v>1.0000707032539815</v>
      </c>
      <c r="F360" s="330">
        <f t="shared" si="139"/>
        <v>1.1891096538253243E-2</v>
      </c>
      <c r="G360" s="329">
        <f t="shared" si="140"/>
        <v>1</v>
      </c>
      <c r="H360" s="330">
        <f t="shared" si="141"/>
        <v>0</v>
      </c>
      <c r="I360" s="328">
        <f t="shared" si="142"/>
        <v>62673.499313360604</v>
      </c>
      <c r="J360" s="331">
        <f t="shared" si="143"/>
        <v>1.5707803710877637</v>
      </c>
      <c r="K360" s="339">
        <f t="shared" si="159"/>
        <v>8.1320106866394273</v>
      </c>
      <c r="L360" s="340">
        <f t="shared" si="160"/>
        <v>1.4475134575918853</v>
      </c>
      <c r="M360" s="328">
        <f t="shared" si="144"/>
        <v>1.0083341754755462</v>
      </c>
      <c r="N360" s="331">
        <f t="shared" si="145"/>
        <v>0.12866003335036219</v>
      </c>
      <c r="O360" s="332">
        <f t="shared" si="146"/>
        <v>1.0027106884595058</v>
      </c>
      <c r="P360" s="333">
        <f t="shared" si="147"/>
        <v>0.19855499903166163</v>
      </c>
      <c r="Q360" s="334">
        <f t="shared" si="148"/>
        <v>2.1131599533606815</v>
      </c>
      <c r="R360" s="335">
        <f t="shared" si="149"/>
        <v>-106.29705745982861</v>
      </c>
      <c r="S360" s="337">
        <f t="shared" si="150"/>
        <v>73.702942540171392</v>
      </c>
      <c r="U360" s="310">
        <f t="shared" si="156"/>
        <v>1000000000</v>
      </c>
      <c r="V360" s="310">
        <f t="shared" si="157"/>
        <v>822312976</v>
      </c>
      <c r="X360" s="336">
        <f t="shared" si="151"/>
        <v>2.8293705430751852</v>
      </c>
      <c r="Y360" s="337">
        <f t="shared" si="152"/>
        <v>-14.434350816399862</v>
      </c>
      <c r="AA360" s="336">
        <f t="shared" si="153"/>
        <v>-0.71621058971450324</v>
      </c>
      <c r="AB360" s="337">
        <f t="shared" si="154"/>
        <v>-91.862706643428766</v>
      </c>
      <c r="AD360">
        <f t="shared" si="158"/>
        <v>0</v>
      </c>
      <c r="AE360">
        <f t="shared" si="161"/>
        <v>0</v>
      </c>
    </row>
    <row r="361" spans="1:31" x14ac:dyDescent="0.25">
      <c r="A361" s="338">
        <v>28840</v>
      </c>
      <c r="B361" s="355">
        <f t="shared" si="155"/>
        <v>28.84</v>
      </c>
      <c r="C361" s="328">
        <f t="shared" si="136"/>
        <v>6.5491739520332182</v>
      </c>
      <c r="D361" s="329">
        <f t="shared" si="137"/>
        <v>1.4175056816868672</v>
      </c>
      <c r="E361" s="329">
        <f t="shared" si="138"/>
        <v>1.0000715142509917</v>
      </c>
      <c r="F361" s="330">
        <f t="shared" si="139"/>
        <v>1.1959096064926008E-2</v>
      </c>
      <c r="G361" s="329">
        <f t="shared" si="140"/>
        <v>1</v>
      </c>
      <c r="H361" s="330">
        <f t="shared" si="141"/>
        <v>0</v>
      </c>
      <c r="I361" s="328">
        <f t="shared" si="142"/>
        <v>63031.933330824053</v>
      </c>
      <c r="J361" s="331">
        <f t="shared" si="143"/>
        <v>1.5707804618206336</v>
      </c>
      <c r="K361" s="339">
        <f t="shared" si="159"/>
        <v>8.1778169014961399</v>
      </c>
      <c r="L361" s="340">
        <f t="shared" si="160"/>
        <v>1.4482074890979775</v>
      </c>
      <c r="M361" s="328">
        <f t="shared" si="144"/>
        <v>1.0084293759285055</v>
      </c>
      <c r="N361" s="331">
        <f t="shared" si="145"/>
        <v>0.12938768689415567</v>
      </c>
      <c r="O361" s="332">
        <f t="shared" si="146"/>
        <v>1.0027434098207353</v>
      </c>
      <c r="P361" s="333">
        <f t="shared" si="147"/>
        <v>0.19969923911760423</v>
      </c>
      <c r="Q361" s="334">
        <f t="shared" si="148"/>
        <v>2.0629463049588121</v>
      </c>
      <c r="R361" s="335">
        <f t="shared" si="149"/>
        <v>-106.41009335953986</v>
      </c>
      <c r="S361" s="337">
        <f t="shared" si="150"/>
        <v>73.589906640460143</v>
      </c>
      <c r="U361" s="310">
        <f t="shared" si="156"/>
        <v>1000000000</v>
      </c>
      <c r="V361" s="310">
        <f t="shared" si="157"/>
        <v>831745600</v>
      </c>
      <c r="X361" s="336">
        <f t="shared" si="151"/>
        <v>2.8278056676985006</v>
      </c>
      <c r="Y361" s="337">
        <f t="shared" si="152"/>
        <v>-14.43628241587149</v>
      </c>
      <c r="AA361" s="336">
        <f t="shared" si="153"/>
        <v>-0.76485936273969168</v>
      </c>
      <c r="AB361" s="337">
        <f t="shared" si="154"/>
        <v>-91.973810943668369</v>
      </c>
      <c r="AD361">
        <f t="shared" si="158"/>
        <v>0</v>
      </c>
      <c r="AE361">
        <f t="shared" si="161"/>
        <v>0</v>
      </c>
    </row>
    <row r="362" spans="1:31" x14ac:dyDescent="0.25">
      <c r="A362" s="338">
        <v>29008</v>
      </c>
      <c r="B362" s="355">
        <f t="shared" si="155"/>
        <v>29.007999999999999</v>
      </c>
      <c r="C362" s="328">
        <f t="shared" si="136"/>
        <v>6.5864375336535748</v>
      </c>
      <c r="D362" s="329">
        <f t="shared" si="137"/>
        <v>1.4183797409177352</v>
      </c>
      <c r="E362" s="329">
        <f t="shared" si="138"/>
        <v>1.0000723498232311</v>
      </c>
      <c r="F362" s="330">
        <f t="shared" si="139"/>
        <v>1.2028754001953712E-2</v>
      </c>
      <c r="G362" s="329">
        <f t="shared" si="140"/>
        <v>1</v>
      </c>
      <c r="H362" s="330">
        <f t="shared" si="141"/>
        <v>0</v>
      </c>
      <c r="I362" s="328">
        <f t="shared" si="142"/>
        <v>63399.109641396899</v>
      </c>
      <c r="J362" s="331">
        <f t="shared" si="143"/>
        <v>1.570780553702724</v>
      </c>
      <c r="K362" s="339">
        <f t="shared" si="159"/>
        <v>8.2247443794284223</v>
      </c>
      <c r="L362" s="340">
        <f t="shared" si="160"/>
        <v>1.4489104321652826</v>
      </c>
      <c r="M362" s="328">
        <f t="shared" si="144"/>
        <v>1.0085274518739347</v>
      </c>
      <c r="N362" s="331">
        <f t="shared" si="145"/>
        <v>0.1301329452382711</v>
      </c>
      <c r="O362" s="332">
        <f t="shared" si="146"/>
        <v>1.002777161247284</v>
      </c>
      <c r="P362" s="333">
        <f t="shared" si="147"/>
        <v>0.2008715377839555</v>
      </c>
      <c r="Q362" s="334">
        <f t="shared" si="148"/>
        <v>2.0117853812619053</v>
      </c>
      <c r="R362" s="335">
        <f t="shared" si="149"/>
        <v>-106.52577967598084</v>
      </c>
      <c r="S362" s="337">
        <f t="shared" si="150"/>
        <v>73.474220324019157</v>
      </c>
      <c r="U362" s="310">
        <f t="shared" si="156"/>
        <v>1000000000</v>
      </c>
      <c r="V362" s="310">
        <f t="shared" si="157"/>
        <v>841464064</v>
      </c>
      <c r="X362" s="336">
        <f t="shared" si="151"/>
        <v>2.8262108700891764</v>
      </c>
      <c r="Y362" s="337">
        <f t="shared" si="152"/>
        <v>-14.438712167100418</v>
      </c>
      <c r="AA362" s="336">
        <f t="shared" si="153"/>
        <v>-0.81442548882727339</v>
      </c>
      <c r="AB362" s="337">
        <f t="shared" si="154"/>
        <v>-92.087067508880452</v>
      </c>
      <c r="AD362">
        <f t="shared" si="158"/>
        <v>0</v>
      </c>
      <c r="AE362">
        <f t="shared" si="161"/>
        <v>0</v>
      </c>
    </row>
    <row r="363" spans="1:31" x14ac:dyDescent="0.25">
      <c r="A363" s="338">
        <v>29176</v>
      </c>
      <c r="B363" s="355">
        <f t="shared" si="155"/>
        <v>29.175999999999998</v>
      </c>
      <c r="C363" s="328">
        <f t="shared" si="136"/>
        <v>6.6237060905583478</v>
      </c>
      <c r="D363" s="329">
        <f t="shared" si="137"/>
        <v>1.4192439649416821</v>
      </c>
      <c r="E363" s="329">
        <f t="shared" si="138"/>
        <v>1.0000731902480418</v>
      </c>
      <c r="F363" s="330">
        <f t="shared" si="139"/>
        <v>1.2098411822243464E-2</v>
      </c>
      <c r="G363" s="329">
        <f t="shared" si="140"/>
        <v>1</v>
      </c>
      <c r="H363" s="330">
        <f t="shared" si="141"/>
        <v>0</v>
      </c>
      <c r="I363" s="328">
        <f t="shared" si="142"/>
        <v>63766.285951970269</v>
      </c>
      <c r="J363" s="331">
        <f t="shared" si="143"/>
        <v>1.5707806445266712</v>
      </c>
      <c r="K363" s="339">
        <f t="shared" si="159"/>
        <v>8.2716758753305744</v>
      </c>
      <c r="L363" s="340">
        <f t="shared" si="160"/>
        <v>1.4496053989135638</v>
      </c>
      <c r="M363" s="328">
        <f t="shared" si="144"/>
        <v>1.0086260878564797</v>
      </c>
      <c r="N363" s="331">
        <f t="shared" si="145"/>
        <v>0.13087805823493356</v>
      </c>
      <c r="O363" s="332">
        <f t="shared" si="146"/>
        <v>1.0028111481236757</v>
      </c>
      <c r="P363" s="333">
        <f t="shared" si="147"/>
        <v>0.20204398931156492</v>
      </c>
      <c r="Q363" s="334">
        <f t="shared" si="148"/>
        <v>1.96090202742944</v>
      </c>
      <c r="R363" s="335">
        <f t="shared" si="149"/>
        <v>-106.6413598625614</v>
      </c>
      <c r="S363" s="337">
        <f t="shared" si="150"/>
        <v>73.358640137438599</v>
      </c>
      <c r="U363" s="310">
        <f t="shared" si="156"/>
        <v>1000000000</v>
      </c>
      <c r="V363" s="310">
        <f t="shared" si="157"/>
        <v>851238976</v>
      </c>
      <c r="X363" s="336">
        <f t="shared" si="151"/>
        <v>2.8246241254992572</v>
      </c>
      <c r="Y363" s="337">
        <f t="shared" si="152"/>
        <v>-14.441590539323226</v>
      </c>
      <c r="AA363" s="336">
        <f t="shared" si="153"/>
        <v>-0.8637220980698157</v>
      </c>
      <c r="AB363" s="337">
        <f t="shared" si="154"/>
        <v>-92.199769323238201</v>
      </c>
      <c r="AD363">
        <f t="shared" si="158"/>
        <v>0</v>
      </c>
      <c r="AE363">
        <f t="shared" si="161"/>
        <v>0</v>
      </c>
    </row>
    <row r="364" spans="1:31" x14ac:dyDescent="0.25">
      <c r="A364" s="338">
        <v>29344</v>
      </c>
      <c r="B364" s="355">
        <f t="shared" si="155"/>
        <v>29.344000000000001</v>
      </c>
      <c r="C364" s="328">
        <f t="shared" si="136"/>
        <v>6.6609795392365445</v>
      </c>
      <c r="D364" s="329">
        <f t="shared" si="137"/>
        <v>1.4200985175640868</v>
      </c>
      <c r="E364" s="329">
        <f t="shared" si="138"/>
        <v>1.0000740355254114</v>
      </c>
      <c r="F364" s="330">
        <f t="shared" si="139"/>
        <v>1.2168069525119568E-2</v>
      </c>
      <c r="G364" s="329">
        <f t="shared" si="140"/>
        <v>1</v>
      </c>
      <c r="H364" s="330">
        <f t="shared" si="141"/>
        <v>0</v>
      </c>
      <c r="I364" s="328">
        <f t="shared" si="142"/>
        <v>64133.462262544163</v>
      </c>
      <c r="J364" s="331">
        <f t="shared" si="143"/>
        <v>1.5707807343106495</v>
      </c>
      <c r="K364" s="339">
        <f t="shared" si="159"/>
        <v>8.3186113211974888</v>
      </c>
      <c r="L364" s="340">
        <f t="shared" si="160"/>
        <v>1.4502925236782374</v>
      </c>
      <c r="M364" s="328">
        <f t="shared" si="144"/>
        <v>1.0087252837118548</v>
      </c>
      <c r="N364" s="331">
        <f t="shared" si="145"/>
        <v>0.13162302509953885</v>
      </c>
      <c r="O364" s="332">
        <f t="shared" si="146"/>
        <v>1.0028453711305965</v>
      </c>
      <c r="P364" s="333">
        <f t="shared" si="147"/>
        <v>0.20321659446950716</v>
      </c>
      <c r="Q364" s="334">
        <f t="shared" si="148"/>
        <v>1.9102930508685423</v>
      </c>
      <c r="R364" s="335">
        <f t="shared" si="149"/>
        <v>-106.75683560797626</v>
      </c>
      <c r="S364" s="337">
        <f t="shared" si="150"/>
        <v>73.243164392023743</v>
      </c>
      <c r="U364" s="310">
        <f t="shared" si="156"/>
        <v>1000000000</v>
      </c>
      <c r="V364" s="310">
        <f t="shared" si="157"/>
        <v>861070336</v>
      </c>
      <c r="X364" s="336">
        <f t="shared" si="151"/>
        <v>2.8230451481282048</v>
      </c>
      <c r="Y364" s="337">
        <f t="shared" si="152"/>
        <v>-14.444909791774304</v>
      </c>
      <c r="AA364" s="336">
        <f t="shared" si="153"/>
        <v>-0.91275209725966355</v>
      </c>
      <c r="AB364" s="337">
        <f t="shared" si="154"/>
        <v>-92.311925816201963</v>
      </c>
      <c r="AD364">
        <f t="shared" si="158"/>
        <v>0</v>
      </c>
      <c r="AE364">
        <f t="shared" si="161"/>
        <v>0</v>
      </c>
    </row>
    <row r="365" spans="1:31" x14ac:dyDescent="0.25">
      <c r="A365" s="338">
        <v>29512</v>
      </c>
      <c r="B365" s="355">
        <f t="shared" si="155"/>
        <v>29.512</v>
      </c>
      <c r="C365" s="328">
        <f t="shared" si="136"/>
        <v>6.6982577980251676</v>
      </c>
      <c r="D365" s="329">
        <f t="shared" si="137"/>
        <v>1.4209435590010024</v>
      </c>
      <c r="E365" s="329">
        <f t="shared" si="138"/>
        <v>1.0000748856553274</v>
      </c>
      <c r="F365" s="330">
        <f t="shared" si="139"/>
        <v>1.223772710990634E-2</v>
      </c>
      <c r="G365" s="329">
        <f t="shared" si="140"/>
        <v>1</v>
      </c>
      <c r="H365" s="330">
        <f t="shared" si="141"/>
        <v>0</v>
      </c>
      <c r="I365" s="328">
        <f t="shared" si="142"/>
        <v>64500.638573118573</v>
      </c>
      <c r="J365" s="331">
        <f t="shared" si="143"/>
        <v>1.5707808230724194</v>
      </c>
      <c r="K365" s="339">
        <f t="shared" si="159"/>
        <v>8.3655506505445931</v>
      </c>
      <c r="L365" s="340">
        <f t="shared" si="160"/>
        <v>1.4509719378096839</v>
      </c>
      <c r="M365" s="328">
        <f t="shared" si="144"/>
        <v>1.0088250392749061</v>
      </c>
      <c r="N365" s="331">
        <f t="shared" si="145"/>
        <v>0.13236784504843918</v>
      </c>
      <c r="O365" s="332">
        <f t="shared" si="146"/>
        <v>1.0028798309525429</v>
      </c>
      <c r="P365" s="333">
        <f t="shared" si="147"/>
        <v>0.20438935402482941</v>
      </c>
      <c r="Q365" s="334">
        <f t="shared" si="148"/>
        <v>1.8599553120093764</v>
      </c>
      <c r="R365" s="335">
        <f t="shared" si="149"/>
        <v>-106.87220856621178</v>
      </c>
      <c r="S365" s="337">
        <f t="shared" si="150"/>
        <v>73.127791433788218</v>
      </c>
      <c r="U365" s="310">
        <f t="shared" si="156"/>
        <v>1000000000</v>
      </c>
      <c r="V365" s="310">
        <f t="shared" si="157"/>
        <v>870958144</v>
      </c>
      <c r="X365" s="336">
        <f t="shared" si="151"/>
        <v>2.8214736602636159</v>
      </c>
      <c r="Y365" s="337">
        <f t="shared" si="152"/>
        <v>-14.448662354749086</v>
      </c>
      <c r="AA365" s="336">
        <f t="shared" si="153"/>
        <v>-0.96151834825423876</v>
      </c>
      <c r="AB365" s="337">
        <f t="shared" si="154"/>
        <v>-92.423546211462693</v>
      </c>
      <c r="AD365">
        <f t="shared" si="158"/>
        <v>0</v>
      </c>
      <c r="AE365">
        <f t="shared" si="161"/>
        <v>0</v>
      </c>
    </row>
    <row r="366" spans="1:31" x14ac:dyDescent="0.25">
      <c r="A366" s="338">
        <v>29684</v>
      </c>
      <c r="B366" s="355">
        <f t="shared" si="155"/>
        <v>29.684000000000001</v>
      </c>
      <c r="C366" s="328">
        <f t="shared" si="136"/>
        <v>6.7364285342812273</v>
      </c>
      <c r="D366" s="329">
        <f t="shared" si="137"/>
        <v>1.4217990305383352</v>
      </c>
      <c r="E366" s="329">
        <f t="shared" si="138"/>
        <v>1.0000757610536464</v>
      </c>
      <c r="F366" s="330">
        <f t="shared" si="139"/>
        <v>1.2309043085570764E-2</v>
      </c>
      <c r="G366" s="329">
        <f t="shared" si="140"/>
        <v>1</v>
      </c>
      <c r="H366" s="330">
        <f t="shared" si="141"/>
        <v>0</v>
      </c>
      <c r="I366" s="328">
        <f t="shared" si="142"/>
        <v>64876.557176802402</v>
      </c>
      <c r="J366" s="331">
        <f t="shared" si="143"/>
        <v>1.5707809129066825</v>
      </c>
      <c r="K366" s="339">
        <f t="shared" si="159"/>
        <v>8.4136115383763261</v>
      </c>
      <c r="L366" s="340">
        <f t="shared" si="160"/>
        <v>1.4516596743792114</v>
      </c>
      <c r="M366" s="328">
        <f t="shared" si="144"/>
        <v>1.0089277496529276</v>
      </c>
      <c r="N366" s="331">
        <f t="shared" si="145"/>
        <v>0.13313024578401847</v>
      </c>
      <c r="O366" s="332">
        <f t="shared" si="146"/>
        <v>1.0029153573050331</v>
      </c>
      <c r="P366" s="333">
        <f t="shared" si="147"/>
        <v>0.20559019718086619</v>
      </c>
      <c r="Q366" s="334">
        <f t="shared" si="148"/>
        <v>1.8086968332708029</v>
      </c>
      <c r="R366" s="335">
        <f t="shared" si="149"/>
        <v>-106.99022370392979</v>
      </c>
      <c r="S366" s="337">
        <f t="shared" si="150"/>
        <v>73.009776296070214</v>
      </c>
      <c r="U366" s="310">
        <f t="shared" si="156"/>
        <v>1000000000</v>
      </c>
      <c r="V366" s="310">
        <f t="shared" si="157"/>
        <v>881139856</v>
      </c>
      <c r="X366" s="336">
        <f t="shared" si="151"/>
        <v>2.81987223335245</v>
      </c>
      <c r="Y366" s="337">
        <f t="shared" si="152"/>
        <v>-14.452945443473748</v>
      </c>
      <c r="AA366" s="336">
        <f t="shared" si="153"/>
        <v>-1.0111754000816495</v>
      </c>
      <c r="AB366" s="337">
        <f t="shared" si="154"/>
        <v>-92.537278260456048</v>
      </c>
      <c r="AD366">
        <f t="shared" si="158"/>
        <v>0</v>
      </c>
      <c r="AE366">
        <f t="shared" si="161"/>
        <v>0</v>
      </c>
    </row>
    <row r="367" spans="1:31" x14ac:dyDescent="0.25">
      <c r="A367" s="338">
        <v>29856</v>
      </c>
      <c r="B367" s="355">
        <f t="shared" si="155"/>
        <v>29.856000000000002</v>
      </c>
      <c r="C367" s="328">
        <f t="shared" si="136"/>
        <v>6.774604144911871</v>
      </c>
      <c r="D367" s="329">
        <f t="shared" si="137"/>
        <v>1.4226448613437512</v>
      </c>
      <c r="E367" s="329">
        <f t="shared" si="138"/>
        <v>1.00007664153831</v>
      </c>
      <c r="F367" s="330">
        <f t="shared" si="139"/>
        <v>1.2380358936022278E-2</v>
      </c>
      <c r="G367" s="329">
        <f t="shared" si="140"/>
        <v>1</v>
      </c>
      <c r="H367" s="330">
        <f t="shared" si="141"/>
        <v>0</v>
      </c>
      <c r="I367" s="328">
        <f t="shared" si="142"/>
        <v>65252.475780486762</v>
      </c>
      <c r="J367" s="331">
        <f t="shared" si="143"/>
        <v>1.5707810017058776</v>
      </c>
      <c r="K367" s="339">
        <f t="shared" si="159"/>
        <v>8.4616763604847414</v>
      </c>
      <c r="L367" s="340">
        <f t="shared" si="160"/>
        <v>1.452339598173418</v>
      </c>
      <c r="M367" s="328">
        <f t="shared" si="144"/>
        <v>1.0090310463555405</v>
      </c>
      <c r="N367" s="331">
        <f t="shared" si="145"/>
        <v>0.13389249086533839</v>
      </c>
      <c r="O367" s="332">
        <f t="shared" si="146"/>
        <v>1.0029511333479688</v>
      </c>
      <c r="P367" s="333">
        <f t="shared" si="147"/>
        <v>0.20679120379466251</v>
      </c>
      <c r="Q367" s="334">
        <f t="shared" si="148"/>
        <v>1.757716167316755</v>
      </c>
      <c r="R367" s="335">
        <f t="shared" si="149"/>
        <v>-107.10813450242637</v>
      </c>
      <c r="S367" s="337">
        <f t="shared" si="150"/>
        <v>72.891865497573633</v>
      </c>
      <c r="U367" s="310">
        <f t="shared" si="156"/>
        <v>1000000000</v>
      </c>
      <c r="V367" s="310">
        <f t="shared" si="157"/>
        <v>891380736</v>
      </c>
      <c r="X367" s="336">
        <f t="shared" si="151"/>
        <v>2.8182780925433057</v>
      </c>
      <c r="Y367" s="337">
        <f t="shared" si="152"/>
        <v>-14.457667193613924</v>
      </c>
      <c r="AA367" s="336">
        <f t="shared" si="153"/>
        <v>-1.0605619252265492</v>
      </c>
      <c r="AB367" s="337">
        <f t="shared" si="154"/>
        <v>-92.650467308812424</v>
      </c>
      <c r="AD367">
        <f t="shared" si="158"/>
        <v>0</v>
      </c>
      <c r="AE367">
        <f t="shared" si="161"/>
        <v>0</v>
      </c>
    </row>
    <row r="368" spans="1:31" x14ac:dyDescent="0.25">
      <c r="A368" s="338">
        <v>30028</v>
      </c>
      <c r="B368" s="355">
        <f t="shared" si="155"/>
        <v>30.027999999999999</v>
      </c>
      <c r="C368" s="328">
        <f t="shared" si="136"/>
        <v>6.8127845479760527</v>
      </c>
      <c r="D368" s="329">
        <f t="shared" si="137"/>
        <v>1.4234812122832985</v>
      </c>
      <c r="E368" s="329">
        <f t="shared" si="138"/>
        <v>1.0000775271093052</v>
      </c>
      <c r="F368" s="330">
        <f t="shared" si="139"/>
        <v>1.2451674660535792E-2</v>
      </c>
      <c r="G368" s="329">
        <f t="shared" si="140"/>
        <v>1</v>
      </c>
      <c r="H368" s="330">
        <f t="shared" si="141"/>
        <v>0</v>
      </c>
      <c r="I368" s="328">
        <f t="shared" si="142"/>
        <v>65628.394384171639</v>
      </c>
      <c r="J368" s="331">
        <f t="shared" si="143"/>
        <v>1.5707810894877916</v>
      </c>
      <c r="K368" s="339">
        <f t="shared" si="159"/>
        <v>8.5097450502049838</v>
      </c>
      <c r="L368" s="340">
        <f t="shared" si="160"/>
        <v>1.4530118409534896</v>
      </c>
      <c r="M368" s="328">
        <f t="shared" si="144"/>
        <v>1.0091349292026932</v>
      </c>
      <c r="N368" s="331">
        <f t="shared" si="145"/>
        <v>0.13465457945457901</v>
      </c>
      <c r="O368" s="332">
        <f t="shared" si="146"/>
        <v>1.0029871598283069</v>
      </c>
      <c r="P368" s="333">
        <f t="shared" si="147"/>
        <v>0.20799237468268567</v>
      </c>
      <c r="Q368" s="334">
        <f t="shared" si="148"/>
        <v>1.707010110164112</v>
      </c>
      <c r="R368" s="335">
        <f t="shared" si="149"/>
        <v>-107.22594262912449</v>
      </c>
      <c r="S368" s="337">
        <f t="shared" si="150"/>
        <v>72.774057370875511</v>
      </c>
      <c r="U368" s="310">
        <f t="shared" si="156"/>
        <v>1000000000</v>
      </c>
      <c r="V368" s="310">
        <f t="shared" si="157"/>
        <v>901680784</v>
      </c>
      <c r="X368" s="336">
        <f t="shared" si="151"/>
        <v>2.8166909644366447</v>
      </c>
      <c r="Y368" s="337">
        <f t="shared" si="152"/>
        <v>-14.462820008825329</v>
      </c>
      <c r="AA368" s="336">
        <f t="shared" si="153"/>
        <v>-1.1096808542725323</v>
      </c>
      <c r="AB368" s="337">
        <f t="shared" si="154"/>
        <v>-92.763122620299185</v>
      </c>
      <c r="AD368">
        <f t="shared" si="158"/>
        <v>0</v>
      </c>
      <c r="AE368">
        <f t="shared" si="161"/>
        <v>0</v>
      </c>
    </row>
    <row r="369" spans="1:31" x14ac:dyDescent="0.25">
      <c r="A369" s="338">
        <v>30200</v>
      </c>
      <c r="B369" s="355">
        <f t="shared" si="155"/>
        <v>30.2</v>
      </c>
      <c r="C369" s="328">
        <f t="shared" si="136"/>
        <v>6.8509696633491854</v>
      </c>
      <c r="D369" s="329">
        <f t="shared" si="137"/>
        <v>1.4243082406902883</v>
      </c>
      <c r="E369" s="329">
        <f t="shared" si="138"/>
        <v>1.000078417766618</v>
      </c>
      <c r="F369" s="330">
        <f t="shared" si="139"/>
        <v>1.252299025838623E-2</v>
      </c>
      <c r="G369" s="329">
        <f t="shared" si="140"/>
        <v>1</v>
      </c>
      <c r="H369" s="330">
        <f t="shared" si="141"/>
        <v>0</v>
      </c>
      <c r="I369" s="328">
        <f t="shared" si="142"/>
        <v>66004.312987856989</v>
      </c>
      <c r="J369" s="331">
        <f t="shared" si="143"/>
        <v>1.5707811762698056</v>
      </c>
      <c r="K369" s="339">
        <f t="shared" si="159"/>
        <v>8.5578175423647007</v>
      </c>
      <c r="L369" s="340">
        <f t="shared" si="160"/>
        <v>1.4536765315481308</v>
      </c>
      <c r="M369" s="328">
        <f t="shared" si="144"/>
        <v>1.0092393980133869</v>
      </c>
      <c r="N369" s="331">
        <f t="shared" si="145"/>
        <v>0.13541651071499158</v>
      </c>
      <c r="O369" s="332">
        <f t="shared" si="146"/>
        <v>1.0030234374971805</v>
      </c>
      <c r="P369" s="333">
        <f t="shared" si="147"/>
        <v>0.20919371065912193</v>
      </c>
      <c r="Q369" s="334">
        <f t="shared" si="148"/>
        <v>1.6565755111232339</v>
      </c>
      <c r="R369" s="335">
        <f t="shared" si="149"/>
        <v>-107.34364971696256</v>
      </c>
      <c r="S369" s="337">
        <f t="shared" si="150"/>
        <v>72.65635028303744</v>
      </c>
      <c r="U369" s="310">
        <f t="shared" si="156"/>
        <v>1000000000</v>
      </c>
      <c r="V369" s="310">
        <f t="shared" si="157"/>
        <v>912040000</v>
      </c>
      <c r="X369" s="336">
        <f t="shared" si="151"/>
        <v>2.8151105833916605</v>
      </c>
      <c r="Y369" s="337">
        <f t="shared" si="152"/>
        <v>-14.46839646082058</v>
      </c>
      <c r="AA369" s="336">
        <f t="shared" si="153"/>
        <v>-1.1585350722684298</v>
      </c>
      <c r="AB369" s="337">
        <f t="shared" si="154"/>
        <v>-92.875253256142003</v>
      </c>
      <c r="AD369">
        <f t="shared" si="158"/>
        <v>0</v>
      </c>
      <c r="AE369">
        <f t="shared" si="161"/>
        <v>0</v>
      </c>
    </row>
    <row r="370" spans="1:31" x14ac:dyDescent="0.25">
      <c r="A370" s="338">
        <v>30375.75</v>
      </c>
      <c r="B370" s="355">
        <f t="shared" si="155"/>
        <v>30.37575</v>
      </c>
      <c r="C370" s="328">
        <f t="shared" si="136"/>
        <v>6.8899920890603763</v>
      </c>
      <c r="D370" s="329">
        <f t="shared" si="137"/>
        <v>1.4251438307143065</v>
      </c>
      <c r="E370" s="329">
        <f t="shared" si="138"/>
        <v>1.0000793330961846</v>
      </c>
      <c r="F370" s="330">
        <f t="shared" si="139"/>
        <v>1.2595860570530132E-2</v>
      </c>
      <c r="G370" s="329">
        <f t="shared" si="140"/>
        <v>1</v>
      </c>
      <c r="H370" s="330">
        <f t="shared" si="141"/>
        <v>0</v>
      </c>
      <c r="I370" s="328">
        <f t="shared" si="142"/>
        <v>66388.427491332521</v>
      </c>
      <c r="J370" s="331">
        <f t="shared" si="143"/>
        <v>1.570781263928704</v>
      </c>
      <c r="K370" s="339">
        <f t="shared" si="159"/>
        <v>8.6069419880556399</v>
      </c>
      <c r="L370" s="340">
        <f t="shared" si="160"/>
        <v>1.454348044037028</v>
      </c>
      <c r="M370" s="328">
        <f t="shared" si="144"/>
        <v>1.0093467495636546</v>
      </c>
      <c r="N370" s="331">
        <f t="shared" si="145"/>
        <v>0.13619489046792446</v>
      </c>
      <c r="O370" s="332">
        <f t="shared" si="146"/>
        <v>1.0030607663524587</v>
      </c>
      <c r="P370" s="333">
        <f t="shared" si="147"/>
        <v>0.21042140992498415</v>
      </c>
      <c r="Q370" s="334">
        <f t="shared" si="148"/>
        <v>1.6053184971824788</v>
      </c>
      <c r="R370" s="335">
        <f t="shared" si="149"/>
        <v>-107.46382038966919</v>
      </c>
      <c r="S370" s="337">
        <f t="shared" si="150"/>
        <v>72.536179610330805</v>
      </c>
      <c r="U370" s="310">
        <f t="shared" si="156"/>
        <v>1000000000</v>
      </c>
      <c r="V370" s="310">
        <f t="shared" si="157"/>
        <v>922686188.0625</v>
      </c>
      <c r="X370" s="336">
        <f t="shared" si="151"/>
        <v>2.8135024471421275</v>
      </c>
      <c r="Y370" s="337">
        <f t="shared" si="152"/>
        <v>-14.474524526509848</v>
      </c>
      <c r="AA370" s="336">
        <f t="shared" si="153"/>
        <v>-1.2081839499596501</v>
      </c>
      <c r="AB370" s="337">
        <f t="shared" si="154"/>
        <v>-92.98929586315937</v>
      </c>
      <c r="AD370">
        <f t="shared" si="158"/>
        <v>0</v>
      </c>
      <c r="AE370">
        <f t="shared" si="161"/>
        <v>0</v>
      </c>
    </row>
    <row r="371" spans="1:31" x14ac:dyDescent="0.25">
      <c r="A371" s="338">
        <v>30551.5</v>
      </c>
      <c r="B371" s="355">
        <f t="shared" si="155"/>
        <v>30.551500000000001</v>
      </c>
      <c r="C371" s="328">
        <f t="shared" si="136"/>
        <v>6.9290192712509091</v>
      </c>
      <c r="D371" s="329">
        <f t="shared" si="137"/>
        <v>1.4259700085132883</v>
      </c>
      <c r="E371" s="329">
        <f t="shared" si="138"/>
        <v>1.000080253736245</v>
      </c>
      <c r="F371" s="330">
        <f t="shared" si="139"/>
        <v>1.2668730748897093E-2</v>
      </c>
      <c r="G371" s="329">
        <f t="shared" si="140"/>
        <v>1</v>
      </c>
      <c r="H371" s="330">
        <f t="shared" si="141"/>
        <v>0</v>
      </c>
      <c r="I371" s="328">
        <f t="shared" si="142"/>
        <v>66772.541994808547</v>
      </c>
      <c r="J371" s="331">
        <f t="shared" si="143"/>
        <v>1.5707813505790724</v>
      </c>
      <c r="K371" s="339">
        <f t="shared" si="159"/>
        <v>8.6560702708136752</v>
      </c>
      <c r="L371" s="340">
        <f t="shared" si="160"/>
        <v>1.4550119343669192</v>
      </c>
      <c r="M371" s="328">
        <f t="shared" si="144"/>
        <v>1.0094547125216387</v>
      </c>
      <c r="N371" s="331">
        <f t="shared" si="145"/>
        <v>0.13697310419410497</v>
      </c>
      <c r="O371" s="332">
        <f t="shared" si="146"/>
        <v>1.0030983590675662</v>
      </c>
      <c r="P371" s="333">
        <f t="shared" si="147"/>
        <v>0.21164928326769888</v>
      </c>
      <c r="Q371" s="334">
        <f t="shared" si="148"/>
        <v>1.5543384215537912</v>
      </c>
      <c r="R371" s="335">
        <f t="shared" si="149"/>
        <v>-107.58388891026426</v>
      </c>
      <c r="S371" s="337">
        <f t="shared" si="150"/>
        <v>72.416111089735736</v>
      </c>
      <c r="U371" s="310">
        <f t="shared" si="156"/>
        <v>1000000000</v>
      </c>
      <c r="V371" s="310">
        <f t="shared" si="157"/>
        <v>933394152.25</v>
      </c>
      <c r="X371" s="336">
        <f t="shared" si="151"/>
        <v>2.8119008182966425</v>
      </c>
      <c r="Y371" s="337">
        <f t="shared" si="152"/>
        <v>-14.48107973932472</v>
      </c>
      <c r="AA371" s="336">
        <f t="shared" si="153"/>
        <v>-1.2575623967428518</v>
      </c>
      <c r="AB371" s="337">
        <f t="shared" si="154"/>
        <v>-93.102809170939508</v>
      </c>
      <c r="AD371">
        <f t="shared" si="158"/>
        <v>0</v>
      </c>
      <c r="AE371">
        <f t="shared" si="161"/>
        <v>0</v>
      </c>
    </row>
    <row r="372" spans="1:31" x14ac:dyDescent="0.25">
      <c r="A372" s="338">
        <v>30727.25</v>
      </c>
      <c r="B372" s="355">
        <f t="shared" si="155"/>
        <v>30.727250000000002</v>
      </c>
      <c r="C372" s="328">
        <f t="shared" si="136"/>
        <v>6.9680511299994503</v>
      </c>
      <c r="D372" s="329">
        <f t="shared" si="137"/>
        <v>1.4267869311188366</v>
      </c>
      <c r="E372" s="329">
        <f t="shared" si="138"/>
        <v>1.0000811796867846</v>
      </c>
      <c r="F372" s="330">
        <f t="shared" si="139"/>
        <v>1.2741600792713586E-2</v>
      </c>
      <c r="G372" s="329">
        <f t="shared" si="140"/>
        <v>1</v>
      </c>
      <c r="H372" s="330">
        <f t="shared" si="141"/>
        <v>0</v>
      </c>
      <c r="I372" s="328">
        <f t="shared" si="142"/>
        <v>67156.656498285069</v>
      </c>
      <c r="J372" s="331">
        <f t="shared" si="143"/>
        <v>1.5707814362382164</v>
      </c>
      <c r="K372" s="339">
        <f t="shared" si="159"/>
        <v>8.7052023256747155</v>
      </c>
      <c r="L372" s="340">
        <f t="shared" si="160"/>
        <v>1.4556683310056888</v>
      </c>
      <c r="M372" s="328">
        <f t="shared" si="144"/>
        <v>1.0095632866911872</v>
      </c>
      <c r="N372" s="331">
        <f t="shared" si="145"/>
        <v>0.13775115100435154</v>
      </c>
      <c r="O372" s="332">
        <f t="shared" si="146"/>
        <v>1.0031362164573352</v>
      </c>
      <c r="P372" s="333">
        <f t="shared" si="147"/>
        <v>0.21287733154840721</v>
      </c>
      <c r="Q372" s="334">
        <f t="shared" si="148"/>
        <v>1.5036320878653902</v>
      </c>
      <c r="R372" s="335">
        <f t="shared" si="149"/>
        <v>-107.70385691475742</v>
      </c>
      <c r="S372" s="337">
        <f t="shared" si="150"/>
        <v>72.296143085242576</v>
      </c>
      <c r="U372" s="310">
        <f t="shared" si="156"/>
        <v>1000000000</v>
      </c>
      <c r="V372" s="310">
        <f t="shared" si="157"/>
        <v>944163892.5625</v>
      </c>
      <c r="X372" s="336">
        <f t="shared" si="151"/>
        <v>2.810305436918429</v>
      </c>
      <c r="Y372" s="337">
        <f t="shared" si="152"/>
        <v>-14.488054688642787</v>
      </c>
      <c r="AA372" s="336">
        <f t="shared" si="153"/>
        <v>-1.3066733490530376</v>
      </c>
      <c r="AB372" s="337">
        <f t="shared" si="154"/>
        <v>-93.215802226114633</v>
      </c>
      <c r="AD372">
        <f t="shared" si="158"/>
        <v>0</v>
      </c>
      <c r="AE372">
        <f t="shared" si="161"/>
        <v>0</v>
      </c>
    </row>
    <row r="373" spans="1:31" x14ac:dyDescent="0.25">
      <c r="A373" s="338">
        <v>30903</v>
      </c>
      <c r="B373" s="355">
        <f t="shared" si="155"/>
        <v>30.902999999999999</v>
      </c>
      <c r="C373" s="328">
        <f t="shared" si="136"/>
        <v>7.0070875871559473</v>
      </c>
      <c r="D373" s="329">
        <f t="shared" si="137"/>
        <v>1.4275947521133094</v>
      </c>
      <c r="E373" s="329">
        <f t="shared" si="138"/>
        <v>1.0000821109477889</v>
      </c>
      <c r="F373" s="330">
        <f t="shared" si="139"/>
        <v>1.2814470701206107E-2</v>
      </c>
      <c r="G373" s="329">
        <f t="shared" si="140"/>
        <v>1</v>
      </c>
      <c r="H373" s="330">
        <f t="shared" si="141"/>
        <v>0</v>
      </c>
      <c r="I373" s="328">
        <f t="shared" si="142"/>
        <v>67540.771001762085</v>
      </c>
      <c r="J373" s="331">
        <f t="shared" si="143"/>
        <v>1.5707815209230476</v>
      </c>
      <c r="K373" s="339">
        <f t="shared" si="159"/>
        <v>8.7543380891281348</v>
      </c>
      <c r="L373" s="340">
        <f t="shared" si="160"/>
        <v>1.4563173595631607</v>
      </c>
      <c r="M373" s="328">
        <f t="shared" si="144"/>
        <v>1.0096724718751218</v>
      </c>
      <c r="N373" s="331">
        <f t="shared" si="145"/>
        <v>0.13852903001067232</v>
      </c>
      <c r="O373" s="332">
        <f t="shared" si="146"/>
        <v>1.0031743393411383</v>
      </c>
      <c r="P373" s="333">
        <f t="shared" si="147"/>
        <v>0.21410555562570413</v>
      </c>
      <c r="Q373" s="334">
        <f t="shared" si="148"/>
        <v>1.4531963528882066</v>
      </c>
      <c r="R373" s="335">
        <f t="shared" si="149"/>
        <v>-107.82372600518592</v>
      </c>
      <c r="S373" s="337">
        <f t="shared" si="150"/>
        <v>72.176273994814082</v>
      </c>
      <c r="U373" s="310">
        <f t="shared" si="156"/>
        <v>1000000000</v>
      </c>
      <c r="V373" s="310">
        <f t="shared" si="157"/>
        <v>954995409</v>
      </c>
      <c r="X373" s="336">
        <f t="shared" si="151"/>
        <v>2.8087160504552533</v>
      </c>
      <c r="Y373" s="337">
        <f t="shared" si="152"/>
        <v>-14.495442127642058</v>
      </c>
      <c r="AA373" s="336">
        <f t="shared" si="153"/>
        <v>-1.3555196975670443</v>
      </c>
      <c r="AB373" s="337">
        <f t="shared" si="154"/>
        <v>-93.328283877543868</v>
      </c>
      <c r="AD373">
        <f t="shared" si="158"/>
        <v>0</v>
      </c>
      <c r="AE373">
        <f t="shared" si="161"/>
        <v>0</v>
      </c>
    </row>
    <row r="374" spans="1:31" x14ac:dyDescent="0.25">
      <c r="A374" s="338">
        <v>31083</v>
      </c>
      <c r="B374" s="355">
        <f t="shared" si="155"/>
        <v>31.082999999999998</v>
      </c>
      <c r="C374" s="328">
        <f t="shared" si="136"/>
        <v>7.0470727136191309</v>
      </c>
      <c r="D374" s="329">
        <f t="shared" si="137"/>
        <v>1.4284128304352759</v>
      </c>
      <c r="E374" s="329">
        <f t="shared" si="138"/>
        <v>1.0000830702332468</v>
      </c>
      <c r="F374" s="330">
        <f t="shared" si="139"/>
        <v>1.2889102614342783E-2</v>
      </c>
      <c r="G374" s="329">
        <f t="shared" si="140"/>
        <v>1</v>
      </c>
      <c r="H374" s="330">
        <f t="shared" si="141"/>
        <v>0</v>
      </c>
      <c r="I374" s="328">
        <f t="shared" si="142"/>
        <v>67934.174191667917</v>
      </c>
      <c r="J374" s="331">
        <f t="shared" si="143"/>
        <v>1.570781606663064</v>
      </c>
      <c r="K374" s="339">
        <f t="shared" si="159"/>
        <v>8.804665836708395</v>
      </c>
      <c r="L374" s="340">
        <f t="shared" si="160"/>
        <v>1.4569745738111148</v>
      </c>
      <c r="M374" s="328">
        <f t="shared" si="144"/>
        <v>1.0097849305328828</v>
      </c>
      <c r="N374" s="331">
        <f t="shared" si="145"/>
        <v>0.13932554488049043</v>
      </c>
      <c r="O374" s="332">
        <f t="shared" si="146"/>
        <v>1.003213660178351</v>
      </c>
      <c r="P374" s="333">
        <f t="shared" si="147"/>
        <v>0.21536366383113312</v>
      </c>
      <c r="Q374" s="334">
        <f t="shared" si="148"/>
        <v>1.4018182405890853</v>
      </c>
      <c r="R374" s="335">
        <f t="shared" si="149"/>
        <v>-107.94639288744548</v>
      </c>
      <c r="S374" s="337">
        <f t="shared" si="150"/>
        <v>72.053607112554516</v>
      </c>
      <c r="U374" s="310">
        <f t="shared" si="156"/>
        <v>1000000000</v>
      </c>
      <c r="V374" s="310">
        <f t="shared" si="157"/>
        <v>966152889</v>
      </c>
      <c r="X374" s="336">
        <f t="shared" si="151"/>
        <v>2.8070941870551107</v>
      </c>
      <c r="Y374" s="337">
        <f t="shared" si="152"/>
        <v>-14.503428377908612</v>
      </c>
      <c r="AA374" s="336">
        <f t="shared" si="153"/>
        <v>-1.4052759464660236</v>
      </c>
      <c r="AB374" s="337">
        <f t="shared" si="154"/>
        <v>-93.442964509536878</v>
      </c>
      <c r="AD374">
        <f t="shared" si="158"/>
        <v>0</v>
      </c>
      <c r="AE374">
        <f t="shared" si="161"/>
        <v>0</v>
      </c>
    </row>
    <row r="375" spans="1:31" x14ac:dyDescent="0.25">
      <c r="A375" s="338">
        <v>31263</v>
      </c>
      <c r="B375" s="355">
        <f t="shared" si="155"/>
        <v>31.263000000000002</v>
      </c>
      <c r="C375" s="328">
        <f t="shared" si="136"/>
        <v>7.0870625031307197</v>
      </c>
      <c r="D375" s="329">
        <f t="shared" si="137"/>
        <v>1.4292216770396753</v>
      </c>
      <c r="E375" s="329">
        <f t="shared" si="138"/>
        <v>1.0000840350890794</v>
      </c>
      <c r="F375" s="330">
        <f t="shared" si="139"/>
        <v>1.296373438388918E-2</v>
      </c>
      <c r="G375" s="329">
        <f t="shared" si="140"/>
        <v>1</v>
      </c>
      <c r="H375" s="330">
        <f t="shared" si="141"/>
        <v>0</v>
      </c>
      <c r="I375" s="328">
        <f t="shared" si="142"/>
        <v>68327.577381574243</v>
      </c>
      <c r="J375" s="331">
        <f t="shared" si="143"/>
        <v>1.5707816914157664</v>
      </c>
      <c r="K375" s="339">
        <f t="shared" si="159"/>
        <v>8.8549973440629497</v>
      </c>
      <c r="L375" s="340">
        <f t="shared" si="160"/>
        <v>1.4576243171696577</v>
      </c>
      <c r="M375" s="328">
        <f t="shared" si="144"/>
        <v>1.0098980296915765</v>
      </c>
      <c r="N375" s="331">
        <f t="shared" si="145"/>
        <v>0.14012188185096869</v>
      </c>
      <c r="O375" s="332">
        <f t="shared" si="146"/>
        <v>1.003253261259571</v>
      </c>
      <c r="P375" s="333">
        <f t="shared" si="147"/>
        <v>0.21662195825297789</v>
      </c>
      <c r="Q375" s="334">
        <f t="shared" si="148"/>
        <v>1.3507174644514499</v>
      </c>
      <c r="R375" s="335">
        <f t="shared" si="149"/>
        <v>-108.0689593098747</v>
      </c>
      <c r="S375" s="337">
        <f t="shared" si="150"/>
        <v>71.9310406901253</v>
      </c>
      <c r="U375" s="310">
        <f t="shared" si="156"/>
        <v>1000000000</v>
      </c>
      <c r="V375" s="310">
        <f t="shared" si="157"/>
        <v>977375169</v>
      </c>
      <c r="X375" s="336">
        <f t="shared" si="151"/>
        <v>2.8054780984697874</v>
      </c>
      <c r="Y375" s="337">
        <f t="shared" si="152"/>
        <v>-14.51183242915784</v>
      </c>
      <c r="AA375" s="336">
        <f t="shared" si="153"/>
        <v>-1.4547606340183374</v>
      </c>
      <c r="AB375" s="337">
        <f t="shared" si="154"/>
        <v>-93.557126880716851</v>
      </c>
      <c r="AD375">
        <f t="shared" si="158"/>
        <v>0</v>
      </c>
      <c r="AE375">
        <f t="shared" si="161"/>
        <v>0</v>
      </c>
    </row>
    <row r="376" spans="1:31" x14ac:dyDescent="0.25">
      <c r="A376" s="338">
        <v>31443</v>
      </c>
      <c r="B376" s="355">
        <f t="shared" si="155"/>
        <v>31.443000000000001</v>
      </c>
      <c r="C376" s="328">
        <f t="shared" si="136"/>
        <v>7.1270568771978668</v>
      </c>
      <c r="D376" s="329">
        <f t="shared" si="137"/>
        <v>1.430021446273976</v>
      </c>
      <c r="E376" s="329">
        <f t="shared" si="138"/>
        <v>1.0000850055152704</v>
      </c>
      <c r="F376" s="330">
        <f t="shared" si="139"/>
        <v>1.3038366009014332E-2</v>
      </c>
      <c r="G376" s="329">
        <f t="shared" si="140"/>
        <v>1</v>
      </c>
      <c r="H376" s="330">
        <f t="shared" si="141"/>
        <v>0</v>
      </c>
      <c r="I376" s="328">
        <f t="shared" si="142"/>
        <v>68720.98057148105</v>
      </c>
      <c r="J376" s="331">
        <f t="shared" si="143"/>
        <v>1.5707817751981104</v>
      </c>
      <c r="K376" s="339">
        <f t="shared" si="159"/>
        <v>8.9053325474428782</v>
      </c>
      <c r="L376" s="340">
        <f t="shared" si="160"/>
        <v>1.4582667157675837</v>
      </c>
      <c r="M376" s="328">
        <f t="shared" si="144"/>
        <v>1.0100117691360366</v>
      </c>
      <c r="N376" s="331">
        <f t="shared" si="145"/>
        <v>0.14091803997204172</v>
      </c>
      <c r="O376" s="332">
        <f t="shared" si="146"/>
        <v>1.0032931434798507</v>
      </c>
      <c r="P376" s="333">
        <f t="shared" si="147"/>
        <v>0.21788043980523508</v>
      </c>
      <c r="Q376" s="334">
        <f t="shared" si="148"/>
        <v>1.2998908134527514</v>
      </c>
      <c r="R376" s="335">
        <f t="shared" si="149"/>
        <v>-108.19142688823698</v>
      </c>
      <c r="S376" s="337">
        <f t="shared" si="150"/>
        <v>71.808573111763025</v>
      </c>
      <c r="U376" s="310">
        <f t="shared" si="156"/>
        <v>1000000000</v>
      </c>
      <c r="V376" s="310">
        <f t="shared" si="157"/>
        <v>988662249</v>
      </c>
      <c r="X376" s="336">
        <f t="shared" si="151"/>
        <v>2.8038675358904812</v>
      </c>
      <c r="Y376" s="337">
        <f t="shared" si="152"/>
        <v>-14.520647001278892</v>
      </c>
      <c r="AA376" s="336">
        <f t="shared" si="153"/>
        <v>-1.5039767224377316</v>
      </c>
      <c r="AB376" s="337">
        <f t="shared" si="154"/>
        <v>-93.670779886958087</v>
      </c>
      <c r="AD376">
        <f t="shared" si="158"/>
        <v>0</v>
      </c>
      <c r="AE376">
        <f t="shared" si="161"/>
        <v>0</v>
      </c>
    </row>
    <row r="377" spans="1:31" x14ac:dyDescent="0.25">
      <c r="A377" s="338">
        <v>31623</v>
      </c>
      <c r="B377" s="355">
        <f t="shared" si="155"/>
        <v>31.623000000000001</v>
      </c>
      <c r="C377" s="328">
        <f t="shared" si="136"/>
        <v>7.1670557590708857</v>
      </c>
      <c r="D377" s="329">
        <f t="shared" si="137"/>
        <v>1.4308122890870774</v>
      </c>
      <c r="E377" s="329">
        <f t="shared" si="138"/>
        <v>1.0000859815118035</v>
      </c>
      <c r="F377" s="330">
        <f t="shared" si="139"/>
        <v>1.3112997488887281E-2</v>
      </c>
      <c r="G377" s="329">
        <f t="shared" si="140"/>
        <v>1</v>
      </c>
      <c r="H377" s="330">
        <f t="shared" si="141"/>
        <v>0</v>
      </c>
      <c r="I377" s="328">
        <f t="shared" si="142"/>
        <v>69114.383761388337</v>
      </c>
      <c r="J377" s="331">
        <f t="shared" si="143"/>
        <v>1.5707818580266661</v>
      </c>
      <c r="K377" s="339">
        <f t="shared" si="159"/>
        <v>8.9556713845278342</v>
      </c>
      <c r="L377" s="340">
        <f t="shared" si="160"/>
        <v>1.4589018929224251</v>
      </c>
      <c r="M377" s="328">
        <f t="shared" si="144"/>
        <v>1.0101261486499764</v>
      </c>
      <c r="N377" s="331">
        <f t="shared" si="145"/>
        <v>0.14171401829497773</v>
      </c>
      <c r="O377" s="332">
        <f t="shared" si="146"/>
        <v>1.0033333077392235</v>
      </c>
      <c r="P377" s="333">
        <f t="shared" si="147"/>
        <v>0.21913910939903256</v>
      </c>
      <c r="Q377" s="334">
        <f t="shared" si="148"/>
        <v>1.2493351300534248</v>
      </c>
      <c r="R377" s="335">
        <f t="shared" si="149"/>
        <v>-108.31379720453555</v>
      </c>
      <c r="S377" s="337">
        <f t="shared" si="150"/>
        <v>71.686202795464453</v>
      </c>
      <c r="U377" s="310">
        <f t="shared" si="156"/>
        <v>1000000000</v>
      </c>
      <c r="V377" s="310">
        <f t="shared" si="157"/>
        <v>1000014129</v>
      </c>
      <c r="X377" s="336">
        <f t="shared" si="151"/>
        <v>2.8022622576023135</v>
      </c>
      <c r="Y377" s="337">
        <f t="shared" si="152"/>
        <v>-14.529864975288683</v>
      </c>
      <c r="AA377" s="336">
        <f t="shared" si="153"/>
        <v>-1.5529271275488907</v>
      </c>
      <c r="AB377" s="337">
        <f t="shared" si="154"/>
        <v>-93.783932229246858</v>
      </c>
      <c r="AD377">
        <f t="shared" si="158"/>
        <v>0</v>
      </c>
      <c r="AE377">
        <f t="shared" si="161"/>
        <v>0</v>
      </c>
    </row>
    <row r="378" spans="1:31" x14ac:dyDescent="0.25">
      <c r="A378" s="338">
        <v>31807</v>
      </c>
      <c r="B378" s="355">
        <f t="shared" si="155"/>
        <v>31.806999999999999</v>
      </c>
      <c r="C378" s="328">
        <f t="shared" si="136"/>
        <v>7.2079480860248397</v>
      </c>
      <c r="D378" s="329">
        <f t="shared" si="137"/>
        <v>1.4316116337245526</v>
      </c>
      <c r="E378" s="329">
        <f t="shared" si="138"/>
        <v>1.0000869849545269</v>
      </c>
      <c r="F378" s="330">
        <f t="shared" si="139"/>
        <v>1.3189287295095721E-2</v>
      </c>
      <c r="G378" s="329">
        <f t="shared" si="140"/>
        <v>1</v>
      </c>
      <c r="H378" s="330">
        <f t="shared" si="141"/>
        <v>0</v>
      </c>
      <c r="I378" s="328">
        <f t="shared" si="142"/>
        <v>69516.529244405145</v>
      </c>
      <c r="J378" s="331">
        <f t="shared" si="143"/>
        <v>1.5707819417269004</v>
      </c>
      <c r="K378" s="339">
        <f t="shared" si="159"/>
        <v>9.0071325547264518</v>
      </c>
      <c r="L378" s="340">
        <f t="shared" si="160"/>
        <v>1.459543846725031</v>
      </c>
      <c r="M378" s="328">
        <f t="shared" si="144"/>
        <v>1.0102437312676855</v>
      </c>
      <c r="N378" s="331">
        <f t="shared" si="145"/>
        <v>0.14252749820283608</v>
      </c>
      <c r="O378" s="332">
        <f t="shared" si="146"/>
        <v>1.003374656990089</v>
      </c>
      <c r="P378" s="333">
        <f t="shared" si="147"/>
        <v>0.22042594472994742</v>
      </c>
      <c r="Q378" s="334">
        <f t="shared" si="148"/>
        <v>1.197932820795798</v>
      </c>
      <c r="R378" s="335">
        <f t="shared" si="149"/>
        <v>-108.4387879458337</v>
      </c>
      <c r="S378" s="337">
        <f t="shared" si="150"/>
        <v>71.561212054166305</v>
      </c>
      <c r="U378" s="310">
        <f t="shared" si="156"/>
        <v>1000000000</v>
      </c>
      <c r="V378" s="310">
        <f t="shared" si="157"/>
        <v>1011685249</v>
      </c>
      <c r="X378" s="336">
        <f t="shared" si="151"/>
        <v>2.8006265236990813</v>
      </c>
      <c r="Y378" s="337">
        <f t="shared" si="152"/>
        <v>-14.539697492877378</v>
      </c>
      <c r="AA378" s="336">
        <f t="shared" si="153"/>
        <v>-1.6026937029032817</v>
      </c>
      <c r="AB378" s="337">
        <f t="shared" si="154"/>
        <v>-93.899090452956315</v>
      </c>
      <c r="AD378">
        <f t="shared" si="158"/>
        <v>0</v>
      </c>
      <c r="AE378">
        <f t="shared" si="161"/>
        <v>0</v>
      </c>
    </row>
    <row r="379" spans="1:31" x14ac:dyDescent="0.25">
      <c r="A379" s="338">
        <v>31991</v>
      </c>
      <c r="B379" s="355">
        <f t="shared" si="155"/>
        <v>31.991</v>
      </c>
      <c r="C379" s="328">
        <f t="shared" si="136"/>
        <v>7.2488449665472148</v>
      </c>
      <c r="D379" s="329">
        <f t="shared" si="137"/>
        <v>1.4324019593005926</v>
      </c>
      <c r="E379" s="329">
        <f t="shared" si="138"/>
        <v>1.0000879942178795</v>
      </c>
      <c r="F379" s="330">
        <f t="shared" si="139"/>
        <v>1.3265576947768714E-2</v>
      </c>
      <c r="G379" s="329">
        <f t="shared" si="140"/>
        <v>1</v>
      </c>
      <c r="H379" s="330">
        <f t="shared" si="141"/>
        <v>0</v>
      </c>
      <c r="I379" s="328">
        <f t="shared" si="142"/>
        <v>69918.674727422447</v>
      </c>
      <c r="J379" s="331">
        <f t="shared" si="143"/>
        <v>1.5707820244643114</v>
      </c>
      <c r="K379" s="339">
        <f t="shared" si="159"/>
        <v>9.0585973946318976</v>
      </c>
      <c r="L379" s="340">
        <f t="shared" si="160"/>
        <v>1.4601785064897614</v>
      </c>
      <c r="M379" s="328">
        <f t="shared" si="144"/>
        <v>1.0103619822578798</v>
      </c>
      <c r="N379" s="331">
        <f t="shared" si="145"/>
        <v>0.14334078823226737</v>
      </c>
      <c r="O379" s="332">
        <f t="shared" si="146"/>
        <v>1.0034163028721668</v>
      </c>
      <c r="P379" s="333">
        <f t="shared" si="147"/>
        <v>0.2217129784687219</v>
      </c>
      <c r="Q379" s="334">
        <f t="shared" si="148"/>
        <v>1.1468071497323205</v>
      </c>
      <c r="R379" s="335">
        <f t="shared" si="149"/>
        <v>-108.56368029289389</v>
      </c>
      <c r="S379" s="337">
        <f t="shared" si="150"/>
        <v>71.436319707106108</v>
      </c>
      <c r="U379" s="310">
        <f t="shared" si="156"/>
        <v>1000000000</v>
      </c>
      <c r="V379" s="310">
        <f t="shared" si="157"/>
        <v>1023424081</v>
      </c>
      <c r="X379" s="336">
        <f t="shared" si="151"/>
        <v>2.7989958224626275</v>
      </c>
      <c r="Y379" s="337">
        <f t="shared" si="152"/>
        <v>-14.549936993654185</v>
      </c>
      <c r="AA379" s="336">
        <f t="shared" si="153"/>
        <v>-1.652188672730305</v>
      </c>
      <c r="AB379" s="337">
        <f t="shared" si="154"/>
        <v>-94.013743299239707</v>
      </c>
      <c r="AD379">
        <f t="shared" si="158"/>
        <v>0</v>
      </c>
      <c r="AE379">
        <f t="shared" si="161"/>
        <v>0</v>
      </c>
    </row>
    <row r="380" spans="1:31" x14ac:dyDescent="0.25">
      <c r="A380" s="338">
        <v>32175</v>
      </c>
      <c r="B380" s="355">
        <f t="shared" si="155"/>
        <v>32.174999999999997</v>
      </c>
      <c r="C380" s="328">
        <f t="shared" si="136"/>
        <v>7.289746323998826</v>
      </c>
      <c r="D380" s="329">
        <f t="shared" si="137"/>
        <v>1.4331834166321276</v>
      </c>
      <c r="E380" s="329">
        <f t="shared" si="138"/>
        <v>1.0000890093018435</v>
      </c>
      <c r="F380" s="330">
        <f t="shared" si="139"/>
        <v>1.3341866446018699E-2</v>
      </c>
      <c r="G380" s="329">
        <f t="shared" si="140"/>
        <v>1</v>
      </c>
      <c r="H380" s="330">
        <f t="shared" si="141"/>
        <v>0</v>
      </c>
      <c r="I380" s="328">
        <f t="shared" si="142"/>
        <v>70320.82021044023</v>
      </c>
      <c r="J380" s="331">
        <f t="shared" si="143"/>
        <v>1.570782106255417</v>
      </c>
      <c r="K380" s="339">
        <f t="shared" si="159"/>
        <v>9.1100658420511387</v>
      </c>
      <c r="L380" s="340">
        <f t="shared" si="160"/>
        <v>1.4608059953266772</v>
      </c>
      <c r="M380" s="328">
        <f t="shared" si="144"/>
        <v>1.0104809013859108</v>
      </c>
      <c r="N380" s="331">
        <f t="shared" si="145"/>
        <v>0.14415388737423637</v>
      </c>
      <c r="O380" s="332">
        <f t="shared" si="146"/>
        <v>1.0034582463629536</v>
      </c>
      <c r="P380" s="333">
        <f t="shared" si="147"/>
        <v>0.22300021157917946</v>
      </c>
      <c r="Q380" s="334">
        <f t="shared" si="148"/>
        <v>1.095954909838244</v>
      </c>
      <c r="R380" s="335">
        <f t="shared" si="149"/>
        <v>-108.68847583160968</v>
      </c>
      <c r="S380" s="337">
        <f t="shared" si="150"/>
        <v>71.311524168390321</v>
      </c>
      <c r="U380" s="310">
        <f t="shared" si="156"/>
        <v>1000000000</v>
      </c>
      <c r="V380" s="310">
        <f t="shared" si="157"/>
        <v>1035230625</v>
      </c>
      <c r="X380" s="336">
        <f t="shared" si="151"/>
        <v>2.7973699171834761</v>
      </c>
      <c r="Y380" s="337">
        <f t="shared" si="152"/>
        <v>-14.560576367065188</v>
      </c>
      <c r="AA380" s="336">
        <f t="shared" si="153"/>
        <v>-1.7014150073452308</v>
      </c>
      <c r="AB380" s="337">
        <f t="shared" si="154"/>
        <v>-94.12789946454447</v>
      </c>
      <c r="AD380">
        <f t="shared" si="158"/>
        <v>0</v>
      </c>
      <c r="AE380">
        <f t="shared" si="161"/>
        <v>0</v>
      </c>
    </row>
    <row r="381" spans="1:31" x14ac:dyDescent="0.25">
      <c r="A381" s="338">
        <v>32359</v>
      </c>
      <c r="B381" s="355">
        <f t="shared" si="155"/>
        <v>32.359000000000002</v>
      </c>
      <c r="C381" s="328">
        <f t="shared" si="136"/>
        <v>7.3306520834426214</v>
      </c>
      <c r="D381" s="329">
        <f t="shared" si="137"/>
        <v>1.4339561532136751</v>
      </c>
      <c r="E381" s="329">
        <f t="shared" si="138"/>
        <v>1.0000900302064013</v>
      </c>
      <c r="F381" s="330">
        <f t="shared" si="139"/>
        <v>1.3418155788958122E-2</v>
      </c>
      <c r="G381" s="329">
        <f t="shared" si="140"/>
        <v>1</v>
      </c>
      <c r="H381" s="330">
        <f t="shared" si="141"/>
        <v>0</v>
      </c>
      <c r="I381" s="328">
        <f t="shared" si="142"/>
        <v>70722.965693458478</v>
      </c>
      <c r="J381" s="331">
        <f t="shared" si="143"/>
        <v>1.5707821871163603</v>
      </c>
      <c r="K381" s="339">
        <f t="shared" si="159"/>
        <v>9.1615378361844062</v>
      </c>
      <c r="L381" s="340">
        <f t="shared" si="160"/>
        <v>1.4614264336020573</v>
      </c>
      <c r="M381" s="328">
        <f t="shared" si="144"/>
        <v>1.0106004884159161</v>
      </c>
      <c r="N381" s="331">
        <f t="shared" si="145"/>
        <v>0.14496679462119108</v>
      </c>
      <c r="O381" s="332">
        <f t="shared" si="146"/>
        <v>1.0035004884453693</v>
      </c>
      <c r="P381" s="333">
        <f t="shared" si="147"/>
        <v>0.22428764502193607</v>
      </c>
      <c r="Q381" s="334">
        <f t="shared" si="148"/>
        <v>1.0453729474980173</v>
      </c>
      <c r="R381" s="335">
        <f t="shared" si="149"/>
        <v>-108.81317611460113</v>
      </c>
      <c r="S381" s="337">
        <f t="shared" si="150"/>
        <v>71.186823885398866</v>
      </c>
      <c r="U381" s="310">
        <f t="shared" si="156"/>
        <v>1000000000</v>
      </c>
      <c r="V381" s="310">
        <f t="shared" si="157"/>
        <v>1047104881</v>
      </c>
      <c r="X381" s="336">
        <f t="shared" si="151"/>
        <v>2.7957485779146363</v>
      </c>
      <c r="Y381" s="337">
        <f t="shared" si="152"/>
        <v>-14.571608659827021</v>
      </c>
      <c r="AA381" s="336">
        <f t="shared" si="153"/>
        <v>-1.7503756304166189</v>
      </c>
      <c r="AB381" s="337">
        <f t="shared" si="154"/>
        <v>-94.241567454774099</v>
      </c>
      <c r="AD381">
        <f t="shared" si="158"/>
        <v>0</v>
      </c>
      <c r="AE381">
        <f t="shared" si="161"/>
        <v>0</v>
      </c>
    </row>
    <row r="382" spans="1:31" x14ac:dyDescent="0.25">
      <c r="A382" s="338">
        <v>32547.5</v>
      </c>
      <c r="B382" s="355">
        <f t="shared" si="155"/>
        <v>32.547499999999999</v>
      </c>
      <c r="C382" s="328">
        <f t="shared" si="136"/>
        <v>7.3725627436752088</v>
      </c>
      <c r="D382" s="329">
        <f t="shared" si="137"/>
        <v>1.434738895764607</v>
      </c>
      <c r="E382" s="329">
        <f t="shared" si="138"/>
        <v>1.0000910821145765</v>
      </c>
      <c r="F382" s="330">
        <f t="shared" si="139"/>
        <v>1.3496310741889197E-2</v>
      </c>
      <c r="G382" s="329">
        <f t="shared" si="140"/>
        <v>1</v>
      </c>
      <c r="H382" s="330">
        <f t="shared" si="141"/>
        <v>0</v>
      </c>
      <c r="I382" s="328">
        <f t="shared" si="142"/>
        <v>71134.94625622491</v>
      </c>
      <c r="J382" s="331">
        <f t="shared" si="143"/>
        <v>1.5707822690068098</v>
      </c>
      <c r="K382" s="339">
        <f t="shared" si="159"/>
        <v>9.2142722720085253</v>
      </c>
      <c r="L382" s="340">
        <f t="shared" si="160"/>
        <v>1.4620548573506471</v>
      </c>
      <c r="M382" s="328">
        <f t="shared" si="144"/>
        <v>1.0107236924844212</v>
      </c>
      <c r="N382" s="331">
        <f t="shared" si="145"/>
        <v>0.14579938270810794</v>
      </c>
      <c r="O382" s="332">
        <f t="shared" si="146"/>
        <v>1.0035440742901689</v>
      </c>
      <c r="P382" s="333">
        <f t="shared" si="147"/>
        <v>0.22560677335090074</v>
      </c>
      <c r="Q382" s="334">
        <f t="shared" si="148"/>
        <v>0.99383095777918218</v>
      </c>
      <c r="R382" s="335">
        <f t="shared" si="149"/>
        <v>-108.94082894318588</v>
      </c>
      <c r="S382" s="337">
        <f t="shared" si="150"/>
        <v>71.059171056814122</v>
      </c>
      <c r="U382" s="310">
        <f t="shared" si="156"/>
        <v>1000000000</v>
      </c>
      <c r="V382" s="310">
        <f t="shared" si="157"/>
        <v>1059339756.25</v>
      </c>
      <c r="X382" s="336">
        <f t="shared" si="151"/>
        <v>2.7940920876856525</v>
      </c>
      <c r="Y382" s="337">
        <f t="shared" si="152"/>
        <v>-14.583311106730754</v>
      </c>
      <c r="AA382" s="336">
        <f t="shared" si="153"/>
        <v>-1.8002611299064699</v>
      </c>
      <c r="AB382" s="337">
        <f t="shared" si="154"/>
        <v>-94.357517836455116</v>
      </c>
      <c r="AD382">
        <f t="shared" si="158"/>
        <v>0</v>
      </c>
      <c r="AE382">
        <f t="shared" si="161"/>
        <v>0</v>
      </c>
    </row>
    <row r="383" spans="1:31" x14ac:dyDescent="0.25">
      <c r="A383" s="338">
        <v>32736</v>
      </c>
      <c r="B383" s="355">
        <f t="shared" si="155"/>
        <v>32.735999999999997</v>
      </c>
      <c r="C383" s="328">
        <f t="shared" si="136"/>
        <v>7.4144778699056229</v>
      </c>
      <c r="D383" s="329">
        <f t="shared" si="137"/>
        <v>1.4355127888693262</v>
      </c>
      <c r="E383" s="329">
        <f t="shared" si="138"/>
        <v>1.0000921401314919</v>
      </c>
      <c r="F383" s="330">
        <f t="shared" si="139"/>
        <v>1.357446552993437E-2</v>
      </c>
      <c r="G383" s="329">
        <f t="shared" si="140"/>
        <v>1</v>
      </c>
      <c r="H383" s="330">
        <f t="shared" si="141"/>
        <v>0</v>
      </c>
      <c r="I383" s="328">
        <f t="shared" si="142"/>
        <v>71546.926818991822</v>
      </c>
      <c r="J383" s="331">
        <f t="shared" si="143"/>
        <v>1.5707823499541784</v>
      </c>
      <c r="K383" s="339">
        <f t="shared" si="159"/>
        <v>9.2670103052847619</v>
      </c>
      <c r="L383" s="340">
        <f t="shared" si="160"/>
        <v>1.462676128694006</v>
      </c>
      <c r="M383" s="328">
        <f t="shared" si="144"/>
        <v>1.0108475970184705</v>
      </c>
      <c r="N383" s="331">
        <f t="shared" si="145"/>
        <v>0.1466317672631306</v>
      </c>
      <c r="O383" s="332">
        <f t="shared" si="146"/>
        <v>1.0035879756160491</v>
      </c>
      <c r="P383" s="333">
        <f t="shared" si="147"/>
        <v>0.22692611396145904</v>
      </c>
      <c r="Q383" s="334">
        <f t="shared" si="148"/>
        <v>0.94256609370330735</v>
      </c>
      <c r="R383" s="335">
        <f t="shared" si="149"/>
        <v>-109.06838499521815</v>
      </c>
      <c r="S383" s="337">
        <f t="shared" si="150"/>
        <v>70.931615004781847</v>
      </c>
      <c r="U383" s="310">
        <f t="shared" si="156"/>
        <v>1000000000</v>
      </c>
      <c r="V383" s="310">
        <f t="shared" si="157"/>
        <v>1071645696</v>
      </c>
      <c r="X383" s="336">
        <f t="shared" si="151"/>
        <v>2.7924399217637514</v>
      </c>
      <c r="Y383" s="337">
        <f t="shared" si="152"/>
        <v>-14.595411640714952</v>
      </c>
      <c r="AA383" s="336">
        <f t="shared" si="153"/>
        <v>-1.8498738280604416</v>
      </c>
      <c r="AB383" s="337">
        <f t="shared" si="154"/>
        <v>-94.47297335450321</v>
      </c>
      <c r="AD383">
        <f t="shared" si="158"/>
        <v>0</v>
      </c>
      <c r="AE383">
        <f t="shared" si="161"/>
        <v>0</v>
      </c>
    </row>
    <row r="384" spans="1:31" x14ac:dyDescent="0.25">
      <c r="A384" s="338">
        <v>32924.5</v>
      </c>
      <c r="B384" s="355">
        <f t="shared" si="155"/>
        <v>32.924500000000002</v>
      </c>
      <c r="C384" s="328">
        <f t="shared" si="136"/>
        <v>7.4563973868188613</v>
      </c>
      <c r="D384" s="329">
        <f t="shared" si="137"/>
        <v>1.4362779808464587</v>
      </c>
      <c r="E384" s="329">
        <f t="shared" si="138"/>
        <v>1.0000932042571282</v>
      </c>
      <c r="F384" s="330">
        <f t="shared" si="139"/>
        <v>1.3652620152139397E-2</v>
      </c>
      <c r="G384" s="329">
        <f t="shared" si="140"/>
        <v>1</v>
      </c>
      <c r="H384" s="330">
        <f t="shared" si="141"/>
        <v>0</v>
      </c>
      <c r="I384" s="328">
        <f t="shared" si="142"/>
        <v>71958.9073817592</v>
      </c>
      <c r="J384" s="331">
        <f t="shared" si="143"/>
        <v>1.5707824299746638</v>
      </c>
      <c r="K384" s="339">
        <f t="shared" si="159"/>
        <v>9.319751874942007</v>
      </c>
      <c r="L384" s="340">
        <f t="shared" si="160"/>
        <v>1.463290368577324</v>
      </c>
      <c r="M384" s="328">
        <f t="shared" si="144"/>
        <v>1.0109722017605174</v>
      </c>
      <c r="N384" s="331">
        <f t="shared" si="145"/>
        <v>0.14746394720784781</v>
      </c>
      <c r="O384" s="332">
        <f t="shared" si="146"/>
        <v>1.0036321934975052</v>
      </c>
      <c r="P384" s="333">
        <f t="shared" si="147"/>
        <v>0.22824566787584691</v>
      </c>
      <c r="Q384" s="334">
        <f t="shared" si="148"/>
        <v>0.8915751313353264</v>
      </c>
      <c r="R384" s="335">
        <f t="shared" si="149"/>
        <v>-109.19584583684446</v>
      </c>
      <c r="S384" s="337">
        <f t="shared" si="150"/>
        <v>70.804154163155545</v>
      </c>
      <c r="U384" s="310">
        <f t="shared" si="156"/>
        <v>1000000000</v>
      </c>
      <c r="V384" s="310">
        <f t="shared" si="157"/>
        <v>1084022700.25</v>
      </c>
      <c r="X384" s="336">
        <f t="shared" si="151"/>
        <v>2.7907918535487481</v>
      </c>
      <c r="Y384" s="337">
        <f t="shared" si="152"/>
        <v>-14.607903271270311</v>
      </c>
      <c r="AA384" s="336">
        <f t="shared" si="153"/>
        <v>-1.8992167222134217</v>
      </c>
      <c r="AB384" s="337">
        <f t="shared" si="154"/>
        <v>-94.587942565574153</v>
      </c>
      <c r="AD384">
        <f t="shared" si="158"/>
        <v>0</v>
      </c>
      <c r="AE384">
        <f t="shared" si="161"/>
        <v>0</v>
      </c>
    </row>
    <row r="385" spans="1:31" x14ac:dyDescent="0.25">
      <c r="A385" s="338">
        <v>33113</v>
      </c>
      <c r="B385" s="355">
        <f t="shared" si="155"/>
        <v>33.113</v>
      </c>
      <c r="C385" s="328">
        <f t="shared" si="136"/>
        <v>7.4983212207763197</v>
      </c>
      <c r="D385" s="329">
        <f t="shared" si="137"/>
        <v>1.4370346167388566</v>
      </c>
      <c r="E385" s="329">
        <f t="shared" si="138"/>
        <v>1.0000942744914656</v>
      </c>
      <c r="F385" s="330">
        <f t="shared" si="139"/>
        <v>1.3730774607550051E-2</v>
      </c>
      <c r="G385" s="329">
        <f t="shared" si="140"/>
        <v>1</v>
      </c>
      <c r="H385" s="330">
        <f t="shared" si="141"/>
        <v>0</v>
      </c>
      <c r="I385" s="328">
        <f t="shared" si="142"/>
        <v>72370.887944527043</v>
      </c>
      <c r="J385" s="331">
        <f t="shared" si="143"/>
        <v>1.5707825090840957</v>
      </c>
      <c r="K385" s="339">
        <f t="shared" si="159"/>
        <v>9.3724969212797458</v>
      </c>
      <c r="L385" s="340">
        <f t="shared" si="160"/>
        <v>1.4638976952447447</v>
      </c>
      <c r="M385" s="328">
        <f t="shared" si="144"/>
        <v>1.0110975064516869</v>
      </c>
      <c r="N385" s="331">
        <f t="shared" si="145"/>
        <v>0.14829592146551215</v>
      </c>
      <c r="O385" s="332">
        <f t="shared" si="146"/>
        <v>1.0036767290149886</v>
      </c>
      <c r="P385" s="333">
        <f t="shared" si="147"/>
        <v>0.22956543611268254</v>
      </c>
      <c r="Q385" s="334">
        <f t="shared" si="148"/>
        <v>0.84085490053735246</v>
      </c>
      <c r="R385" s="335">
        <f t="shared" si="149"/>
        <v>-109.32321300114873</v>
      </c>
      <c r="S385" s="337">
        <f t="shared" si="150"/>
        <v>70.67678699885127</v>
      </c>
      <c r="U385" s="310">
        <f t="shared" si="156"/>
        <v>1000000000</v>
      </c>
      <c r="V385" s="310">
        <f t="shared" si="157"/>
        <v>1096470769</v>
      </c>
      <c r="X385" s="336">
        <f t="shared" si="151"/>
        <v>2.789147662943197</v>
      </c>
      <c r="Y385" s="337">
        <f t="shared" si="152"/>
        <v>-14.620779162720337</v>
      </c>
      <c r="AA385" s="336">
        <f t="shared" si="153"/>
        <v>-1.9482927624058435</v>
      </c>
      <c r="AB385" s="337">
        <f t="shared" si="154"/>
        <v>-94.702433838428405</v>
      </c>
      <c r="AD385">
        <f t="shared" si="158"/>
        <v>0</v>
      </c>
      <c r="AE385">
        <f t="shared" si="161"/>
        <v>0</v>
      </c>
    </row>
    <row r="386" spans="1:31" x14ac:dyDescent="0.25">
      <c r="A386" s="338">
        <v>33305.75</v>
      </c>
      <c r="B386" s="355">
        <f t="shared" si="155"/>
        <v>33.305750000000003</v>
      </c>
      <c r="C386" s="328">
        <f t="shared" si="136"/>
        <v>7.5411946761944675</v>
      </c>
      <c r="D386" s="329">
        <f t="shared" si="137"/>
        <v>1.4377996122123291</v>
      </c>
      <c r="E386" s="329">
        <f t="shared" si="138"/>
        <v>1.0000953751725825</v>
      </c>
      <c r="F386" s="330">
        <f t="shared" si="139"/>
        <v>1.3810690992594944E-2</v>
      </c>
      <c r="G386" s="329">
        <f t="shared" si="140"/>
        <v>1</v>
      </c>
      <c r="H386" s="330">
        <f t="shared" si="141"/>
        <v>0</v>
      </c>
      <c r="I386" s="328">
        <f t="shared" si="142"/>
        <v>72792.157193723775</v>
      </c>
      <c r="J386" s="331">
        <f t="shared" si="143"/>
        <v>1.5707825890511811</v>
      </c>
      <c r="K386" s="339">
        <f t="shared" si="159"/>
        <v>9.4264347138789599</v>
      </c>
      <c r="L386" s="340">
        <f t="shared" si="160"/>
        <v>1.4645116866190873</v>
      </c>
      <c r="M386" s="328">
        <f t="shared" si="144"/>
        <v>1.0112263598428908</v>
      </c>
      <c r="N386" s="331">
        <f t="shared" si="145"/>
        <v>0.14914643994782298</v>
      </c>
      <c r="O386" s="332">
        <f t="shared" si="146"/>
        <v>1.0037225982399052</v>
      </c>
      <c r="P386" s="333">
        <f t="shared" si="147"/>
        <v>0.2309151830799557</v>
      </c>
      <c r="Q386" s="334">
        <f t="shared" si="148"/>
        <v>0.78926781890362607</v>
      </c>
      <c r="R386" s="335">
        <f t="shared" si="149"/>
        <v>-109.45335653313589</v>
      </c>
      <c r="S386" s="337">
        <f t="shared" si="150"/>
        <v>70.546643466864111</v>
      </c>
      <c r="U386" s="310">
        <f t="shared" si="156"/>
        <v>1000000000</v>
      </c>
      <c r="V386" s="310">
        <f t="shared" si="157"/>
        <v>1109272983.0625</v>
      </c>
      <c r="X386" s="336">
        <f t="shared" si="151"/>
        <v>2.7874701887390869</v>
      </c>
      <c r="Y386" s="337">
        <f t="shared" si="152"/>
        <v>-14.634335749539339</v>
      </c>
      <c r="AA386" s="336">
        <f t="shared" si="153"/>
        <v>-1.9982023698354598</v>
      </c>
      <c r="AB386" s="337">
        <f t="shared" si="154"/>
        <v>-94.819020783596528</v>
      </c>
      <c r="AD386">
        <f t="shared" si="158"/>
        <v>0</v>
      </c>
      <c r="AE386">
        <f t="shared" si="161"/>
        <v>0</v>
      </c>
    </row>
    <row r="387" spans="1:31" x14ac:dyDescent="0.25">
      <c r="A387" s="338">
        <v>33498.5</v>
      </c>
      <c r="B387" s="355">
        <f t="shared" si="155"/>
        <v>33.4985</v>
      </c>
      <c r="C387" s="328">
        <f t="shared" si="136"/>
        <v>7.5840724949576082</v>
      </c>
      <c r="D387" s="329">
        <f t="shared" si="137"/>
        <v>1.4385559580652687</v>
      </c>
      <c r="E387" s="329">
        <f t="shared" si="138"/>
        <v>1.0000964822409231</v>
      </c>
      <c r="F387" s="330">
        <f t="shared" si="139"/>
        <v>1.3890607201221502E-2</v>
      </c>
      <c r="G387" s="329">
        <f t="shared" si="140"/>
        <v>1</v>
      </c>
      <c r="H387" s="330">
        <f t="shared" si="141"/>
        <v>0</v>
      </c>
      <c r="I387" s="328">
        <f t="shared" si="142"/>
        <v>73213.426442920987</v>
      </c>
      <c r="J387" s="331">
        <f t="shared" si="143"/>
        <v>1.570782668098007</v>
      </c>
      <c r="K387" s="339">
        <f t="shared" si="159"/>
        <v>9.4803760196696008</v>
      </c>
      <c r="L387" s="340">
        <f t="shared" si="160"/>
        <v>1.4651186912616874</v>
      </c>
      <c r="M387" s="328">
        <f t="shared" si="144"/>
        <v>1.0113559445500215</v>
      </c>
      <c r="N387" s="331">
        <f t="shared" si="145"/>
        <v>0.14999674109178393</v>
      </c>
      <c r="O387" s="332">
        <f t="shared" si="146"/>
        <v>1.0037688018893767</v>
      </c>
      <c r="P387" s="333">
        <f t="shared" si="147"/>
        <v>0.23226515628551425</v>
      </c>
      <c r="Q387" s="334">
        <f t="shared" si="148"/>
        <v>0.73795727746775019</v>
      </c>
      <c r="R387" s="335">
        <f t="shared" si="149"/>
        <v>-109.58340525592317</v>
      </c>
      <c r="S387" s="337">
        <f t="shared" si="150"/>
        <v>70.416594744076832</v>
      </c>
      <c r="U387" s="310">
        <f t="shared" si="156"/>
        <v>1000000000</v>
      </c>
      <c r="V387" s="310">
        <f t="shared" si="157"/>
        <v>1122149502.25</v>
      </c>
      <c r="X387" s="336">
        <f t="shared" si="151"/>
        <v>2.7857963233979151</v>
      </c>
      <c r="Y387" s="337">
        <f t="shared" si="152"/>
        <v>-14.648280141303058</v>
      </c>
      <c r="AA387" s="336">
        <f t="shared" si="153"/>
        <v>-2.0478390459301656</v>
      </c>
      <c r="AB387" s="337">
        <f t="shared" si="154"/>
        <v>-94.935125114620135</v>
      </c>
      <c r="AD387">
        <f t="shared" si="158"/>
        <v>0</v>
      </c>
      <c r="AE387">
        <f t="shared" si="161"/>
        <v>0</v>
      </c>
    </row>
    <row r="388" spans="1:31" x14ac:dyDescent="0.25">
      <c r="A388" s="338">
        <v>33691.25</v>
      </c>
      <c r="B388" s="355">
        <f t="shared" si="155"/>
        <v>33.691249999999997</v>
      </c>
      <c r="C388" s="328">
        <f t="shared" si="136"/>
        <v>7.626954603475145</v>
      </c>
      <c r="D388" s="329">
        <f t="shared" si="137"/>
        <v>1.4393037993209112</v>
      </c>
      <c r="E388" s="329">
        <f t="shared" si="138"/>
        <v>1.0000975956964659</v>
      </c>
      <c r="F388" s="330">
        <f t="shared" si="139"/>
        <v>1.3970523232409526E-2</v>
      </c>
      <c r="G388" s="329">
        <f t="shared" si="140"/>
        <v>1</v>
      </c>
      <c r="H388" s="330">
        <f t="shared" si="141"/>
        <v>0</v>
      </c>
      <c r="I388" s="328">
        <f t="shared" si="142"/>
        <v>73634.69569211865</v>
      </c>
      <c r="J388" s="331">
        <f t="shared" si="143"/>
        <v>1.5707827462403683</v>
      </c>
      <c r="K388" s="339">
        <f t="shared" si="159"/>
        <v>9.5343207790230462</v>
      </c>
      <c r="L388" s="340">
        <f t="shared" si="160"/>
        <v>1.4657188273132429</v>
      </c>
      <c r="M388" s="328">
        <f t="shared" si="144"/>
        <v>1.0114862602920054</v>
      </c>
      <c r="N388" s="331">
        <f t="shared" si="145"/>
        <v>0.1508468237516081</v>
      </c>
      <c r="O388" s="332">
        <f t="shared" si="146"/>
        <v>1.003815341137883</v>
      </c>
      <c r="P388" s="333">
        <f t="shared" si="147"/>
        <v>0.23361535680656451</v>
      </c>
      <c r="Q388" s="334">
        <f t="shared" si="148"/>
        <v>0.68692005366461373</v>
      </c>
      <c r="R388" s="335">
        <f t="shared" si="149"/>
        <v>-109.71336070680073</v>
      </c>
      <c r="S388" s="337">
        <f t="shared" si="150"/>
        <v>70.286639293199272</v>
      </c>
      <c r="U388" s="310">
        <f t="shared" si="156"/>
        <v>1000000000</v>
      </c>
      <c r="V388" s="310">
        <f t="shared" si="157"/>
        <v>1135100326.5625</v>
      </c>
      <c r="X388" s="336">
        <f t="shared" si="151"/>
        <v>2.7841258513079654</v>
      </c>
      <c r="Y388" s="337">
        <f t="shared" si="152"/>
        <v>-14.662605504304329</v>
      </c>
      <c r="AA388" s="336">
        <f t="shared" si="153"/>
        <v>-2.0972057976433516</v>
      </c>
      <c r="AB388" s="337">
        <f t="shared" si="154"/>
        <v>-95.050755202496376</v>
      </c>
      <c r="AD388">
        <f t="shared" si="158"/>
        <v>0</v>
      </c>
      <c r="AE388">
        <f t="shared" si="161"/>
        <v>0</v>
      </c>
    </row>
    <row r="389" spans="1:31" x14ac:dyDescent="0.25">
      <c r="A389" s="338">
        <v>33884</v>
      </c>
      <c r="B389" s="355">
        <f t="shared" si="155"/>
        <v>33.884</v>
      </c>
      <c r="C389" s="328">
        <f t="shared" si="136"/>
        <v>7.6698409297949821</v>
      </c>
      <c r="D389" s="329">
        <f t="shared" si="137"/>
        <v>1.4400432777974104</v>
      </c>
      <c r="E389" s="329">
        <f t="shared" si="138"/>
        <v>1.0000987155391901</v>
      </c>
      <c r="F389" s="330">
        <f t="shared" si="139"/>
        <v>1.4050439085138833E-2</v>
      </c>
      <c r="G389" s="329">
        <f t="shared" si="140"/>
        <v>1</v>
      </c>
      <c r="H389" s="330">
        <f t="shared" si="141"/>
        <v>0</v>
      </c>
      <c r="I389" s="328">
        <f t="shared" si="142"/>
        <v>74055.964941316764</v>
      </c>
      <c r="J389" s="331">
        <f t="shared" si="143"/>
        <v>1.5707828234936998</v>
      </c>
      <c r="K389" s="339">
        <f t="shared" si="159"/>
        <v>9.5882689336488127</v>
      </c>
      <c r="L389" s="340">
        <f t="shared" si="160"/>
        <v>1.4663122102756352</v>
      </c>
      <c r="M389" s="328">
        <f t="shared" si="144"/>
        <v>1.0116173067863283</v>
      </c>
      <c r="N389" s="331">
        <f t="shared" si="145"/>
        <v>0.15169668678336046</v>
      </c>
      <c r="O389" s="332">
        <f t="shared" si="146"/>
        <v>1.0038622171663925</v>
      </c>
      <c r="P389" s="333">
        <f t="shared" si="147"/>
        <v>0.23496578571626281</v>
      </c>
      <c r="Q389" s="334">
        <f t="shared" si="148"/>
        <v>0.63615297870751664</v>
      </c>
      <c r="R389" s="335">
        <f t="shared" si="149"/>
        <v>-109.84322439046724</v>
      </c>
      <c r="S389" s="337">
        <f t="shared" si="150"/>
        <v>70.156775609532758</v>
      </c>
      <c r="U389" s="310">
        <f t="shared" si="156"/>
        <v>1000000000</v>
      </c>
      <c r="V389" s="310">
        <f t="shared" si="157"/>
        <v>1148125456</v>
      </c>
      <c r="X389" s="336">
        <f t="shared" si="151"/>
        <v>2.7824585630635963</v>
      </c>
      <c r="Y389" s="337">
        <f t="shared" si="152"/>
        <v>-14.67730515611453</v>
      </c>
      <c r="AA389" s="336">
        <f t="shared" si="153"/>
        <v>-2.1463055843560808</v>
      </c>
      <c r="AB389" s="337">
        <f t="shared" si="154"/>
        <v>-95.165919234352728</v>
      </c>
      <c r="AD389">
        <f t="shared" si="158"/>
        <v>0</v>
      </c>
      <c r="AE389">
        <f t="shared" si="161"/>
        <v>0</v>
      </c>
    </row>
    <row r="390" spans="1:31" x14ac:dyDescent="0.25">
      <c r="A390" s="338">
        <v>34081.5</v>
      </c>
      <c r="B390" s="355">
        <f t="shared" si="155"/>
        <v>34.081499999999998</v>
      </c>
      <c r="C390" s="328">
        <f t="shared" si="136"/>
        <v>7.713788419017134</v>
      </c>
      <c r="D390" s="329">
        <f t="shared" si="137"/>
        <v>1.4407924500624165</v>
      </c>
      <c r="E390" s="329">
        <f t="shared" si="138"/>
        <v>1.0000998696037571</v>
      </c>
      <c r="F390" s="330">
        <f t="shared" si="139"/>
        <v>1.4132324143652531E-2</v>
      </c>
      <c r="G390" s="329">
        <f t="shared" si="140"/>
        <v>1</v>
      </c>
      <c r="H390" s="330">
        <f t="shared" si="141"/>
        <v>0</v>
      </c>
      <c r="I390" s="328">
        <f t="shared" si="142"/>
        <v>74487.615663582459</v>
      </c>
      <c r="J390" s="331">
        <f t="shared" si="143"/>
        <v>1.5707829017444219</v>
      </c>
      <c r="K390" s="339">
        <f t="shared" si="159"/>
        <v>9.6435500121505981</v>
      </c>
      <c r="L390" s="340">
        <f t="shared" si="160"/>
        <v>1.4669133294880921</v>
      </c>
      <c r="M390" s="328">
        <f t="shared" si="144"/>
        <v>1.0117523403909066</v>
      </c>
      <c r="N390" s="331">
        <f t="shared" si="145"/>
        <v>0.15256726425440281</v>
      </c>
      <c r="O390" s="332">
        <f t="shared" si="146"/>
        <v>1.0039105989490897</v>
      </c>
      <c r="P390" s="333">
        <f t="shared" si="147"/>
        <v>0.2363497316965979</v>
      </c>
      <c r="Q390" s="334">
        <f t="shared" si="148"/>
        <v>0.58441179282995048</v>
      </c>
      <c r="R390" s="335">
        <f t="shared" si="149"/>
        <v>-109.9761946994296</v>
      </c>
      <c r="S390" s="337">
        <f t="shared" si="150"/>
        <v>70.023805300570402</v>
      </c>
      <c r="U390" s="310">
        <f t="shared" si="156"/>
        <v>1000000000</v>
      </c>
      <c r="V390" s="310">
        <f t="shared" si="157"/>
        <v>1161548642.25</v>
      </c>
      <c r="X390" s="336">
        <f t="shared" si="151"/>
        <v>2.7807532771216223</v>
      </c>
      <c r="Y390" s="337">
        <f t="shared" si="152"/>
        <v>-14.692748460540196</v>
      </c>
      <c r="AA390" s="336">
        <f t="shared" si="153"/>
        <v>-2.1963414842916724</v>
      </c>
      <c r="AB390" s="337">
        <f t="shared" si="154"/>
        <v>-95.283446238889397</v>
      </c>
      <c r="AD390">
        <f t="shared" si="158"/>
        <v>0</v>
      </c>
      <c r="AE390">
        <f t="shared" si="161"/>
        <v>0</v>
      </c>
    </row>
    <row r="391" spans="1:31" x14ac:dyDescent="0.25">
      <c r="A391" s="338">
        <v>34279</v>
      </c>
      <c r="B391" s="355">
        <f t="shared" si="155"/>
        <v>34.279000000000003</v>
      </c>
      <c r="C391" s="328">
        <f t="shared" si="136"/>
        <v>7.7577401886193282</v>
      </c>
      <c r="D391" s="329">
        <f t="shared" si="137"/>
        <v>1.4415331338117807</v>
      </c>
      <c r="E391" s="329">
        <f t="shared" si="138"/>
        <v>1.0001010303741413</v>
      </c>
      <c r="F391" s="330">
        <f t="shared" si="139"/>
        <v>1.4214209012634982E-2</v>
      </c>
      <c r="G391" s="329">
        <f t="shared" si="140"/>
        <v>1</v>
      </c>
      <c r="H391" s="330">
        <f t="shared" si="141"/>
        <v>0</v>
      </c>
      <c r="I391" s="328">
        <f t="shared" si="142"/>
        <v>74919.266385848605</v>
      </c>
      <c r="J391" s="331">
        <f t="shared" si="143"/>
        <v>1.5707829790934538</v>
      </c>
      <c r="K391" s="339">
        <f t="shared" si="159"/>
        <v>9.6988345355702723</v>
      </c>
      <c r="L391" s="340">
        <f t="shared" si="160"/>
        <v>1.4675075960096222</v>
      </c>
      <c r="M391" s="328">
        <f t="shared" si="144"/>
        <v>1.0118881406027802</v>
      </c>
      <c r="N391" s="331">
        <f t="shared" si="145"/>
        <v>0.15343760871364373</v>
      </c>
      <c r="O391" s="332">
        <f t="shared" si="146"/>
        <v>1.0039593368462774</v>
      </c>
      <c r="P391" s="333">
        <f t="shared" si="147"/>
        <v>0.23773391972881361</v>
      </c>
      <c r="Q391" s="334">
        <f t="shared" si="148"/>
        <v>0.53294766683643424</v>
      </c>
      <c r="R391" s="335">
        <f t="shared" si="149"/>
        <v>-110.10907175969432</v>
      </c>
      <c r="S391" s="337">
        <f t="shared" si="150"/>
        <v>69.890928240305684</v>
      </c>
      <c r="U391" s="310">
        <f t="shared" si="156"/>
        <v>1000000000</v>
      </c>
      <c r="V391" s="310">
        <f t="shared" si="157"/>
        <v>1175049841</v>
      </c>
      <c r="X391" s="336">
        <f t="shared" si="151"/>
        <v>2.7790509078471399</v>
      </c>
      <c r="Y391" s="337">
        <f t="shared" si="152"/>
        <v>-14.708570992978848</v>
      </c>
      <c r="AA391" s="336">
        <f t="shared" si="153"/>
        <v>-2.2461032410107049</v>
      </c>
      <c r="AB391" s="337">
        <f t="shared" si="154"/>
        <v>-95.400500766715453</v>
      </c>
      <c r="AD391">
        <f t="shared" si="158"/>
        <v>0</v>
      </c>
      <c r="AE391">
        <f t="shared" si="161"/>
        <v>0</v>
      </c>
    </row>
    <row r="392" spans="1:31" x14ac:dyDescent="0.25">
      <c r="A392" s="338">
        <v>34476.5</v>
      </c>
      <c r="B392" s="355">
        <f t="shared" si="155"/>
        <v>34.476500000000001</v>
      </c>
      <c r="C392" s="328">
        <f t="shared" si="136"/>
        <v>7.8016961662594939</v>
      </c>
      <c r="D392" s="329">
        <f t="shared" si="137"/>
        <v>1.4422654717027388</v>
      </c>
      <c r="E392" s="329">
        <f t="shared" si="138"/>
        <v>1.0001021978503191</v>
      </c>
      <c r="F392" s="330">
        <f t="shared" si="139"/>
        <v>1.429609369098875E-2</v>
      </c>
      <c r="G392" s="329">
        <f t="shared" si="140"/>
        <v>1</v>
      </c>
      <c r="H392" s="330">
        <f t="shared" si="141"/>
        <v>0</v>
      </c>
      <c r="I392" s="328">
        <f t="shared" si="142"/>
        <v>75350.917108115187</v>
      </c>
      <c r="J392" s="331">
        <f t="shared" si="143"/>
        <v>1.5707830555562918</v>
      </c>
      <c r="K392" s="339">
        <f t="shared" si="159"/>
        <v>9.7541224453324098</v>
      </c>
      <c r="L392" s="340">
        <f t="shared" si="160"/>
        <v>1.4680951259432926</v>
      </c>
      <c r="M392" s="328">
        <f t="shared" si="144"/>
        <v>1.0120247071133437</v>
      </c>
      <c r="N392" s="331">
        <f t="shared" si="145"/>
        <v>0.15430771893658002</v>
      </c>
      <c r="O392" s="332">
        <f t="shared" si="146"/>
        <v>1.0040084321495697</v>
      </c>
      <c r="P392" s="333">
        <f t="shared" si="147"/>
        <v>0.23911835095398504</v>
      </c>
      <c r="Q392" s="334">
        <f t="shared" si="148"/>
        <v>0.48175735985518553</v>
      </c>
      <c r="R392" s="335">
        <f t="shared" si="149"/>
        <v>-110.24185708887387</v>
      </c>
      <c r="S392" s="337">
        <f t="shared" si="150"/>
        <v>69.758142911126129</v>
      </c>
      <c r="U392" s="310">
        <f t="shared" si="156"/>
        <v>1000000000</v>
      </c>
      <c r="V392" s="310">
        <f t="shared" si="157"/>
        <v>1188629052.25</v>
      </c>
      <c r="X392" s="336">
        <f t="shared" si="151"/>
        <v>2.7773512489156138</v>
      </c>
      <c r="Y392" s="337">
        <f t="shared" si="152"/>
        <v>-14.724766031943783</v>
      </c>
      <c r="AA392" s="336">
        <f t="shared" si="153"/>
        <v>-2.2955938890604273</v>
      </c>
      <c r="AB392" s="337">
        <f t="shared" si="154"/>
        <v>-95.517091056930084</v>
      </c>
      <c r="AD392">
        <f t="shared" si="158"/>
        <v>0</v>
      </c>
      <c r="AE392">
        <f t="shared" si="161"/>
        <v>0</v>
      </c>
    </row>
    <row r="393" spans="1:31" x14ac:dyDescent="0.25">
      <c r="A393" s="338">
        <v>34674</v>
      </c>
      <c r="B393" s="355">
        <f t="shared" si="155"/>
        <v>34.673999999999999</v>
      </c>
      <c r="C393" s="328">
        <f t="shared" si="136"/>
        <v>7.8456562812099273</v>
      </c>
      <c r="D393" s="329">
        <f t="shared" si="137"/>
        <v>1.4429896032314962</v>
      </c>
      <c r="E393" s="329">
        <f t="shared" si="138"/>
        <v>1.0001033720322667</v>
      </c>
      <c r="F393" s="330">
        <f t="shared" si="139"/>
        <v>1.4377978177616412E-2</v>
      </c>
      <c r="G393" s="329">
        <f t="shared" si="140"/>
        <v>1</v>
      </c>
      <c r="H393" s="330">
        <f t="shared" si="141"/>
        <v>0</v>
      </c>
      <c r="I393" s="328">
        <f t="shared" si="142"/>
        <v>75782.567830382221</v>
      </c>
      <c r="J393" s="331">
        <f t="shared" si="143"/>
        <v>1.5707831311480789</v>
      </c>
      <c r="K393" s="339">
        <f t="shared" si="159"/>
        <v>9.8094136841785993</v>
      </c>
      <c r="L393" s="340">
        <f t="shared" si="160"/>
        <v>1.4686760327933326</v>
      </c>
      <c r="M393" s="328">
        <f t="shared" si="144"/>
        <v>1.0121620396124174</v>
      </c>
      <c r="N393" s="331">
        <f t="shared" si="145"/>
        <v>0.15517759370078624</v>
      </c>
      <c r="O393" s="332">
        <f t="shared" si="146"/>
        <v>1.0040578861577105</v>
      </c>
      <c r="P393" s="333">
        <f t="shared" si="147"/>
        <v>0.24050302650861571</v>
      </c>
      <c r="Q393" s="334">
        <f t="shared" si="148"/>
        <v>0.43083768520928023</v>
      </c>
      <c r="R393" s="335">
        <f t="shared" si="149"/>
        <v>-110.37455217220638</v>
      </c>
      <c r="S393" s="337">
        <f t="shared" si="150"/>
        <v>69.625447827793622</v>
      </c>
      <c r="U393" s="310">
        <f t="shared" si="156"/>
        <v>1000000000</v>
      </c>
      <c r="V393" s="310">
        <f t="shared" si="157"/>
        <v>1202286276</v>
      </c>
      <c r="X393" s="336">
        <f t="shared" si="151"/>
        <v>2.7756540999738046</v>
      </c>
      <c r="Y393" s="337">
        <f t="shared" si="152"/>
        <v>-14.741327004949495</v>
      </c>
      <c r="AA393" s="336">
        <f t="shared" si="153"/>
        <v>-2.3448164147645225</v>
      </c>
      <c r="AB393" s="337">
        <f t="shared" si="154"/>
        <v>-95.633225167256853</v>
      </c>
      <c r="AD393">
        <f t="shared" si="158"/>
        <v>0</v>
      </c>
      <c r="AE393">
        <f t="shared" si="161"/>
        <v>0</v>
      </c>
    </row>
    <row r="394" spans="1:31" x14ac:dyDescent="0.25">
      <c r="A394" s="338">
        <v>34875.75</v>
      </c>
      <c r="B394" s="355">
        <f t="shared" si="155"/>
        <v>34.875749999999996</v>
      </c>
      <c r="C394" s="328">
        <f t="shared" si="136"/>
        <v>7.8905665732219292</v>
      </c>
      <c r="D394" s="329">
        <f t="shared" si="137"/>
        <v>1.44372098603667</v>
      </c>
      <c r="E394" s="329">
        <f t="shared" si="138"/>
        <v>1.0001045784051714</v>
      </c>
      <c r="F394" s="330">
        <f t="shared" si="139"/>
        <v>1.4461624536374973E-2</v>
      </c>
      <c r="G394" s="329">
        <f t="shared" si="140"/>
        <v>1</v>
      </c>
      <c r="H394" s="330">
        <f t="shared" si="141"/>
        <v>0</v>
      </c>
      <c r="I394" s="328">
        <f t="shared" si="142"/>
        <v>76223.507239078215</v>
      </c>
      <c r="J394" s="331">
        <f t="shared" si="143"/>
        <v>1.5707832074825447</v>
      </c>
      <c r="K394" s="339">
        <f t="shared" si="159"/>
        <v>9.8658981136007355</v>
      </c>
      <c r="L394" s="340">
        <f t="shared" si="160"/>
        <v>1.4692627171637731</v>
      </c>
      <c r="M394" s="328">
        <f t="shared" si="144"/>
        <v>1.0123031179344044</v>
      </c>
      <c r="N394" s="331">
        <f t="shared" si="145"/>
        <v>0.15606594290649742</v>
      </c>
      <c r="O394" s="332">
        <f t="shared" si="146"/>
        <v>1.0041087760904057</v>
      </c>
      <c r="P394" s="333">
        <f t="shared" si="147"/>
        <v>0.24191775232865262</v>
      </c>
      <c r="Q394" s="334">
        <f t="shared" si="148"/>
        <v>0.37909844285071098</v>
      </c>
      <c r="R394" s="335">
        <f t="shared" si="149"/>
        <v>-110.51001105116505</v>
      </c>
      <c r="S394" s="337">
        <f t="shared" si="150"/>
        <v>69.489988948834949</v>
      </c>
      <c r="U394" s="310">
        <f t="shared" si="156"/>
        <v>1000000000</v>
      </c>
      <c r="V394" s="310">
        <f t="shared" si="157"/>
        <v>1216317938.0625</v>
      </c>
      <c r="X394" s="336">
        <f t="shared" si="151"/>
        <v>2.7739228193783876</v>
      </c>
      <c r="Y394" s="337">
        <f t="shared" si="152"/>
        <v>-14.758615500500497</v>
      </c>
      <c r="AA394" s="336">
        <f t="shared" si="153"/>
        <v>-2.3948243765276795</v>
      </c>
      <c r="AB394" s="337">
        <f t="shared" si="154"/>
        <v>-95.751395550664583</v>
      </c>
      <c r="AD394">
        <f t="shared" si="158"/>
        <v>0</v>
      </c>
      <c r="AE394">
        <f t="shared" si="161"/>
        <v>0</v>
      </c>
    </row>
    <row r="395" spans="1:31" x14ac:dyDescent="0.25">
      <c r="A395" s="338">
        <v>35077.5</v>
      </c>
      <c r="B395" s="355">
        <f t="shared" si="155"/>
        <v>35.077500000000001</v>
      </c>
      <c r="C395" s="328">
        <f t="shared" si="136"/>
        <v>7.9354810382859124</v>
      </c>
      <c r="D395" s="329">
        <f t="shared" si="137"/>
        <v>1.4444440900375721</v>
      </c>
      <c r="E395" s="329">
        <f t="shared" si="138"/>
        <v>1.0001057917755041</v>
      </c>
      <c r="F395" s="330">
        <f t="shared" si="139"/>
        <v>1.4545270692752233E-2</v>
      </c>
      <c r="G395" s="329">
        <f t="shared" si="140"/>
        <v>1</v>
      </c>
      <c r="H395" s="330">
        <f t="shared" si="141"/>
        <v>0</v>
      </c>
      <c r="I395" s="328">
        <f t="shared" si="142"/>
        <v>76664.446647774661</v>
      </c>
      <c r="J395" s="331">
        <f t="shared" si="143"/>
        <v>1.5707832829389274</v>
      </c>
      <c r="K395" s="339">
        <f t="shared" si="159"/>
        <v>9.9223859001876686</v>
      </c>
      <c r="L395" s="340">
        <f t="shared" si="160"/>
        <v>1.4698427217858581</v>
      </c>
      <c r="M395" s="328">
        <f t="shared" si="144"/>
        <v>1.0124449949068801</v>
      </c>
      <c r="N395" s="331">
        <f t="shared" si="145"/>
        <v>0.15695404383879283</v>
      </c>
      <c r="O395" s="332">
        <f t="shared" si="146"/>
        <v>1.0041600430943469</v>
      </c>
      <c r="P395" s="333">
        <f t="shared" si="147"/>
        <v>0.24333273548943746</v>
      </c>
      <c r="Q395" s="334">
        <f t="shared" si="148"/>
        <v>0.32763505127333226</v>
      </c>
      <c r="R395" s="335">
        <f t="shared" si="149"/>
        <v>-110.64537879177351</v>
      </c>
      <c r="S395" s="337">
        <f t="shared" si="150"/>
        <v>69.35462120822649</v>
      </c>
      <c r="U395" s="310">
        <f t="shared" si="156"/>
        <v>1000000000</v>
      </c>
      <c r="V395" s="310">
        <f t="shared" si="157"/>
        <v>1230431006.25</v>
      </c>
      <c r="X395" s="336">
        <f t="shared" si="151"/>
        <v>2.7721937535313721</v>
      </c>
      <c r="Y395" s="337">
        <f t="shared" si="152"/>
        <v>-14.77627244211155</v>
      </c>
      <c r="AA395" s="336">
        <f t="shared" si="153"/>
        <v>-2.44455870225804</v>
      </c>
      <c r="AB395" s="337">
        <f t="shared" si="154"/>
        <v>-95.869106349661948</v>
      </c>
      <c r="AD395">
        <f t="shared" si="158"/>
        <v>0</v>
      </c>
      <c r="AE395">
        <f t="shared" si="161"/>
        <v>0</v>
      </c>
    </row>
    <row r="396" spans="1:31" x14ac:dyDescent="0.25">
      <c r="A396" s="338">
        <v>35279.25</v>
      </c>
      <c r="B396" s="355">
        <f t="shared" si="155"/>
        <v>35.279249999999998</v>
      </c>
      <c r="C396" s="328">
        <f t="shared" si="136"/>
        <v>7.9803996059428481</v>
      </c>
      <c r="D396" s="329">
        <f t="shared" si="137"/>
        <v>1.4451590542660675</v>
      </c>
      <c r="E396" s="329">
        <f t="shared" si="138"/>
        <v>1.0001070121432392</v>
      </c>
      <c r="F396" s="330">
        <f t="shared" si="139"/>
        <v>1.4628916645578438E-2</v>
      </c>
      <c r="G396" s="329">
        <f t="shared" si="140"/>
        <v>1</v>
      </c>
      <c r="H396" s="330">
        <f t="shared" si="141"/>
        <v>0</v>
      </c>
      <c r="I396" s="328">
        <f t="shared" si="142"/>
        <v>77105.386056471529</v>
      </c>
      <c r="J396" s="331">
        <f t="shared" si="143"/>
        <v>1.5707833575322916</v>
      </c>
      <c r="K396" s="339">
        <f t="shared" si="159"/>
        <v>9.9788769869273324</v>
      </c>
      <c r="L396" s="340">
        <f t="shared" si="160"/>
        <v>1.470416159709502</v>
      </c>
      <c r="M396" s="328">
        <f t="shared" si="144"/>
        <v>1.0125876701941394</v>
      </c>
      <c r="N396" s="331">
        <f t="shared" si="145"/>
        <v>0.15784189520139566</v>
      </c>
      <c r="O396" s="332">
        <f t="shared" si="146"/>
        <v>1.0042116885769388</v>
      </c>
      <c r="P396" s="333">
        <f t="shared" si="147"/>
        <v>0.24474797718747923</v>
      </c>
      <c r="Q396" s="334">
        <f t="shared" si="148"/>
        <v>0.27644428111271296</v>
      </c>
      <c r="R396" s="335">
        <f t="shared" si="149"/>
        <v>-110.78065687790158</v>
      </c>
      <c r="S396" s="337">
        <f t="shared" si="150"/>
        <v>69.219343122098422</v>
      </c>
      <c r="U396" s="310">
        <f t="shared" si="156"/>
        <v>1000000000</v>
      </c>
      <c r="V396" s="310">
        <f t="shared" si="157"/>
        <v>1244625480.5625</v>
      </c>
      <c r="X396" s="336">
        <f t="shared" si="151"/>
        <v>2.7704667069010358</v>
      </c>
      <c r="Y396" s="337">
        <f t="shared" si="152"/>
        <v>-14.794291279091617</v>
      </c>
      <c r="AA396" s="336">
        <f t="shared" si="153"/>
        <v>-2.4940224257883226</v>
      </c>
      <c r="AB396" s="337">
        <f t="shared" si="154"/>
        <v>-95.986365598809968</v>
      </c>
      <c r="AD396">
        <f t="shared" si="158"/>
        <v>0</v>
      </c>
      <c r="AE396">
        <f t="shared" si="161"/>
        <v>0</v>
      </c>
    </row>
    <row r="397" spans="1:31" x14ac:dyDescent="0.25">
      <c r="A397" s="338">
        <v>35481</v>
      </c>
      <c r="B397" s="355">
        <f t="shared" si="155"/>
        <v>35.481000000000002</v>
      </c>
      <c r="C397" s="328">
        <f t="shared" ref="C397:C460" si="162">SQRT(1+(A397/pole1)^2)</f>
        <v>8.0253222073048125</v>
      </c>
      <c r="D397" s="329">
        <f t="shared" ref="D397:D460" si="163">ATAN(A397/pole1)</f>
        <v>1.445866014674754</v>
      </c>
      <c r="E397" s="329">
        <f t="shared" ref="E397:E460" si="164">SQRT(1+(A397/Zero1)^2)</f>
        <v>1.0001082395083516</v>
      </c>
      <c r="F397" s="330">
        <f t="shared" ref="F397:F460" si="165">ATAN(A397/Zero1)</f>
        <v>1.4712562393683858E-2</v>
      </c>
      <c r="G397" s="329">
        <f t="shared" ref="G397:G460" si="166">IF(VIN_nom&gt;Vout, 1, SQRT(1+(A397/z_RHP)^2))</f>
        <v>1</v>
      </c>
      <c r="H397" s="330">
        <f t="shared" ref="H397:H460" si="167">IF(VIN_nom&gt;Vout, 0, -ATAN(A397/z_RHP))</f>
        <v>0</v>
      </c>
      <c r="I397" s="328">
        <f t="shared" ref="I397:I460" si="168">SQRT(1+(A397/Pole2)^2)</f>
        <v>77546.325465168818</v>
      </c>
      <c r="J397" s="331">
        <f t="shared" ref="J397:J460" si="169">ATAN(A397/Pole2)</f>
        <v>1.5707834312773588</v>
      </c>
      <c r="K397" s="339">
        <f t="shared" si="159"/>
        <v>10.035371318088092</v>
      </c>
      <c r="L397" s="340">
        <f t="shared" si="160"/>
        <v>1.4709831414564516</v>
      </c>
      <c r="M397" s="328">
        <f t="shared" ref="M397:M460" si="170">SQRT(1+(A397/pole4)^2)</f>
        <v>1.0127311434587787</v>
      </c>
      <c r="N397" s="331">
        <f t="shared" ref="N397:N460" si="171">ATAN(A397/pole4)</f>
        <v>0.15872949570033135</v>
      </c>
      <c r="O397" s="332">
        <f t="shared" ref="O397:O460" si="172">SQRT((1-(V397/pterm2))^2+(A397/pterm1)^2)</f>
        <v>1.0042637139533208</v>
      </c>
      <c r="P397" s="333">
        <f t="shared" ref="P397:P460" si="173">IF((ATAN((A397/pterm1)/(1-A397^2/pterm2))&gt;0),ATAN((A397/pterm1)/(1-A397^2/pterm2)),PI()+ATAN((A397/pterm1)/(1-A397^2/pterm2)))</f>
        <v>0.24616347861418961</v>
      </c>
      <c r="Q397" s="334">
        <f t="shared" ref="Q397:Q460" si="174">20*LOG10(((E397*K397*G397)/(C397*I397*O397*M397))*Adc)</f>
        <v>0.22552295695157654</v>
      </c>
      <c r="R397" s="335">
        <f t="shared" ref="R397:R460" si="175">((F397+L397+H397)-(D397+J397+P397+N397))*radconv</f>
        <v>-110.9158467616639</v>
      </c>
      <c r="S397" s="337">
        <f t="shared" ref="S397:S460" si="176">IF(R397&gt;0,R397,R397+180)</f>
        <v>69.0841532383361</v>
      </c>
      <c r="U397" s="310">
        <f t="shared" si="156"/>
        <v>1000000000</v>
      </c>
      <c r="V397" s="310">
        <f t="shared" si="157"/>
        <v>1258901361</v>
      </c>
      <c r="X397" s="336">
        <f t="shared" ref="X397:X460" si="177">20*LOG10((K397/(I397*M397))*AEA*Afb)</f>
        <v>2.7687414896314082</v>
      </c>
      <c r="Y397" s="337">
        <f t="shared" ref="Y397:Y460" si="178">(L397-(J397+N397))*radconv</f>
        <v>-14.812665605715281</v>
      </c>
      <c r="AA397" s="336">
        <f t="shared" ref="AA397:AA460" si="179">20*LOG10((E397*G397/(C397*O397))*Am)</f>
        <v>-2.543218532679838</v>
      </c>
      <c r="AB397" s="337">
        <f t="shared" ref="AB397:AB460" si="180">(F397+H397-(D397+P397))*radconv</f>
        <v>-96.103181155948619</v>
      </c>
      <c r="AD397">
        <f t="shared" si="158"/>
        <v>0</v>
      </c>
      <c r="AE397">
        <f t="shared" si="161"/>
        <v>0</v>
      </c>
    </row>
    <row r="398" spans="1:31" x14ac:dyDescent="0.25">
      <c r="A398" s="338">
        <v>35687.75</v>
      </c>
      <c r="B398" s="355">
        <f t="shared" ref="B398:B461" si="181">A398/1000</f>
        <v>35.687750000000001</v>
      </c>
      <c r="C398" s="328">
        <f t="shared" si="162"/>
        <v>8.071362246563627</v>
      </c>
      <c r="D398" s="329">
        <f t="shared" si="163"/>
        <v>1.4465823310316295</v>
      </c>
      <c r="E398" s="329">
        <f t="shared" si="164"/>
        <v>1.0001095045510591</v>
      </c>
      <c r="F398" s="330">
        <f t="shared" si="165"/>
        <v>1.4798280933081269E-2</v>
      </c>
      <c r="G398" s="329">
        <f t="shared" si="166"/>
        <v>1</v>
      </c>
      <c r="H398" s="330">
        <f t="shared" si="167"/>
        <v>0</v>
      </c>
      <c r="I398" s="328">
        <f t="shared" si="168"/>
        <v>77998.1927402531</v>
      </c>
      <c r="J398" s="331">
        <f t="shared" si="169"/>
        <v>1.5707835059850177</v>
      </c>
      <c r="K398" s="339">
        <f t="shared" si="159"/>
        <v>10.093269065628339</v>
      </c>
      <c r="L398" s="340">
        <f t="shared" si="160"/>
        <v>1.4715575896543176</v>
      </c>
      <c r="M398" s="328">
        <f t="shared" si="170"/>
        <v>1.0128789999747929</v>
      </c>
      <c r="N398" s="331">
        <f t="shared" si="171"/>
        <v>0.15963883211569119</v>
      </c>
      <c r="O398" s="332">
        <f t="shared" si="172"/>
        <v>1.0043174243036226</v>
      </c>
      <c r="P398" s="333">
        <f t="shared" si="173"/>
        <v>0.24761433132614222</v>
      </c>
      <c r="Q398" s="334">
        <f t="shared" si="174"/>
        <v>0.17361592129768921</v>
      </c>
      <c r="R398" s="335">
        <f t="shared" si="175"/>
        <v>-111.05429705432834</v>
      </c>
      <c r="S398" s="337">
        <f t="shared" si="176"/>
        <v>68.945702945671655</v>
      </c>
      <c r="U398" s="310">
        <f t="shared" ref="U398:U461" si="182">IF(Q398&lt;0,A398,1000000000)</f>
        <v>1000000000</v>
      </c>
      <c r="V398" s="310">
        <f t="shared" ref="V398:V461" si="183">A398^2</f>
        <v>1273615500.0625</v>
      </c>
      <c r="X398" s="336">
        <f t="shared" si="177"/>
        <v>2.7669752211510645</v>
      </c>
      <c r="Y398" s="337">
        <f t="shared" si="178"/>
        <v>-14.831857567641823</v>
      </c>
      <c r="AA398" s="336">
        <f t="shared" si="179"/>
        <v>-2.5933592998533754</v>
      </c>
      <c r="AB398" s="337">
        <f t="shared" si="180"/>
        <v>-96.222439486686554</v>
      </c>
      <c r="AD398">
        <f t="shared" ref="AD398:AD461" si="184">SUM((Q399&lt;0)*(Q398&gt;0))*A398</f>
        <v>0</v>
      </c>
      <c r="AE398">
        <f t="shared" si="161"/>
        <v>0</v>
      </c>
    </row>
    <row r="399" spans="1:31" x14ac:dyDescent="0.25">
      <c r="A399" s="338">
        <v>35894.5</v>
      </c>
      <c r="B399" s="355">
        <f t="shared" si="181"/>
        <v>35.894500000000001</v>
      </c>
      <c r="C399" s="328">
        <f t="shared" si="162"/>
        <v>8.1174063803316887</v>
      </c>
      <c r="D399" s="329">
        <f t="shared" si="163"/>
        <v>1.4472905214665848</v>
      </c>
      <c r="E399" s="329">
        <f t="shared" si="164"/>
        <v>1.0001107769422206</v>
      </c>
      <c r="F399" s="330">
        <f t="shared" si="165"/>
        <v>1.4883999254997648E-2</v>
      </c>
      <c r="G399" s="329">
        <f t="shared" si="166"/>
        <v>1</v>
      </c>
      <c r="H399" s="330">
        <f t="shared" si="167"/>
        <v>0</v>
      </c>
      <c r="I399" s="328">
        <f t="shared" si="168"/>
        <v>78450.060015337804</v>
      </c>
      <c r="J399" s="331">
        <f t="shared" si="169"/>
        <v>1.570783579832054</v>
      </c>
      <c r="K399" s="339">
        <f t="shared" si="159"/>
        <v>10.151170105859707</v>
      </c>
      <c r="L399" s="340">
        <f t="shared" si="160"/>
        <v>1.4721254848724334</v>
      </c>
      <c r="M399" s="328">
        <f t="shared" si="170"/>
        <v>1.0130276937881835</v>
      </c>
      <c r="N399" s="331">
        <f t="shared" si="171"/>
        <v>0.16054790233488539</v>
      </c>
      <c r="O399" s="332">
        <f t="shared" si="172"/>
        <v>1.0043715366449855</v>
      </c>
      <c r="P399" s="333">
        <f t="shared" si="173"/>
        <v>0.24906545931693441</v>
      </c>
      <c r="Q399" s="334">
        <f t="shared" si="174"/>
        <v>0.12198526900913706</v>
      </c>
      <c r="R399" s="335">
        <f t="shared" si="175"/>
        <v>-111.19265770759456</v>
      </c>
      <c r="S399" s="337">
        <f t="shared" si="176"/>
        <v>68.807342292405437</v>
      </c>
      <c r="U399" s="310">
        <f t="shared" si="182"/>
        <v>1000000000</v>
      </c>
      <c r="V399" s="310">
        <f t="shared" si="183"/>
        <v>1288415130.25</v>
      </c>
      <c r="X399" s="336">
        <f t="shared" si="177"/>
        <v>2.7652104875905028</v>
      </c>
      <c r="Y399" s="337">
        <f t="shared" si="178"/>
        <v>-14.851409686424837</v>
      </c>
      <c r="AA399" s="336">
        <f t="shared" si="179"/>
        <v>-2.6432252185813621</v>
      </c>
      <c r="AB399" s="337">
        <f t="shared" si="180"/>
        <v>-96.341248021169719</v>
      </c>
      <c r="AD399">
        <f t="shared" si="184"/>
        <v>0</v>
      </c>
      <c r="AE399">
        <f t="shared" si="161"/>
        <v>0</v>
      </c>
    </row>
    <row r="400" spans="1:31" x14ac:dyDescent="0.25">
      <c r="A400" s="338">
        <v>36101.25</v>
      </c>
      <c r="B400" s="355">
        <f t="shared" si="181"/>
        <v>36.10125</v>
      </c>
      <c r="C400" s="328">
        <f t="shared" si="162"/>
        <v>8.1634545393265086</v>
      </c>
      <c r="D400" s="329">
        <f t="shared" si="163"/>
        <v>1.4479907227725175</v>
      </c>
      <c r="E400" s="329">
        <f t="shared" si="164"/>
        <v>1.0001120566818078</v>
      </c>
      <c r="F400" s="330">
        <f t="shared" si="165"/>
        <v>1.4969717358174171E-2</v>
      </c>
      <c r="G400" s="329">
        <f t="shared" si="166"/>
        <v>1</v>
      </c>
      <c r="H400" s="330">
        <f t="shared" si="167"/>
        <v>0</v>
      </c>
      <c r="I400" s="328">
        <f t="shared" si="168"/>
        <v>78901.927290422944</v>
      </c>
      <c r="J400" s="331">
        <f t="shared" si="169"/>
        <v>1.5707836528332537</v>
      </c>
      <c r="K400" s="339">
        <f t="shared" si="159"/>
        <v>10.209074382758441</v>
      </c>
      <c r="L400" s="340">
        <f t="shared" si="160"/>
        <v>1.472686938243785</v>
      </c>
      <c r="M400" s="328">
        <f t="shared" si="170"/>
        <v>1.0131772245303057</v>
      </c>
      <c r="N400" s="331">
        <f t="shared" si="171"/>
        <v>0.16145670497291989</v>
      </c>
      <c r="O400" s="332">
        <f t="shared" si="172"/>
        <v>1.0044260525256248</v>
      </c>
      <c r="P400" s="333">
        <f t="shared" si="173"/>
        <v>0.25051686385191085</v>
      </c>
      <c r="Q400" s="334">
        <f t="shared" si="174"/>
        <v>7.0627751276437209E-2</v>
      </c>
      <c r="R400" s="335">
        <f t="shared" si="175"/>
        <v>-111.33093018573099</v>
      </c>
      <c r="S400" s="337">
        <f t="shared" si="176"/>
        <v>68.669069814269008</v>
      </c>
      <c r="U400" s="310">
        <f t="shared" si="182"/>
        <v>1000000000</v>
      </c>
      <c r="V400" s="310">
        <f t="shared" si="183"/>
        <v>1303300251.5625</v>
      </c>
      <c r="X400" s="336">
        <f t="shared" si="177"/>
        <v>2.7634471019619005</v>
      </c>
      <c r="Y400" s="337">
        <f t="shared" si="178"/>
        <v>-14.871315516106115</v>
      </c>
      <c r="AA400" s="336">
        <f t="shared" si="179"/>
        <v>-2.6928193506854639</v>
      </c>
      <c r="AB400" s="337">
        <f t="shared" si="180"/>
        <v>-96.459614669624884</v>
      </c>
      <c r="AD400">
        <f t="shared" si="184"/>
        <v>0</v>
      </c>
      <c r="AE400">
        <f t="shared" si="161"/>
        <v>0</v>
      </c>
    </row>
    <row r="401" spans="1:31" x14ac:dyDescent="0.25">
      <c r="A401" s="338">
        <v>36308</v>
      </c>
      <c r="B401" s="355">
        <f t="shared" si="181"/>
        <v>36.308</v>
      </c>
      <c r="C401" s="328">
        <f t="shared" si="162"/>
        <v>8.2095066558140761</v>
      </c>
      <c r="D401" s="329">
        <f t="shared" si="163"/>
        <v>1.4486830687046455</v>
      </c>
      <c r="E401" s="329">
        <f t="shared" si="164"/>
        <v>1.0001133437697931</v>
      </c>
      <c r="F401" s="330">
        <f t="shared" si="165"/>
        <v>1.5055435241352038E-2</v>
      </c>
      <c r="G401" s="329">
        <f t="shared" si="166"/>
        <v>1</v>
      </c>
      <c r="H401" s="330">
        <f t="shared" si="167"/>
        <v>0</v>
      </c>
      <c r="I401" s="328">
        <f t="shared" si="168"/>
        <v>79353.794565508477</v>
      </c>
      <c r="J401" s="331">
        <f t="shared" si="169"/>
        <v>1.5707837250030667</v>
      </c>
      <c r="K401" s="339">
        <f t="shared" si="159"/>
        <v>10.266981841561547</v>
      </c>
      <c r="L401" s="340">
        <f t="shared" si="160"/>
        <v>1.4732420584105812</v>
      </c>
      <c r="M401" s="328">
        <f t="shared" si="170"/>
        <v>1.0133275918306577</v>
      </c>
      <c r="N401" s="331">
        <f t="shared" si="171"/>
        <v>0.16236523864738392</v>
      </c>
      <c r="O401" s="332">
        <f t="shared" si="172"/>
        <v>1.0044809735022533</v>
      </c>
      <c r="P401" s="333">
        <f t="shared" si="173"/>
        <v>0.25196854619065923</v>
      </c>
      <c r="Q401" s="334">
        <f t="shared" si="174"/>
        <v>1.9540173675680172E-2</v>
      </c>
      <c r="R401" s="335">
        <f t="shared" si="175"/>
        <v>-111.46911592146994</v>
      </c>
      <c r="S401" s="337">
        <f t="shared" si="176"/>
        <v>68.530884078530065</v>
      </c>
      <c r="U401" s="310">
        <f t="shared" si="182"/>
        <v>1000000000</v>
      </c>
      <c r="V401" s="310">
        <f t="shared" si="183"/>
        <v>1318270864</v>
      </c>
      <c r="X401" s="336">
        <f t="shared" si="177"/>
        <v>2.7616848827416596</v>
      </c>
      <c r="Y401" s="337">
        <f t="shared" si="178"/>
        <v>-14.89156875356724</v>
      </c>
      <c r="AA401" s="336">
        <f t="shared" si="179"/>
        <v>-2.7421447090659825</v>
      </c>
      <c r="AB401" s="337">
        <f t="shared" si="180"/>
        <v>-96.577547167902694</v>
      </c>
      <c r="AD401">
        <f t="shared" si="184"/>
        <v>36308</v>
      </c>
      <c r="AE401">
        <f t="shared" si="161"/>
        <v>68.530884078530065</v>
      </c>
    </row>
    <row r="402" spans="1:31" x14ac:dyDescent="0.25">
      <c r="A402" s="338">
        <v>36519.5</v>
      </c>
      <c r="B402" s="355">
        <f t="shared" si="181"/>
        <v>36.519500000000001</v>
      </c>
      <c r="C402" s="328">
        <f t="shared" si="162"/>
        <v>8.2566208274558015</v>
      </c>
      <c r="D402" s="329">
        <f t="shared" si="163"/>
        <v>1.449383329216644</v>
      </c>
      <c r="E402" s="329">
        <f t="shared" si="164"/>
        <v>1.0001146680316662</v>
      </c>
      <c r="F402" s="330">
        <f t="shared" si="165"/>
        <v>1.5143122230259171E-2</v>
      </c>
      <c r="G402" s="329">
        <f t="shared" si="166"/>
        <v>1</v>
      </c>
      <c r="H402" s="330">
        <f t="shared" si="167"/>
        <v>0</v>
      </c>
      <c r="I402" s="328">
        <f t="shared" si="168"/>
        <v>79816.043313661721</v>
      </c>
      <c r="J402" s="331">
        <f t="shared" si="169"/>
        <v>1.5707837979854178</v>
      </c>
      <c r="K402" s="339">
        <f t="shared" si="159"/>
        <v>10.326222938058825</v>
      </c>
      <c r="L402" s="340">
        <f t="shared" si="160"/>
        <v>1.473803489851462</v>
      </c>
      <c r="M402" s="328">
        <f t="shared" si="170"/>
        <v>1.0134822789808025</v>
      </c>
      <c r="N402" s="331">
        <f t="shared" si="171"/>
        <v>0.16329436578377421</v>
      </c>
      <c r="O402" s="332">
        <f t="shared" si="172"/>
        <v>1.0045375770620262</v>
      </c>
      <c r="P402" s="333">
        <f t="shared" si="173"/>
        <v>0.25345386911862239</v>
      </c>
      <c r="Q402" s="334">
        <f t="shared" si="174"/>
        <v>-3.2445081822999176E-2</v>
      </c>
      <c r="R402" s="335">
        <f t="shared" si="175"/>
        <v>-111.61038812721078</v>
      </c>
      <c r="S402" s="337">
        <f t="shared" si="176"/>
        <v>68.389611872789217</v>
      </c>
      <c r="U402" s="310">
        <f t="shared" si="182"/>
        <v>36519.5</v>
      </c>
      <c r="V402" s="310">
        <f t="shared" si="183"/>
        <v>1333673880.25</v>
      </c>
      <c r="X402" s="336">
        <f t="shared" si="177"/>
        <v>2.7598832004127454</v>
      </c>
      <c r="Y402" s="337">
        <f t="shared" si="178"/>
        <v>-14.912640346669829</v>
      </c>
      <c r="AA402" s="336">
        <f t="shared" si="179"/>
        <v>-2.7923282822357431</v>
      </c>
      <c r="AB402" s="337">
        <f t="shared" si="180"/>
        <v>-96.697747780540951</v>
      </c>
      <c r="AD402">
        <f t="shared" si="184"/>
        <v>0</v>
      </c>
      <c r="AE402">
        <f t="shared" si="161"/>
        <v>0</v>
      </c>
    </row>
    <row r="403" spans="1:31" x14ac:dyDescent="0.25">
      <c r="A403" s="338">
        <v>36731</v>
      </c>
      <c r="B403" s="355">
        <f t="shared" si="181"/>
        <v>36.731000000000002</v>
      </c>
      <c r="C403" s="328">
        <f t="shared" si="162"/>
        <v>8.3037390019084008</v>
      </c>
      <c r="D403" s="329">
        <f t="shared" si="163"/>
        <v>1.4500756430432387</v>
      </c>
      <c r="E403" s="329">
        <f t="shared" si="164"/>
        <v>1.0001159999834084</v>
      </c>
      <c r="F403" s="330">
        <f t="shared" si="165"/>
        <v>1.5230808986277943E-2</v>
      </c>
      <c r="G403" s="329">
        <f t="shared" si="166"/>
        <v>1</v>
      </c>
      <c r="H403" s="330">
        <f t="shared" si="167"/>
        <v>0</v>
      </c>
      <c r="I403" s="328">
        <f t="shared" si="168"/>
        <v>80278.292061815373</v>
      </c>
      <c r="J403" s="331">
        <f t="shared" si="169"/>
        <v>1.5707838701272927</v>
      </c>
      <c r="K403" s="339">
        <f t="shared" si="159"/>
        <v>10.385467252302155</v>
      </c>
      <c r="L403" s="340">
        <f t="shared" si="160"/>
        <v>1.4743585160493116</v>
      </c>
      <c r="M403" s="328">
        <f t="shared" si="170"/>
        <v>1.013637840779652</v>
      </c>
      <c r="N403" s="331">
        <f t="shared" si="171"/>
        <v>0.16422320853772643</v>
      </c>
      <c r="O403" s="332">
        <f t="shared" si="172"/>
        <v>1.0045946078681947</v>
      </c>
      <c r="P403" s="333">
        <f t="shared" si="173"/>
        <v>0.25493948540980821</v>
      </c>
      <c r="Q403" s="334">
        <f t="shared" si="174"/>
        <v>-8.4154444662621869E-2</v>
      </c>
      <c r="R403" s="335">
        <f t="shared" si="175"/>
        <v>-111.75157249455805</v>
      </c>
      <c r="S403" s="337">
        <f t="shared" si="176"/>
        <v>68.248427505441953</v>
      </c>
      <c r="U403" s="310">
        <f t="shared" si="182"/>
        <v>36731</v>
      </c>
      <c r="V403" s="310">
        <f t="shared" si="183"/>
        <v>1349166361</v>
      </c>
      <c r="X403" s="336">
        <f t="shared" si="177"/>
        <v>2.758082371149126</v>
      </c>
      <c r="Y403" s="337">
        <f t="shared" si="178"/>
        <v>-14.934062591096065</v>
      </c>
      <c r="AA403" s="336">
        <f t="shared" si="179"/>
        <v>-2.8422368158117477</v>
      </c>
      <c r="AB403" s="337">
        <f t="shared" si="180"/>
        <v>-96.817509903461968</v>
      </c>
      <c r="AD403">
        <f t="shared" si="184"/>
        <v>0</v>
      </c>
      <c r="AE403">
        <f t="shared" si="161"/>
        <v>0</v>
      </c>
    </row>
    <row r="404" spans="1:31" x14ac:dyDescent="0.25">
      <c r="A404" s="338">
        <v>36942.5</v>
      </c>
      <c r="B404" s="355">
        <f t="shared" si="181"/>
        <v>36.942500000000003</v>
      </c>
      <c r="C404" s="328">
        <f t="shared" si="162"/>
        <v>8.350861111416533</v>
      </c>
      <c r="D404" s="329">
        <f t="shared" si="163"/>
        <v>1.4507601440393973</v>
      </c>
      <c r="E404" s="329">
        <f t="shared" si="164"/>
        <v>1.0001173396249896</v>
      </c>
      <c r="F404" s="330">
        <f t="shared" si="165"/>
        <v>1.5318495508060848E-2</v>
      </c>
      <c r="G404" s="329">
        <f t="shared" si="166"/>
        <v>1</v>
      </c>
      <c r="H404" s="330">
        <f t="shared" si="167"/>
        <v>0</v>
      </c>
      <c r="I404" s="328">
        <f t="shared" si="168"/>
        <v>80740.540809969418</v>
      </c>
      <c r="J404" s="331">
        <f t="shared" si="169"/>
        <v>1.5707839414431266</v>
      </c>
      <c r="K404" s="339">
        <f t="shared" si="159"/>
        <v>10.444714729536622</v>
      </c>
      <c r="L404" s="340">
        <f t="shared" si="160"/>
        <v>1.4749072456601462</v>
      </c>
      <c r="M404" s="328">
        <f t="shared" si="170"/>
        <v>1.0137942768245747</v>
      </c>
      <c r="N404" s="331">
        <f t="shared" si="171"/>
        <v>0.16515176543780641</v>
      </c>
      <c r="O404" s="332">
        <f t="shared" si="172"/>
        <v>1.004652067614795</v>
      </c>
      <c r="P404" s="333">
        <f t="shared" si="173"/>
        <v>0.25642539639370521</v>
      </c>
      <c r="Q404" s="334">
        <f t="shared" si="174"/>
        <v>-0.13559116563101589</v>
      </c>
      <c r="R404" s="335">
        <f t="shared" si="175"/>
        <v>-111.89267046007669</v>
      </c>
      <c r="S404" s="337">
        <f t="shared" si="176"/>
        <v>68.107329539923313</v>
      </c>
      <c r="U404" s="310">
        <f t="shared" si="182"/>
        <v>36942.5</v>
      </c>
      <c r="V404" s="310">
        <f t="shared" si="183"/>
        <v>1364748306.25</v>
      </c>
      <c r="X404" s="336">
        <f t="shared" si="177"/>
        <v>2.7562822172128403</v>
      </c>
      <c r="Y404" s="337">
        <f t="shared" si="178"/>
        <v>-14.955829177834881</v>
      </c>
      <c r="AA404" s="336">
        <f t="shared" si="179"/>
        <v>-2.8918733828438543</v>
      </c>
      <c r="AB404" s="337">
        <f t="shared" si="180"/>
        <v>-96.936841282241829</v>
      </c>
      <c r="AD404">
        <f t="shared" si="184"/>
        <v>0</v>
      </c>
      <c r="AE404">
        <f t="shared" si="161"/>
        <v>0</v>
      </c>
    </row>
    <row r="405" spans="1:31" x14ac:dyDescent="0.25">
      <c r="A405" s="338">
        <v>37154</v>
      </c>
      <c r="B405" s="355">
        <f t="shared" si="181"/>
        <v>37.154000000000003</v>
      </c>
      <c r="C405" s="328">
        <f t="shared" si="162"/>
        <v>8.3979870897399991</v>
      </c>
      <c r="D405" s="329">
        <f t="shared" si="163"/>
        <v>1.4514369630852002</v>
      </c>
      <c r="E405" s="329">
        <f t="shared" si="164"/>
        <v>1.0001186869563781</v>
      </c>
      <c r="F405" s="330">
        <f t="shared" si="165"/>
        <v>1.5406181794260398E-2</v>
      </c>
      <c r="G405" s="329">
        <f t="shared" si="166"/>
        <v>1</v>
      </c>
      <c r="H405" s="330">
        <f t="shared" si="167"/>
        <v>0</v>
      </c>
      <c r="I405" s="328">
        <f t="shared" si="168"/>
        <v>81202.789558123899</v>
      </c>
      <c r="J405" s="331">
        <f t="shared" si="169"/>
        <v>1.5707840119470267</v>
      </c>
      <c r="K405" s="339">
        <f t="shared" si="159"/>
        <v>10.503965316239798</v>
      </c>
      <c r="L405" s="340">
        <f t="shared" si="160"/>
        <v>1.4754497849037274</v>
      </c>
      <c r="M405" s="328">
        <f t="shared" si="170"/>
        <v>1.013951586710925</v>
      </c>
      <c r="N405" s="331">
        <f t="shared" si="171"/>
        <v>0.16608003501545707</v>
      </c>
      <c r="O405" s="332">
        <f t="shared" si="172"/>
        <v>1.0047099580051302</v>
      </c>
      <c r="P405" s="333">
        <f t="shared" si="173"/>
        <v>0.25791160339334634</v>
      </c>
      <c r="Q405" s="334">
        <f t="shared" si="174"/>
        <v>-0.18675844108242257</v>
      </c>
      <c r="R405" s="335">
        <f t="shared" si="175"/>
        <v>-112.03368342924652</v>
      </c>
      <c r="S405" s="337">
        <f t="shared" si="176"/>
        <v>67.966316570753477</v>
      </c>
      <c r="U405" s="310">
        <f t="shared" si="182"/>
        <v>37154</v>
      </c>
      <c r="V405" s="310">
        <f t="shared" si="183"/>
        <v>1380419716</v>
      </c>
      <c r="X405" s="336">
        <f t="shared" si="177"/>
        <v>2.7544825660890533</v>
      </c>
      <c r="Y405" s="337">
        <f t="shared" si="178"/>
        <v>-14.977933937608405</v>
      </c>
      <c r="AA405" s="336">
        <f t="shared" si="179"/>
        <v>-2.9412410071714761</v>
      </c>
      <c r="AB405" s="337">
        <f t="shared" si="180"/>
        <v>-97.055749491638096</v>
      </c>
      <c r="AD405">
        <f t="shared" si="184"/>
        <v>0</v>
      </c>
      <c r="AE405">
        <f t="shared" si="161"/>
        <v>0</v>
      </c>
    </row>
    <row r="406" spans="1:31" x14ac:dyDescent="0.25">
      <c r="A406" s="338">
        <v>37370.25</v>
      </c>
      <c r="B406" s="355">
        <f t="shared" si="181"/>
        <v>37.370249999999999</v>
      </c>
      <c r="C406" s="328">
        <f t="shared" si="162"/>
        <v>8.4461753855847661</v>
      </c>
      <c r="D406" s="329">
        <f t="shared" si="163"/>
        <v>1.4521211731869139</v>
      </c>
      <c r="E406" s="329">
        <f t="shared" si="164"/>
        <v>1.0001200724977508</v>
      </c>
      <c r="F406" s="330">
        <f t="shared" si="165"/>
        <v>1.5495837149233494E-2</v>
      </c>
      <c r="G406" s="329">
        <f t="shared" si="166"/>
        <v>1</v>
      </c>
      <c r="H406" s="330">
        <f t="shared" si="167"/>
        <v>0</v>
      </c>
      <c r="I406" s="328">
        <f t="shared" si="168"/>
        <v>81675.419779346092</v>
      </c>
      <c r="J406" s="331">
        <f t="shared" si="169"/>
        <v>1.5707840832092166</v>
      </c>
      <c r="K406" s="339">
        <f t="shared" si="159"/>
        <v>10.564549750384492</v>
      </c>
      <c r="L406" s="340">
        <f t="shared" si="160"/>
        <v>1.4759982165318546</v>
      </c>
      <c r="M406" s="328">
        <f t="shared" si="170"/>
        <v>1.0141133326377374</v>
      </c>
      <c r="N406" s="331">
        <f t="shared" si="171"/>
        <v>0.1670288536540846</v>
      </c>
      <c r="O406" s="332">
        <f t="shared" si="172"/>
        <v>1.0047695955780926</v>
      </c>
      <c r="P406" s="333">
        <f t="shared" si="173"/>
        <v>0.25943149599830845</v>
      </c>
      <c r="Q406" s="334">
        <f t="shared" si="174"/>
        <v>-0.23879954667668796</v>
      </c>
      <c r="R406" s="335">
        <f t="shared" si="175"/>
        <v>-112.17777690756259</v>
      </c>
      <c r="S406" s="337">
        <f t="shared" si="176"/>
        <v>67.822223092437412</v>
      </c>
      <c r="U406" s="310">
        <f t="shared" si="182"/>
        <v>37370.25</v>
      </c>
      <c r="V406" s="310">
        <f t="shared" si="183"/>
        <v>1396535585.0625</v>
      </c>
      <c r="X406" s="336">
        <f t="shared" si="177"/>
        <v>2.7526428427296317</v>
      </c>
      <c r="Y406" s="337">
        <f t="shared" si="178"/>
        <v>-15.000878506530871</v>
      </c>
      <c r="AA406" s="336">
        <f t="shared" si="179"/>
        <v>-2.9914423894063198</v>
      </c>
      <c r="AB406" s="337">
        <f t="shared" si="180"/>
        <v>-97.176898401031707</v>
      </c>
      <c r="AD406">
        <f t="shared" si="184"/>
        <v>0</v>
      </c>
      <c r="AE406">
        <f t="shared" si="161"/>
        <v>0</v>
      </c>
    </row>
    <row r="407" spans="1:31" x14ac:dyDescent="0.25">
      <c r="A407" s="338">
        <v>37586.5</v>
      </c>
      <c r="B407" s="355">
        <f t="shared" si="181"/>
        <v>37.586500000000001</v>
      </c>
      <c r="C407" s="328">
        <f t="shared" si="162"/>
        <v>8.4943675905881602</v>
      </c>
      <c r="D407" s="329">
        <f t="shared" si="163"/>
        <v>1.4527976199652604</v>
      </c>
      <c r="E407" s="329">
        <f t="shared" si="164"/>
        <v>1.000121466078149</v>
      </c>
      <c r="F407" s="330">
        <f t="shared" si="165"/>
        <v>1.5585492255073696E-2</v>
      </c>
      <c r="G407" s="329">
        <f t="shared" si="166"/>
        <v>1</v>
      </c>
      <c r="H407" s="330">
        <f t="shared" si="167"/>
        <v>0</v>
      </c>
      <c r="I407" s="328">
        <f t="shared" si="168"/>
        <v>82148.050000568677</v>
      </c>
      <c r="J407" s="331">
        <f t="shared" si="169"/>
        <v>1.5707841536514073</v>
      </c>
      <c r="K407" s="339">
        <f t="shared" ref="K407:K470" si="185">SQRT(1+(A407/Zero2)^2)</f>
        <v>10.625137325867845</v>
      </c>
      <c r="L407" s="340">
        <f t="shared" ref="L407:L470" si="186">ATAN(A407/Zero2)</f>
        <v>1.4765403936931421</v>
      </c>
      <c r="M407" s="328">
        <f t="shared" si="170"/>
        <v>1.0142759912353243</v>
      </c>
      <c r="N407" s="331">
        <f t="shared" si="171"/>
        <v>0.16797736882387898</v>
      </c>
      <c r="O407" s="332">
        <f t="shared" si="172"/>
        <v>1.0048296869862723</v>
      </c>
      <c r="P407" s="333">
        <f t="shared" si="173"/>
        <v>0.26095170084103814</v>
      </c>
      <c r="Q407" s="334">
        <f t="shared" si="174"/>
        <v>-0.29056555722649152</v>
      </c>
      <c r="R407" s="335">
        <f t="shared" si="175"/>
        <v>-112.32178440448234</v>
      </c>
      <c r="S407" s="337">
        <f t="shared" si="176"/>
        <v>67.678215595517656</v>
      </c>
      <c r="U407" s="310">
        <f t="shared" si="182"/>
        <v>37586.5</v>
      </c>
      <c r="V407" s="310">
        <f t="shared" si="183"/>
        <v>1412744982.25</v>
      </c>
      <c r="X407" s="336">
        <f t="shared" si="177"/>
        <v>2.7508032962389328</v>
      </c>
      <c r="Y407" s="337">
        <f t="shared" si="178"/>
        <v>-15.024163995540915</v>
      </c>
      <c r="AA407" s="336">
        <f t="shared" si="179"/>
        <v>-3.0413688534654248</v>
      </c>
      <c r="AB407" s="337">
        <f t="shared" si="180"/>
        <v>-97.297620408941427</v>
      </c>
      <c r="AD407">
        <f t="shared" si="184"/>
        <v>0</v>
      </c>
      <c r="AE407">
        <f t="shared" si="161"/>
        <v>0</v>
      </c>
    </row>
    <row r="408" spans="1:31" x14ac:dyDescent="0.25">
      <c r="A408" s="338">
        <v>37802.75</v>
      </c>
      <c r="B408" s="355">
        <f t="shared" si="181"/>
        <v>37.802750000000003</v>
      </c>
      <c r="C408" s="328">
        <f t="shared" si="162"/>
        <v>8.5425636385905452</v>
      </c>
      <c r="D408" s="329">
        <f t="shared" si="163"/>
        <v>1.4534664341949071</v>
      </c>
      <c r="E408" s="329">
        <f t="shared" si="164"/>
        <v>1.0001228676975391</v>
      </c>
      <c r="F408" s="330">
        <f t="shared" si="165"/>
        <v>1.5675147110340758E-2</v>
      </c>
      <c r="G408" s="329">
        <f t="shared" si="166"/>
        <v>1</v>
      </c>
      <c r="H408" s="330">
        <f t="shared" si="167"/>
        <v>0</v>
      </c>
      <c r="I408" s="328">
        <f t="shared" si="168"/>
        <v>82620.680221791656</v>
      </c>
      <c r="J408" s="331">
        <f t="shared" si="169"/>
        <v>1.5707842232876712</v>
      </c>
      <c r="K408" s="339">
        <f t="shared" si="185"/>
        <v>10.685727989256126</v>
      </c>
      <c r="L408" s="340">
        <f t="shared" si="186"/>
        <v>1.4770764224591162</v>
      </c>
      <c r="M408" s="328">
        <f t="shared" si="170"/>
        <v>1.0144395620646636</v>
      </c>
      <c r="N408" s="331">
        <f t="shared" si="171"/>
        <v>0.16892557896450791</v>
      </c>
      <c r="O408" s="332">
        <f t="shared" si="172"/>
        <v>1.0048902340803145</v>
      </c>
      <c r="P408" s="333">
        <f t="shared" si="173"/>
        <v>0.26247221931454184</v>
      </c>
      <c r="Q408" s="334">
        <f t="shared" si="174"/>
        <v>-0.34205972056444883</v>
      </c>
      <c r="R408" s="335">
        <f t="shared" si="175"/>
        <v>-112.46570732669328</v>
      </c>
      <c r="S408" s="337">
        <f t="shared" si="176"/>
        <v>67.534292673306723</v>
      </c>
      <c r="U408" s="310">
        <f t="shared" si="182"/>
        <v>37802.75</v>
      </c>
      <c r="V408" s="310">
        <f t="shared" si="183"/>
        <v>1429047907.5625</v>
      </c>
      <c r="X408" s="336">
        <f t="shared" si="177"/>
        <v>2.7489637580433373</v>
      </c>
      <c r="Y408" s="337">
        <f t="shared" si="178"/>
        <v>-15.047784238593541</v>
      </c>
      <c r="AA408" s="336">
        <f t="shared" si="179"/>
        <v>-3.0910234786077853</v>
      </c>
      <c r="AB408" s="337">
        <f t="shared" si="180"/>
        <v>-97.417923088099741</v>
      </c>
      <c r="AD408">
        <f t="shared" si="184"/>
        <v>0</v>
      </c>
      <c r="AE408">
        <f t="shared" si="161"/>
        <v>0</v>
      </c>
    </row>
    <row r="409" spans="1:31" x14ac:dyDescent="0.25">
      <c r="A409" s="338">
        <v>38019</v>
      </c>
      <c r="B409" s="355">
        <f t="shared" si="181"/>
        <v>38.018999999999998</v>
      </c>
      <c r="C409" s="328">
        <f t="shared" si="162"/>
        <v>8.5907634649117401</v>
      </c>
      <c r="D409" s="329">
        <f t="shared" si="163"/>
        <v>1.4541277437432596</v>
      </c>
      <c r="E409" s="329">
        <f t="shared" si="164"/>
        <v>1.0001242773558874</v>
      </c>
      <c r="F409" s="330">
        <f t="shared" si="165"/>
        <v>1.5764801713594435E-2</v>
      </c>
      <c r="G409" s="329">
        <f t="shared" si="166"/>
        <v>1</v>
      </c>
      <c r="H409" s="330">
        <f t="shared" si="167"/>
        <v>0</v>
      </c>
      <c r="I409" s="328">
        <f t="shared" si="168"/>
        <v>83093.310443015056</v>
      </c>
      <c r="J409" s="331">
        <f t="shared" si="169"/>
        <v>1.5707842921317607</v>
      </c>
      <c r="K409" s="339">
        <f t="shared" si="185"/>
        <v>10.746321688318009</v>
      </c>
      <c r="L409" s="340">
        <f t="shared" si="186"/>
        <v>1.4776064065232601</v>
      </c>
      <c r="M409" s="328">
        <f t="shared" si="170"/>
        <v>1.0146040446845552</v>
      </c>
      <c r="N409" s="331">
        <f t="shared" si="171"/>
        <v>0.16987348251883647</v>
      </c>
      <c r="O409" s="332">
        <f t="shared" si="172"/>
        <v>1.0049512387209474</v>
      </c>
      <c r="P409" s="333">
        <f t="shared" si="173"/>
        <v>0.26399305280460139</v>
      </c>
      <c r="Q409" s="334">
        <f t="shared" si="174"/>
        <v>-0.39328523015359373</v>
      </c>
      <c r="R409" s="335">
        <f t="shared" si="175"/>
        <v>-112.60954705031175</v>
      </c>
      <c r="S409" s="337">
        <f t="shared" si="176"/>
        <v>67.390452949688253</v>
      </c>
      <c r="U409" s="310">
        <f t="shared" si="182"/>
        <v>38019</v>
      </c>
      <c r="V409" s="310">
        <f t="shared" si="183"/>
        <v>1445444361</v>
      </c>
      <c r="X409" s="336">
        <f t="shared" si="177"/>
        <v>2.747124064552354</v>
      </c>
      <c r="Y409" s="337">
        <f t="shared" si="178"/>
        <v>-15.071733206060516</v>
      </c>
      <c r="AA409" s="336">
        <f t="shared" si="179"/>
        <v>-3.1404092947059485</v>
      </c>
      <c r="AB409" s="337">
        <f t="shared" si="180"/>
        <v>-97.537813844251232</v>
      </c>
      <c r="AD409">
        <f t="shared" si="184"/>
        <v>0</v>
      </c>
      <c r="AE409">
        <f t="shared" si="161"/>
        <v>0</v>
      </c>
    </row>
    <row r="410" spans="1:31" x14ac:dyDescent="0.25">
      <c r="A410" s="338">
        <v>38240.5</v>
      </c>
      <c r="B410" s="355">
        <f t="shared" si="181"/>
        <v>38.240499999999997</v>
      </c>
      <c r="C410" s="328">
        <f t="shared" si="162"/>
        <v>8.6401373113660878</v>
      </c>
      <c r="D410" s="329">
        <f t="shared" si="163"/>
        <v>1.4547974586826746</v>
      </c>
      <c r="E410" s="329">
        <f t="shared" si="164"/>
        <v>1.0001257295711947</v>
      </c>
      <c r="F410" s="330">
        <f t="shared" si="165"/>
        <v>1.5856632639821667E-2</v>
      </c>
      <c r="G410" s="329">
        <f t="shared" si="166"/>
        <v>1</v>
      </c>
      <c r="H410" s="330">
        <f t="shared" si="167"/>
        <v>0</v>
      </c>
      <c r="I410" s="328">
        <f t="shared" si="168"/>
        <v>83577.41492394486</v>
      </c>
      <c r="J410" s="331">
        <f t="shared" si="169"/>
        <v>1.570784361839999</v>
      </c>
      <c r="K410" s="339">
        <f t="shared" si="185"/>
        <v>10.808389542039654</v>
      </c>
      <c r="L410" s="340">
        <f t="shared" si="186"/>
        <v>1.478143096583908</v>
      </c>
      <c r="M410" s="328">
        <f t="shared" si="170"/>
        <v>1.0147734653239255</v>
      </c>
      <c r="N410" s="331">
        <f t="shared" si="171"/>
        <v>0.17084407929527054</v>
      </c>
      <c r="O410" s="332">
        <f t="shared" si="172"/>
        <v>1.0050142006978655</v>
      </c>
      <c r="P410" s="333">
        <f t="shared" si="173"/>
        <v>0.26555113628551563</v>
      </c>
      <c r="Q410" s="334">
        <f t="shared" si="174"/>
        <v>-0.44547913016398327</v>
      </c>
      <c r="R410" s="335">
        <f t="shared" si="175"/>
        <v>-112.75679399057398</v>
      </c>
      <c r="S410" s="337">
        <f t="shared" si="176"/>
        <v>67.243206009426018</v>
      </c>
      <c r="U410" s="310">
        <f t="shared" si="182"/>
        <v>38240.5</v>
      </c>
      <c r="V410" s="310">
        <f t="shared" si="183"/>
        <v>1462335840.25</v>
      </c>
      <c r="X410" s="336">
        <f t="shared" si="177"/>
        <v>2.7452393810817766</v>
      </c>
      <c r="Y410" s="337">
        <f t="shared" si="178"/>
        <v>-15.09659822359372</v>
      </c>
      <c r="AA410" s="336">
        <f t="shared" si="179"/>
        <v>-3.190718511245759</v>
      </c>
      <c r="AB410" s="337">
        <f t="shared" si="180"/>
        <v>-97.660195766980266</v>
      </c>
      <c r="AD410">
        <f t="shared" si="184"/>
        <v>0</v>
      </c>
      <c r="AE410">
        <f t="shared" ref="AE410:AE473" si="187">IF(AD410&gt;0,S410,0)</f>
        <v>0</v>
      </c>
    </row>
    <row r="411" spans="1:31" x14ac:dyDescent="0.25">
      <c r="A411" s="338">
        <v>38462</v>
      </c>
      <c r="B411" s="355">
        <f t="shared" si="181"/>
        <v>38.462000000000003</v>
      </c>
      <c r="C411" s="328">
        <f t="shared" si="162"/>
        <v>8.6895149890389476</v>
      </c>
      <c r="D411" s="329">
        <f t="shared" si="163"/>
        <v>1.4554595626816864</v>
      </c>
      <c r="E411" s="329">
        <f t="shared" si="164"/>
        <v>1.0001271902204569</v>
      </c>
      <c r="F411" s="330">
        <f t="shared" si="165"/>
        <v>1.5948463298591866E-2</v>
      </c>
      <c r="G411" s="329">
        <f t="shared" si="166"/>
        <v>1</v>
      </c>
      <c r="H411" s="330">
        <f t="shared" si="167"/>
        <v>0</v>
      </c>
      <c r="I411" s="328">
        <f t="shared" si="168"/>
        <v>84061.519404875042</v>
      </c>
      <c r="J411" s="331">
        <f t="shared" si="169"/>
        <v>1.5707844307453473</v>
      </c>
      <c r="K411" s="339">
        <f t="shared" si="185"/>
        <v>10.870460473417047</v>
      </c>
      <c r="L411" s="340">
        <f t="shared" si="186"/>
        <v>1.4786736577359827</v>
      </c>
      <c r="M411" s="328">
        <f t="shared" si="170"/>
        <v>1.0149438416191814</v>
      </c>
      <c r="N411" s="331">
        <f t="shared" si="171"/>
        <v>0.17181435112179172</v>
      </c>
      <c r="O411" s="332">
        <f t="shared" si="172"/>
        <v>1.0050776466912983</v>
      </c>
      <c r="P411" s="333">
        <f t="shared" si="173"/>
        <v>0.26710955318390717</v>
      </c>
      <c r="Q411" s="334">
        <f t="shared" si="174"/>
        <v>-0.49739778610943947</v>
      </c>
      <c r="R411" s="335">
        <f t="shared" si="175"/>
        <v>-112.9039564711448</v>
      </c>
      <c r="S411" s="337">
        <f t="shared" si="176"/>
        <v>67.096043528855205</v>
      </c>
      <c r="U411" s="310">
        <f t="shared" si="182"/>
        <v>38462</v>
      </c>
      <c r="V411" s="310">
        <f t="shared" si="183"/>
        <v>1479325444</v>
      </c>
      <c r="X411" s="336">
        <f t="shared" si="177"/>
        <v>2.7433542025719722</v>
      </c>
      <c r="Y411" s="337">
        <f t="shared" si="178"/>
        <v>-15.121795737460792</v>
      </c>
      <c r="AA411" s="336">
        <f t="shared" si="179"/>
        <v>-3.2407519886814109</v>
      </c>
      <c r="AB411" s="337">
        <f t="shared" si="180"/>
        <v>-97.782160733684009</v>
      </c>
      <c r="AD411">
        <f t="shared" si="184"/>
        <v>0</v>
      </c>
      <c r="AE411">
        <f t="shared" si="187"/>
        <v>0</v>
      </c>
    </row>
    <row r="412" spans="1:31" x14ac:dyDescent="0.25">
      <c r="A412" s="338">
        <v>38683.5</v>
      </c>
      <c r="B412" s="355">
        <f t="shared" si="181"/>
        <v>38.683500000000002</v>
      </c>
      <c r="C412" s="328">
        <f t="shared" si="162"/>
        <v>8.7388964329873353</v>
      </c>
      <c r="D412" s="329">
        <f t="shared" si="163"/>
        <v>1.4561141841777001</v>
      </c>
      <c r="E412" s="329">
        <f t="shared" si="164"/>
        <v>1.0001286593036371</v>
      </c>
      <c r="F412" s="330">
        <f t="shared" si="165"/>
        <v>1.6040293688357413E-2</v>
      </c>
      <c r="G412" s="329">
        <f t="shared" si="166"/>
        <v>1</v>
      </c>
      <c r="H412" s="330">
        <f t="shared" si="167"/>
        <v>0</v>
      </c>
      <c r="I412" s="328">
        <f t="shared" si="168"/>
        <v>84545.623885805646</v>
      </c>
      <c r="J412" s="331">
        <f t="shared" si="169"/>
        <v>1.5707844988615978</v>
      </c>
      <c r="K412" s="339">
        <f t="shared" si="185"/>
        <v>10.932534430028777</v>
      </c>
      <c r="L412" s="340">
        <f t="shared" si="186"/>
        <v>1.4791981940764007</v>
      </c>
      <c r="M412" s="328">
        <f t="shared" si="170"/>
        <v>1.0151151730891323</v>
      </c>
      <c r="N412" s="331">
        <f t="shared" si="171"/>
        <v>0.17278429633559914</v>
      </c>
      <c r="O412" s="332">
        <f t="shared" si="172"/>
        <v>1.0051415787336364</v>
      </c>
      <c r="P412" s="333">
        <f t="shared" si="173"/>
        <v>0.26866830496510319</v>
      </c>
      <c r="Q412" s="334">
        <f t="shared" si="174"/>
        <v>-0.54904446013327979</v>
      </c>
      <c r="R412" s="335">
        <f t="shared" si="175"/>
        <v>-113.05103587619598</v>
      </c>
      <c r="S412" s="337">
        <f t="shared" si="176"/>
        <v>66.948964123804018</v>
      </c>
      <c r="U412" s="310">
        <f t="shared" si="182"/>
        <v>38683.5</v>
      </c>
      <c r="V412" s="310">
        <f t="shared" si="183"/>
        <v>1496413172.25</v>
      </c>
      <c r="X412" s="336">
        <f t="shared" si="177"/>
        <v>2.7414683684211387</v>
      </c>
      <c r="Y412" s="337">
        <f t="shared" si="178"/>
        <v>-15.147319688866512</v>
      </c>
      <c r="AA412" s="336">
        <f t="shared" si="179"/>
        <v>-3.290512828554419</v>
      </c>
      <c r="AB412" s="337">
        <f t="shared" si="180"/>
        <v>-97.903716187329451</v>
      </c>
      <c r="AD412">
        <f t="shared" si="184"/>
        <v>0</v>
      </c>
      <c r="AE412">
        <f t="shared" si="187"/>
        <v>0</v>
      </c>
    </row>
    <row r="413" spans="1:31" x14ac:dyDescent="0.25">
      <c r="A413" s="338">
        <v>38905</v>
      </c>
      <c r="B413" s="355">
        <f t="shared" si="181"/>
        <v>38.905000000000001</v>
      </c>
      <c r="C413" s="328">
        <f t="shared" si="162"/>
        <v>8.78828157972303</v>
      </c>
      <c r="D413" s="329">
        <f t="shared" si="163"/>
        <v>1.4567614487471241</v>
      </c>
      <c r="E413" s="329">
        <f t="shared" si="164"/>
        <v>1.0001301368206976</v>
      </c>
      <c r="F413" s="330">
        <f t="shared" si="165"/>
        <v>1.613212380757072E-2</v>
      </c>
      <c r="G413" s="329">
        <f t="shared" si="166"/>
        <v>1</v>
      </c>
      <c r="H413" s="330">
        <f t="shared" si="167"/>
        <v>0</v>
      </c>
      <c r="I413" s="328">
        <f t="shared" si="168"/>
        <v>85029.728366736614</v>
      </c>
      <c r="J413" s="331">
        <f t="shared" si="169"/>
        <v>1.5707845662022282</v>
      </c>
      <c r="K413" s="339">
        <f t="shared" si="185"/>
        <v>10.994611360634762</v>
      </c>
      <c r="L413" s="340">
        <f t="shared" si="186"/>
        <v>1.4797168073645366</v>
      </c>
      <c r="M413" s="328">
        <f t="shared" si="170"/>
        <v>1.0152874592502166</v>
      </c>
      <c r="N413" s="331">
        <f t="shared" si="171"/>
        <v>0.17375391327746934</v>
      </c>
      <c r="O413" s="332">
        <f t="shared" si="172"/>
        <v>1.0052059988683177</v>
      </c>
      <c r="P413" s="333">
        <f t="shared" si="173"/>
        <v>0.27022739308628835</v>
      </c>
      <c r="Q413" s="334">
        <f t="shared" si="174"/>
        <v>-0.60042235969106073</v>
      </c>
      <c r="R413" s="335">
        <f t="shared" si="175"/>
        <v>-113.1980335596279</v>
      </c>
      <c r="S413" s="337">
        <f t="shared" si="176"/>
        <v>66.801966440372098</v>
      </c>
      <c r="U413" s="310">
        <f t="shared" si="182"/>
        <v>38905</v>
      </c>
      <c r="V413" s="310">
        <f t="shared" si="183"/>
        <v>1513599025</v>
      </c>
      <c r="X413" s="336">
        <f t="shared" si="177"/>
        <v>2.7395817228157</v>
      </c>
      <c r="Y413" s="337">
        <f t="shared" si="178"/>
        <v>-15.173164153133904</v>
      </c>
      <c r="AA413" s="336">
        <f t="shared" si="179"/>
        <v>-3.3400040825067583</v>
      </c>
      <c r="AB413" s="337">
        <f t="shared" si="180"/>
        <v>-98.02486940649402</v>
      </c>
      <c r="AD413">
        <f t="shared" si="184"/>
        <v>0</v>
      </c>
      <c r="AE413">
        <f t="shared" si="187"/>
        <v>0</v>
      </c>
    </row>
    <row r="414" spans="1:31" x14ac:dyDescent="0.25">
      <c r="A414" s="338">
        <v>39131.5</v>
      </c>
      <c r="B414" s="355">
        <f t="shared" si="181"/>
        <v>39.131500000000003</v>
      </c>
      <c r="C414" s="328">
        <f t="shared" si="162"/>
        <v>8.8387852797649842</v>
      </c>
      <c r="D414" s="329">
        <f t="shared" si="163"/>
        <v>1.4574158442709368</v>
      </c>
      <c r="E414" s="329">
        <f t="shared" si="164"/>
        <v>1.0001316564118501</v>
      </c>
      <c r="F414" s="330">
        <f t="shared" si="165"/>
        <v>1.6226026560044477E-2</v>
      </c>
      <c r="G414" s="329">
        <f t="shared" si="166"/>
        <v>1</v>
      </c>
      <c r="H414" s="330">
        <f t="shared" si="167"/>
        <v>0</v>
      </c>
      <c r="I414" s="328">
        <f t="shared" si="168"/>
        <v>85524.76071405469</v>
      </c>
      <c r="J414" s="331">
        <f t="shared" si="169"/>
        <v>1.5707846342746057</v>
      </c>
      <c r="K414" s="339">
        <f t="shared" si="185"/>
        <v>11.058092599623732</v>
      </c>
      <c r="L414" s="340">
        <f t="shared" si="186"/>
        <v>1.4802411060246738</v>
      </c>
      <c r="M414" s="328">
        <f t="shared" si="170"/>
        <v>1.0154646212433822</v>
      </c>
      <c r="N414" s="331">
        <f t="shared" si="171"/>
        <v>0.17474507653910637</v>
      </c>
      <c r="O414" s="332">
        <f t="shared" si="172"/>
        <v>1.005272380066248</v>
      </c>
      <c r="P414" s="333">
        <f t="shared" si="173"/>
        <v>0.2718220243940756</v>
      </c>
      <c r="Q414" s="334">
        <f t="shared" si="174"/>
        <v>-0.65268537340272981</v>
      </c>
      <c r="R414" s="335">
        <f t="shared" si="175"/>
        <v>-113.34826634539047</v>
      </c>
      <c r="S414" s="337">
        <f t="shared" si="176"/>
        <v>66.651733654609529</v>
      </c>
      <c r="U414" s="310">
        <f t="shared" si="182"/>
        <v>39131.5</v>
      </c>
      <c r="V414" s="310">
        <f t="shared" si="183"/>
        <v>1531274292.25</v>
      </c>
      <c r="X414" s="336">
        <f t="shared" si="177"/>
        <v>2.7376514926436775</v>
      </c>
      <c r="Y414" s="337">
        <f t="shared" si="178"/>
        <v>-15.199917424694402</v>
      </c>
      <c r="AA414" s="336">
        <f t="shared" si="179"/>
        <v>-3.3903368660464079</v>
      </c>
      <c r="AB414" s="337">
        <f t="shared" si="180"/>
        <v>-98.148348920696066</v>
      </c>
      <c r="AD414">
        <f t="shared" si="184"/>
        <v>0</v>
      </c>
      <c r="AE414">
        <f t="shared" si="187"/>
        <v>0</v>
      </c>
    </row>
    <row r="415" spans="1:31" x14ac:dyDescent="0.25">
      <c r="A415" s="338">
        <v>39358</v>
      </c>
      <c r="B415" s="355">
        <f t="shared" si="181"/>
        <v>39.357999999999997</v>
      </c>
      <c r="C415" s="328">
        <f t="shared" si="162"/>
        <v>8.8892927218609827</v>
      </c>
      <c r="D415" s="329">
        <f t="shared" si="163"/>
        <v>1.4580628037421171</v>
      </c>
      <c r="E415" s="329">
        <f t="shared" si="164"/>
        <v>1.0001331848218633</v>
      </c>
      <c r="F415" s="330">
        <f t="shared" si="165"/>
        <v>1.6319929026340642E-2</v>
      </c>
      <c r="G415" s="329">
        <f t="shared" si="166"/>
        <v>1</v>
      </c>
      <c r="H415" s="330">
        <f t="shared" si="167"/>
        <v>0</v>
      </c>
      <c r="I415" s="328">
        <f t="shared" si="168"/>
        <v>86019.793061373159</v>
      </c>
      <c r="J415" s="331">
        <f t="shared" si="169"/>
        <v>1.5707847015634884</v>
      </c>
      <c r="K415" s="339">
        <f t="shared" si="185"/>
        <v>11.121576843659794</v>
      </c>
      <c r="L415" s="340">
        <f t="shared" si="186"/>
        <v>1.4807594192171418</v>
      </c>
      <c r="M415" s="328">
        <f t="shared" si="170"/>
        <v>1.0156427804850741</v>
      </c>
      <c r="N415" s="331">
        <f t="shared" si="171"/>
        <v>0.17573589304352116</v>
      </c>
      <c r="O415" s="332">
        <f t="shared" si="172"/>
        <v>1.0053392759979976</v>
      </c>
      <c r="P415" s="333">
        <f t="shared" si="173"/>
        <v>0.27341701045344585</v>
      </c>
      <c r="Q415" s="334">
        <f t="shared" si="174"/>
        <v>-0.70467395508245567</v>
      </c>
      <c r="R415" s="335">
        <f t="shared" si="175"/>
        <v>-113.49841644830565</v>
      </c>
      <c r="S415" s="337">
        <f t="shared" si="176"/>
        <v>66.501583551694353</v>
      </c>
      <c r="U415" s="310">
        <f t="shared" si="182"/>
        <v>39358</v>
      </c>
      <c r="V415" s="310">
        <f t="shared" si="183"/>
        <v>1549052164</v>
      </c>
      <c r="X415" s="336">
        <f t="shared" si="177"/>
        <v>2.7357200990810422</v>
      </c>
      <c r="Y415" s="337">
        <f t="shared" si="178"/>
        <v>-15.226993725674832</v>
      </c>
      <c r="AA415" s="336">
        <f t="shared" si="179"/>
        <v>-3.440394054163499</v>
      </c>
      <c r="AB415" s="337">
        <f t="shared" si="180"/>
        <v>-98.271422722630817</v>
      </c>
      <c r="AD415">
        <f t="shared" si="184"/>
        <v>0</v>
      </c>
      <c r="AE415">
        <f t="shared" si="187"/>
        <v>0</v>
      </c>
    </row>
    <row r="416" spans="1:31" x14ac:dyDescent="0.25">
      <c r="A416" s="338">
        <v>39584.5</v>
      </c>
      <c r="B416" s="355">
        <f t="shared" si="181"/>
        <v>39.584499999999998</v>
      </c>
      <c r="C416" s="328">
        <f t="shared" si="162"/>
        <v>8.9398038425862865</v>
      </c>
      <c r="D416" s="329">
        <f t="shared" si="163"/>
        <v>1.458702452658603</v>
      </c>
      <c r="E416" s="329">
        <f t="shared" si="164"/>
        <v>1.0001347220506971</v>
      </c>
      <c r="F416" s="330">
        <f t="shared" si="165"/>
        <v>1.6413831204804542E-2</v>
      </c>
      <c r="G416" s="329">
        <f t="shared" si="166"/>
        <v>1</v>
      </c>
      <c r="H416" s="330">
        <f t="shared" si="167"/>
        <v>0</v>
      </c>
      <c r="I416" s="328">
        <f t="shared" si="168"/>
        <v>86514.825408692006</v>
      </c>
      <c r="J416" s="331">
        <f t="shared" si="169"/>
        <v>1.5707847680823257</v>
      </c>
      <c r="K416" s="339">
        <f t="shared" si="185"/>
        <v>11.185064041574762</v>
      </c>
      <c r="L416" s="340">
        <f t="shared" si="186"/>
        <v>1.4812718485828407</v>
      </c>
      <c r="M416" s="328">
        <f t="shared" si="170"/>
        <v>1.0158219364505872</v>
      </c>
      <c r="N416" s="331">
        <f t="shared" si="171"/>
        <v>0.17672636102827158</v>
      </c>
      <c r="O416" s="332">
        <f t="shared" si="172"/>
        <v>1.0054066888842796</v>
      </c>
      <c r="P416" s="333">
        <f t="shared" si="173"/>
        <v>0.27501235279577996</v>
      </c>
      <c r="Q416" s="334">
        <f t="shared" si="174"/>
        <v>-0.7563913647453322</v>
      </c>
      <c r="R416" s="335">
        <f t="shared" si="175"/>
        <v>-113.64848522290765</v>
      </c>
      <c r="S416" s="337">
        <f t="shared" si="176"/>
        <v>66.351514777092348</v>
      </c>
      <c r="U416" s="310">
        <f t="shared" si="182"/>
        <v>39584.5</v>
      </c>
      <c r="V416" s="310">
        <f t="shared" si="183"/>
        <v>1566932640.25</v>
      </c>
      <c r="X416" s="336">
        <f t="shared" si="177"/>
        <v>2.7337873900381346</v>
      </c>
      <c r="Y416" s="337">
        <f t="shared" si="178"/>
        <v>-15.254387132270697</v>
      </c>
      <c r="AA416" s="336">
        <f t="shared" si="179"/>
        <v>-3.4901787547834644</v>
      </c>
      <c r="AB416" s="337">
        <f t="shared" si="180"/>
        <v>-98.394098090636945</v>
      </c>
      <c r="AD416">
        <f t="shared" si="184"/>
        <v>0</v>
      </c>
      <c r="AE416">
        <f t="shared" si="187"/>
        <v>0</v>
      </c>
    </row>
    <row r="417" spans="1:31" x14ac:dyDescent="0.25">
      <c r="A417" s="338">
        <v>39811</v>
      </c>
      <c r="B417" s="355">
        <f t="shared" si="181"/>
        <v>39.811</v>
      </c>
      <c r="C417" s="328">
        <f t="shared" si="162"/>
        <v>8.990318579936968</v>
      </c>
      <c r="D417" s="329">
        <f t="shared" si="163"/>
        <v>1.459334913721984</v>
      </c>
      <c r="E417" s="329">
        <f t="shared" si="164"/>
        <v>1.0001362680983108</v>
      </c>
      <c r="F417" s="330">
        <f t="shared" si="165"/>
        <v>1.6507733093781507E-2</v>
      </c>
      <c r="G417" s="329">
        <f t="shared" si="166"/>
        <v>1</v>
      </c>
      <c r="H417" s="330">
        <f t="shared" si="167"/>
        <v>0</v>
      </c>
      <c r="I417" s="328">
        <f t="shared" si="168"/>
        <v>87009.857756011246</v>
      </c>
      <c r="J417" s="331">
        <f t="shared" si="169"/>
        <v>1.5707848338442607</v>
      </c>
      <c r="K417" s="339">
        <f t="shared" si="185"/>
        <v>11.24855414335328</v>
      </c>
      <c r="L417" s="340">
        <f t="shared" si="186"/>
        <v>1.4817784934804283</v>
      </c>
      <c r="M417" s="328">
        <f t="shared" si="170"/>
        <v>1.0160020886126517</v>
      </c>
      <c r="N417" s="331">
        <f t="shared" si="171"/>
        <v>0.17771647873489035</v>
      </c>
      <c r="O417" s="332">
        <f t="shared" si="172"/>
        <v>1.0054746209578258</v>
      </c>
      <c r="P417" s="333">
        <f t="shared" si="173"/>
        <v>0.27660805294334306</v>
      </c>
      <c r="Q417" s="334">
        <f t="shared" si="174"/>
        <v>-0.80784080776920564</v>
      </c>
      <c r="R417" s="335">
        <f t="shared" si="175"/>
        <v>-113.79847399396232</v>
      </c>
      <c r="S417" s="337">
        <f t="shared" si="176"/>
        <v>66.201526006037682</v>
      </c>
      <c r="U417" s="310">
        <f t="shared" si="182"/>
        <v>39811</v>
      </c>
      <c r="V417" s="310">
        <f t="shared" si="183"/>
        <v>1584915721</v>
      </c>
      <c r="X417" s="336">
        <f t="shared" si="177"/>
        <v>2.7318532179957904</v>
      </c>
      <c r="Y417" s="337">
        <f t="shared" si="178"/>
        <v>-15.282091851650497</v>
      </c>
      <c r="AA417" s="336">
        <f t="shared" si="179"/>
        <v>-3.5396940257649985</v>
      </c>
      <c r="AB417" s="337">
        <f t="shared" si="180"/>
        <v>-98.516382142311841</v>
      </c>
      <c r="AD417">
        <f t="shared" si="184"/>
        <v>0</v>
      </c>
      <c r="AE417">
        <f t="shared" si="187"/>
        <v>0</v>
      </c>
    </row>
    <row r="418" spans="1:31" x14ac:dyDescent="0.25">
      <c r="A418" s="338">
        <v>40042.75</v>
      </c>
      <c r="B418" s="355">
        <f t="shared" si="181"/>
        <v>40.042749999999998</v>
      </c>
      <c r="C418" s="328">
        <f t="shared" si="162"/>
        <v>9.0420078688004857</v>
      </c>
      <c r="D418" s="329">
        <f t="shared" si="163"/>
        <v>1.4599747199157111</v>
      </c>
      <c r="E418" s="329">
        <f t="shared" si="164"/>
        <v>1.0001378591091845</v>
      </c>
      <c r="F418" s="330">
        <f t="shared" si="165"/>
        <v>1.6603811215253471E-2</v>
      </c>
      <c r="G418" s="329">
        <f t="shared" si="166"/>
        <v>1</v>
      </c>
      <c r="H418" s="330">
        <f t="shared" si="167"/>
        <v>0</v>
      </c>
      <c r="I418" s="328">
        <f t="shared" si="168"/>
        <v>87516.364363036933</v>
      </c>
      <c r="J418" s="331">
        <f t="shared" si="169"/>
        <v>1.5707849003604544</v>
      </c>
      <c r="K418" s="339">
        <f t="shared" si="185"/>
        <v>11.313518824620946</v>
      </c>
      <c r="L418" s="340">
        <f t="shared" si="186"/>
        <v>1.4822909959723338</v>
      </c>
      <c r="M418" s="328">
        <f t="shared" si="170"/>
        <v>1.0161874470345709</v>
      </c>
      <c r="N418" s="331">
        <f t="shared" si="171"/>
        <v>0.17872918180895092</v>
      </c>
      <c r="O418" s="332">
        <f t="shared" si="172"/>
        <v>1.0055446673352098</v>
      </c>
      <c r="P418" s="333">
        <f t="shared" si="173"/>
        <v>0.27824111143791552</v>
      </c>
      <c r="Q418" s="334">
        <f t="shared" si="174"/>
        <v>-0.86020871948802713</v>
      </c>
      <c r="R418" s="335">
        <f t="shared" si="175"/>
        <v>-113.9518578706822</v>
      </c>
      <c r="S418" s="337">
        <f t="shared" si="176"/>
        <v>66.048142129317796</v>
      </c>
      <c r="U418" s="310">
        <f t="shared" si="182"/>
        <v>40042.75</v>
      </c>
      <c r="V418" s="310">
        <f t="shared" si="183"/>
        <v>1603421827.5625</v>
      </c>
      <c r="X418" s="336">
        <f t="shared" si="177"/>
        <v>2.7298725506599011</v>
      </c>
      <c r="Y418" s="337">
        <f t="shared" si="178"/>
        <v>-15.310755045047886</v>
      </c>
      <c r="AA418" s="336">
        <f t="shared" si="179"/>
        <v>-3.5900812701479259</v>
      </c>
      <c r="AB418" s="337">
        <f t="shared" si="180"/>
        <v>-98.641102825634349</v>
      </c>
      <c r="AD418">
        <f t="shared" si="184"/>
        <v>0</v>
      </c>
      <c r="AE418">
        <f t="shared" si="187"/>
        <v>0</v>
      </c>
    </row>
    <row r="419" spans="1:31" x14ac:dyDescent="0.25">
      <c r="A419" s="338">
        <v>40274.5</v>
      </c>
      <c r="B419" s="355">
        <f t="shared" si="181"/>
        <v>40.274500000000003</v>
      </c>
      <c r="C419" s="328">
        <f t="shared" si="162"/>
        <v>9.0937008169491484</v>
      </c>
      <c r="D419" s="329">
        <f t="shared" si="163"/>
        <v>1.460607252436622</v>
      </c>
      <c r="E419" s="329">
        <f t="shared" si="164"/>
        <v>1.000139459352307</v>
      </c>
      <c r="F419" s="330">
        <f t="shared" si="165"/>
        <v>1.6699889030158496E-2</v>
      </c>
      <c r="G419" s="329">
        <f t="shared" si="166"/>
        <v>1</v>
      </c>
      <c r="H419" s="330">
        <f t="shared" si="167"/>
        <v>0</v>
      </c>
      <c r="I419" s="328">
        <f t="shared" si="168"/>
        <v>88022.870970063013</v>
      </c>
      <c r="J419" s="331">
        <f t="shared" si="169"/>
        <v>1.5707849661111448</v>
      </c>
      <c r="K419" s="339">
        <f t="shared" si="185"/>
        <v>11.378486443551251</v>
      </c>
      <c r="L419" s="340">
        <f t="shared" si="186"/>
        <v>1.4827976461363668</v>
      </c>
      <c r="M419" s="328">
        <f t="shared" si="170"/>
        <v>1.0163738472445771</v>
      </c>
      <c r="N419" s="331">
        <f t="shared" si="171"/>
        <v>0.17974151446691011</v>
      </c>
      <c r="O419" s="332">
        <f t="shared" si="172"/>
        <v>1.0056152620145882</v>
      </c>
      <c r="P419" s="333">
        <f t="shared" si="173"/>
        <v>0.27987454771173581</v>
      </c>
      <c r="Q419" s="334">
        <f t="shared" si="174"/>
        <v>-0.9123027175187276</v>
      </c>
      <c r="R419" s="335">
        <f t="shared" si="175"/>
        <v>-114.10516070591765</v>
      </c>
      <c r="S419" s="337">
        <f t="shared" si="176"/>
        <v>65.894839294082345</v>
      </c>
      <c r="U419" s="310">
        <f t="shared" si="182"/>
        <v>40274.5</v>
      </c>
      <c r="V419" s="310">
        <f t="shared" si="183"/>
        <v>1622035350.25</v>
      </c>
      <c r="X419" s="336">
        <f t="shared" si="177"/>
        <v>2.72789005326708</v>
      </c>
      <c r="Y419" s="337">
        <f t="shared" si="178"/>
        <v>-15.339732284993683</v>
      </c>
      <c r="AA419" s="336">
        <f t="shared" si="179"/>
        <v>-3.6401927707858084</v>
      </c>
      <c r="AB419" s="337">
        <f t="shared" si="180"/>
        <v>-98.765428420923968</v>
      </c>
      <c r="AD419">
        <f t="shared" si="184"/>
        <v>0</v>
      </c>
      <c r="AE419">
        <f t="shared" si="187"/>
        <v>0</v>
      </c>
    </row>
    <row r="420" spans="1:31" x14ac:dyDescent="0.25">
      <c r="A420" s="338">
        <v>40506.25</v>
      </c>
      <c r="B420" s="355">
        <f t="shared" si="181"/>
        <v>40.506250000000001</v>
      </c>
      <c r="C420" s="328">
        <f t="shared" si="162"/>
        <v>9.145397362332325</v>
      </c>
      <c r="D420" s="329">
        <f t="shared" si="163"/>
        <v>1.4612326341227506</v>
      </c>
      <c r="E420" s="329">
        <f t="shared" si="164"/>
        <v>1.0001410688276338</v>
      </c>
      <c r="F420" s="330">
        <f t="shared" si="165"/>
        <v>1.6795966536724282E-2</v>
      </c>
      <c r="G420" s="329">
        <f t="shared" si="166"/>
        <v>1</v>
      </c>
      <c r="H420" s="330">
        <f t="shared" si="167"/>
        <v>0</v>
      </c>
      <c r="I420" s="328">
        <f t="shared" si="168"/>
        <v>88529.377577089472</v>
      </c>
      <c r="J420" s="331">
        <f t="shared" si="169"/>
        <v>1.5707850311094711</v>
      </c>
      <c r="K420" s="339">
        <f t="shared" si="185"/>
        <v>11.443456950110464</v>
      </c>
      <c r="L420" s="340">
        <f t="shared" si="186"/>
        <v>1.4832985433903816</v>
      </c>
      <c r="M420" s="328">
        <f t="shared" si="170"/>
        <v>1.0165612886695932</v>
      </c>
      <c r="N420" s="331">
        <f t="shared" si="171"/>
        <v>0.18075347483819124</v>
      </c>
      <c r="O420" s="332">
        <f t="shared" si="172"/>
        <v>1.0056864074265404</v>
      </c>
      <c r="P420" s="333">
        <f t="shared" si="173"/>
        <v>0.28150836336540896</v>
      </c>
      <c r="Q420" s="334">
        <f t="shared" si="174"/>
        <v>-0.9641260655547137</v>
      </c>
      <c r="R420" s="335">
        <f t="shared" si="175"/>
        <v>-114.25838382693213</v>
      </c>
      <c r="S420" s="337">
        <f t="shared" si="176"/>
        <v>65.741616173067868</v>
      </c>
      <c r="U420" s="310">
        <f t="shared" si="182"/>
        <v>40506.25</v>
      </c>
      <c r="V420" s="310">
        <f t="shared" si="183"/>
        <v>1640756289.0625</v>
      </c>
      <c r="X420" s="336">
        <f t="shared" si="177"/>
        <v>2.7259055816858306</v>
      </c>
      <c r="Y420" s="337">
        <f t="shared" si="178"/>
        <v>-15.369017768841072</v>
      </c>
      <c r="AA420" s="336">
        <f t="shared" si="179"/>
        <v>-3.6900316472405454</v>
      </c>
      <c r="AB420" s="337">
        <f t="shared" si="180"/>
        <v>-98.889366058091042</v>
      </c>
      <c r="AD420">
        <f t="shared" si="184"/>
        <v>0</v>
      </c>
      <c r="AE420">
        <f t="shared" si="187"/>
        <v>0</v>
      </c>
    </row>
    <row r="421" spans="1:31" x14ac:dyDescent="0.25">
      <c r="A421" s="338">
        <v>40738</v>
      </c>
      <c r="B421" s="355">
        <f t="shared" si="181"/>
        <v>40.738</v>
      </c>
      <c r="C421" s="328">
        <f t="shared" si="162"/>
        <v>9.1970974442902502</v>
      </c>
      <c r="D421" s="329">
        <f t="shared" si="163"/>
        <v>1.4618509850727339</v>
      </c>
      <c r="E421" s="329">
        <f t="shared" si="164"/>
        <v>1.00014268753512</v>
      </c>
      <c r="F421" s="330">
        <f t="shared" si="165"/>
        <v>1.6892043733178562E-2</v>
      </c>
      <c r="G421" s="329">
        <f t="shared" si="166"/>
        <v>1</v>
      </c>
      <c r="H421" s="330">
        <f t="shared" si="167"/>
        <v>0</v>
      </c>
      <c r="I421" s="328">
        <f t="shared" si="168"/>
        <v>89035.884184116294</v>
      </c>
      <c r="J421" s="331">
        <f t="shared" si="169"/>
        <v>1.5707850953682736</v>
      </c>
      <c r="K421" s="339">
        <f t="shared" si="185"/>
        <v>11.508430295392511</v>
      </c>
      <c r="L421" s="340">
        <f t="shared" si="186"/>
        <v>1.4837937849187897</v>
      </c>
      <c r="M421" s="328">
        <f t="shared" si="170"/>
        <v>1.0167497707337638</v>
      </c>
      <c r="N421" s="331">
        <f t="shared" si="171"/>
        <v>0.18176506105664295</v>
      </c>
      <c r="O421" s="332">
        <f t="shared" si="172"/>
        <v>1.0057581060147482</v>
      </c>
      <c r="P421" s="333">
        <f t="shared" si="173"/>
        <v>0.28314255998931065</v>
      </c>
      <c r="Q421" s="334">
        <f t="shared" si="174"/>
        <v>-1.0156819725758817</v>
      </c>
      <c r="R421" s="335">
        <f t="shared" si="175"/>
        <v>-114.41152853165056</v>
      </c>
      <c r="S421" s="337">
        <f t="shared" si="176"/>
        <v>65.588471468349439</v>
      </c>
      <c r="U421" s="310">
        <f t="shared" si="182"/>
        <v>40738</v>
      </c>
      <c r="V421" s="310">
        <f t="shared" si="183"/>
        <v>1659584644</v>
      </c>
      <c r="X421" s="336">
        <f t="shared" si="177"/>
        <v>2.7239189961581838</v>
      </c>
      <c r="Y421" s="337">
        <f t="shared" si="178"/>
        <v>-15.398605822146562</v>
      </c>
      <c r="AA421" s="336">
        <f t="shared" si="179"/>
        <v>-3.7396009687340652</v>
      </c>
      <c r="AB421" s="337">
        <f t="shared" si="180"/>
        <v>-99.012922709503997</v>
      </c>
      <c r="AD421">
        <f t="shared" si="184"/>
        <v>0</v>
      </c>
      <c r="AE421">
        <f t="shared" si="187"/>
        <v>0</v>
      </c>
    </row>
    <row r="422" spans="1:31" x14ac:dyDescent="0.25">
      <c r="A422" s="338">
        <v>40975.25</v>
      </c>
      <c r="B422" s="355">
        <f t="shared" si="181"/>
        <v>40.975250000000003</v>
      </c>
      <c r="C422" s="328">
        <f t="shared" si="162"/>
        <v>9.2500280984643837</v>
      </c>
      <c r="D422" s="329">
        <f t="shared" si="163"/>
        <v>1.462476850611758</v>
      </c>
      <c r="E422" s="329">
        <f t="shared" si="164"/>
        <v>1.0001443542218997</v>
      </c>
      <c r="F422" s="330">
        <f t="shared" si="165"/>
        <v>1.6990400755758753E-2</v>
      </c>
      <c r="G422" s="329">
        <f t="shared" si="166"/>
        <v>1</v>
      </c>
      <c r="H422" s="330">
        <f t="shared" si="167"/>
        <v>0</v>
      </c>
      <c r="I422" s="328">
        <f t="shared" si="168"/>
        <v>89554.411444168931</v>
      </c>
      <c r="J422" s="331">
        <f t="shared" si="169"/>
        <v>1.570785160399139</v>
      </c>
      <c r="K422" s="339">
        <f t="shared" si="185"/>
        <v>11.574948509330575</v>
      </c>
      <c r="L422" s="340">
        <f t="shared" si="186"/>
        <v>1.4842950202849576</v>
      </c>
      <c r="M422" s="328">
        <f t="shared" si="170"/>
        <v>1.016943803316408</v>
      </c>
      <c r="N422" s="331">
        <f t="shared" si="171"/>
        <v>0.18280026519372619</v>
      </c>
      <c r="O422" s="332">
        <f t="shared" si="172"/>
        <v>1.0058320817770989</v>
      </c>
      <c r="P422" s="333">
        <f t="shared" si="173"/>
        <v>0.28481593642533681</v>
      </c>
      <c r="Q422" s="334">
        <f t="shared" si="174"/>
        <v>-1.0681876859836752</v>
      </c>
      <c r="R422" s="335">
        <f t="shared" si="175"/>
        <v>-114.56822783375935</v>
      </c>
      <c r="S422" s="337">
        <f t="shared" si="176"/>
        <v>65.431772166240648</v>
      </c>
      <c r="U422" s="310">
        <f t="shared" si="182"/>
        <v>40975.25</v>
      </c>
      <c r="V422" s="310">
        <f t="shared" si="183"/>
        <v>1678971112.5625</v>
      </c>
      <c r="X422" s="336">
        <f t="shared" si="177"/>
        <v>2.7218829327751104</v>
      </c>
      <c r="Y422" s="337">
        <f t="shared" si="178"/>
        <v>-15.429203705140875</v>
      </c>
      <c r="AA422" s="336">
        <f t="shared" si="179"/>
        <v>-3.7900706187587838</v>
      </c>
      <c r="AB422" s="337">
        <f t="shared" si="180"/>
        <v>-99.139024128618473</v>
      </c>
      <c r="AD422">
        <f t="shared" si="184"/>
        <v>0</v>
      </c>
      <c r="AE422">
        <f t="shared" si="187"/>
        <v>0</v>
      </c>
    </row>
    <row r="423" spans="1:31" x14ac:dyDescent="0.25">
      <c r="A423" s="338">
        <v>41212.5</v>
      </c>
      <c r="B423" s="355">
        <f t="shared" si="181"/>
        <v>41.212499999999999</v>
      </c>
      <c r="C423" s="328">
        <f t="shared" si="162"/>
        <v>9.3029623347139356</v>
      </c>
      <c r="D423" s="329">
        <f t="shared" si="163"/>
        <v>1.4630955939898156</v>
      </c>
      <c r="E423" s="329">
        <f t="shared" si="164"/>
        <v>1.0001460305841472</v>
      </c>
      <c r="F423" s="330">
        <f t="shared" si="165"/>
        <v>1.7088757449574603E-2</v>
      </c>
      <c r="G423" s="329">
        <f t="shared" si="166"/>
        <v>1</v>
      </c>
      <c r="H423" s="330">
        <f t="shared" si="167"/>
        <v>0</v>
      </c>
      <c r="I423" s="328">
        <f t="shared" si="168"/>
        <v>90072.938704221961</v>
      </c>
      <c r="J423" s="331">
        <f t="shared" si="169"/>
        <v>1.5707852246812717</v>
      </c>
      <c r="K423" s="339">
        <f t="shared" si="185"/>
        <v>11.641469598089641</v>
      </c>
      <c r="L423" s="340">
        <f t="shared" si="186"/>
        <v>1.484790527507567</v>
      </c>
      <c r="M423" s="328">
        <f t="shared" si="170"/>
        <v>1.0171389252879734</v>
      </c>
      <c r="N423" s="331">
        <f t="shared" si="171"/>
        <v>0.18383507326441351</v>
      </c>
      <c r="O423" s="332">
        <f t="shared" si="172"/>
        <v>1.0059066425086127</v>
      </c>
      <c r="P423" s="333">
        <f t="shared" si="173"/>
        <v>0.28648971546886504</v>
      </c>
      <c r="Q423" s="334">
        <f t="shared" si="174"/>
        <v>-1.1204197492360166</v>
      </c>
      <c r="R423" s="335">
        <f t="shared" si="175"/>
        <v>-114.72484761526937</v>
      </c>
      <c r="S423" s="337">
        <f t="shared" si="176"/>
        <v>65.275152384730632</v>
      </c>
      <c r="U423" s="310">
        <f t="shared" si="182"/>
        <v>41212.5</v>
      </c>
      <c r="V423" s="310">
        <f t="shared" si="183"/>
        <v>1698470156.25</v>
      </c>
      <c r="X423" s="336">
        <f t="shared" si="177"/>
        <v>2.7198443709212938</v>
      </c>
      <c r="Y423" s="337">
        <f t="shared" si="178"/>
        <v>-15.460107050753779</v>
      </c>
      <c r="AA423" s="336">
        <f t="shared" si="179"/>
        <v>-3.8402641201573111</v>
      </c>
      <c r="AB423" s="337">
        <f t="shared" si="180"/>
        <v>-99.264740564515591</v>
      </c>
      <c r="AD423">
        <f t="shared" si="184"/>
        <v>0</v>
      </c>
      <c r="AE423">
        <f t="shared" si="187"/>
        <v>0</v>
      </c>
    </row>
    <row r="424" spans="1:31" x14ac:dyDescent="0.25">
      <c r="A424" s="338">
        <v>41449.75</v>
      </c>
      <c r="B424" s="355">
        <f t="shared" si="181"/>
        <v>41.449750000000002</v>
      </c>
      <c r="C424" s="328">
        <f t="shared" si="162"/>
        <v>9.3559000922384215</v>
      </c>
      <c r="D424" s="329">
        <f t="shared" si="163"/>
        <v>1.4637073356253747</v>
      </c>
      <c r="E424" s="329">
        <f t="shared" si="164"/>
        <v>1.0001477166218142</v>
      </c>
      <c r="F424" s="330">
        <f t="shared" si="165"/>
        <v>1.7187113812724759E-2</v>
      </c>
      <c r="G424" s="329">
        <f t="shared" si="166"/>
        <v>1</v>
      </c>
      <c r="H424" s="330">
        <f t="shared" si="167"/>
        <v>0</v>
      </c>
      <c r="I424" s="328">
        <f t="shared" si="168"/>
        <v>90591.46596427534</v>
      </c>
      <c r="J424" s="331">
        <f t="shared" si="169"/>
        <v>1.5707852882275286</v>
      </c>
      <c r="K424" s="339">
        <f t="shared" si="185"/>
        <v>11.707993512668251</v>
      </c>
      <c r="L424" s="340">
        <f t="shared" si="186"/>
        <v>1.4852804039818064</v>
      </c>
      <c r="M424" s="328">
        <f t="shared" si="170"/>
        <v>1.0173351360216352</v>
      </c>
      <c r="N424" s="331">
        <f t="shared" si="171"/>
        <v>0.184869483281036</v>
      </c>
      <c r="O424" s="332">
        <f t="shared" si="172"/>
        <v>1.0059817908736692</v>
      </c>
      <c r="P424" s="333">
        <f t="shared" si="173"/>
        <v>0.28816389879249865</v>
      </c>
      <c r="Q424" s="334">
        <f t="shared" si="174"/>
        <v>-1.1723814349159447</v>
      </c>
      <c r="R424" s="335">
        <f t="shared" si="175"/>
        <v>-114.88138917811102</v>
      </c>
      <c r="S424" s="337">
        <f t="shared" si="176"/>
        <v>65.118610821888979</v>
      </c>
      <c r="U424" s="310">
        <f t="shared" si="182"/>
        <v>41449.75</v>
      </c>
      <c r="V424" s="310">
        <f t="shared" si="183"/>
        <v>1718081775.0625</v>
      </c>
      <c r="X424" s="336">
        <f t="shared" si="177"/>
        <v>2.7178031739628055</v>
      </c>
      <c r="Y424" s="337">
        <f t="shared" si="178"/>
        <v>-15.491310165503627</v>
      </c>
      <c r="AA424" s="336">
        <f t="shared" si="179"/>
        <v>-3.8901846088787502</v>
      </c>
      <c r="AB424" s="337">
        <f t="shared" si="180"/>
        <v>-99.390079012607401</v>
      </c>
      <c r="AD424">
        <f t="shared" si="184"/>
        <v>0</v>
      </c>
      <c r="AE424">
        <f t="shared" si="187"/>
        <v>0</v>
      </c>
    </row>
    <row r="425" spans="1:31" x14ac:dyDescent="0.25">
      <c r="A425" s="338">
        <v>41687</v>
      </c>
      <c r="B425" s="355">
        <f t="shared" si="181"/>
        <v>41.686999999999998</v>
      </c>
      <c r="C425" s="328">
        <f t="shared" si="162"/>
        <v>9.4088413116017016</v>
      </c>
      <c r="D425" s="329">
        <f t="shared" si="163"/>
        <v>1.4643121932478773</v>
      </c>
      <c r="E425" s="329">
        <f t="shared" si="164"/>
        <v>1.0001494123348518</v>
      </c>
      <c r="F425" s="330">
        <f t="shared" si="165"/>
        <v>1.7285469843307904E-2</v>
      </c>
      <c r="G425" s="329">
        <f t="shared" si="166"/>
        <v>1</v>
      </c>
      <c r="H425" s="330">
        <f t="shared" si="167"/>
        <v>0</v>
      </c>
      <c r="I425" s="328">
        <f t="shared" si="168"/>
        <v>91109.993224329097</v>
      </c>
      <c r="J425" s="331">
        <f t="shared" si="169"/>
        <v>1.5707853510504735</v>
      </c>
      <c r="K425" s="339">
        <f t="shared" si="185"/>
        <v>11.774520205170298</v>
      </c>
      <c r="L425" s="340">
        <f t="shared" si="186"/>
        <v>1.4857647449126619</v>
      </c>
      <c r="M425" s="328">
        <f t="shared" si="170"/>
        <v>1.0175324348875552</v>
      </c>
      <c r="N425" s="331">
        <f t="shared" si="171"/>
        <v>0.18590349326086109</v>
      </c>
      <c r="O425" s="332">
        <f t="shared" si="172"/>
        <v>1.0060575295509575</v>
      </c>
      <c r="P425" s="333">
        <f t="shared" si="173"/>
        <v>0.28983848805733819</v>
      </c>
      <c r="Q425" s="334">
        <f t="shared" si="174"/>
        <v>-1.2240759607032772</v>
      </c>
      <c r="R425" s="335">
        <f t="shared" si="175"/>
        <v>-115.03785379524123</v>
      </c>
      <c r="S425" s="337">
        <f t="shared" si="176"/>
        <v>64.962146204758767</v>
      </c>
      <c r="U425" s="310">
        <f t="shared" si="182"/>
        <v>41687</v>
      </c>
      <c r="V425" s="310">
        <f t="shared" si="183"/>
        <v>1737805969</v>
      </c>
      <c r="X425" s="336">
        <f t="shared" si="177"/>
        <v>2.7157592094600691</v>
      </c>
      <c r="Y425" s="337">
        <f t="shared" si="178"/>
        <v>-15.522807481664147</v>
      </c>
      <c r="AA425" s="336">
        <f t="shared" si="179"/>
        <v>-3.9398351701633465</v>
      </c>
      <c r="AB425" s="337">
        <f t="shared" si="180"/>
        <v>-99.515046313577074</v>
      </c>
      <c r="AD425">
        <f t="shared" si="184"/>
        <v>0</v>
      </c>
      <c r="AE425">
        <f t="shared" si="187"/>
        <v>0</v>
      </c>
    </row>
    <row r="426" spans="1:31" x14ac:dyDescent="0.25">
      <c r="A426" s="338">
        <v>41929.75</v>
      </c>
      <c r="B426" s="355">
        <f t="shared" si="181"/>
        <v>41.929749999999999</v>
      </c>
      <c r="C426" s="328">
        <f t="shared" si="162"/>
        <v>9.4630133525901226</v>
      </c>
      <c r="D426" s="329">
        <f t="shared" si="163"/>
        <v>1.4649240676697088</v>
      </c>
      <c r="E426" s="329">
        <f t="shared" si="164"/>
        <v>1.0001511573727779</v>
      </c>
      <c r="F426" s="330">
        <f t="shared" si="165"/>
        <v>1.7386105646415018E-2</v>
      </c>
      <c r="G426" s="329">
        <f t="shared" si="166"/>
        <v>1</v>
      </c>
      <c r="H426" s="330">
        <f t="shared" si="167"/>
        <v>0</v>
      </c>
      <c r="I426" s="328">
        <f t="shared" si="168"/>
        <v>91640.541137408683</v>
      </c>
      <c r="J426" s="331">
        <f t="shared" si="169"/>
        <v>1.570785414593947</v>
      </c>
      <c r="K426" s="339">
        <f t="shared" si="185"/>
        <v>11.842591965663935</v>
      </c>
      <c r="L426" s="340">
        <f t="shared" si="186"/>
        <v>1.4862546815274416</v>
      </c>
      <c r="M426" s="328">
        <f t="shared" si="170"/>
        <v>1.0177354331970743</v>
      </c>
      <c r="N426" s="331">
        <f t="shared" si="171"/>
        <v>0.18696105784947867</v>
      </c>
      <c r="O426" s="332">
        <f t="shared" si="172"/>
        <v>1.0061356378317841</v>
      </c>
      <c r="P426" s="333">
        <f t="shared" si="173"/>
        <v>0.29155232003484399</v>
      </c>
      <c r="Q426" s="334">
        <f t="shared" si="174"/>
        <v>-1.2766956624592043</v>
      </c>
      <c r="R426" s="335">
        <f t="shared" si="175"/>
        <v>-115.19786727771401</v>
      </c>
      <c r="S426" s="337">
        <f t="shared" si="176"/>
        <v>64.80213272228599</v>
      </c>
      <c r="U426" s="310">
        <f t="shared" si="182"/>
        <v>41929.75</v>
      </c>
      <c r="V426" s="310">
        <f t="shared" si="183"/>
        <v>1758103935.0625</v>
      </c>
      <c r="X426" s="336">
        <f t="shared" si="177"/>
        <v>2.7136648627533599</v>
      </c>
      <c r="Y426" s="337">
        <f t="shared" si="178"/>
        <v>-15.555333809708635</v>
      </c>
      <c r="AA426" s="336">
        <f t="shared" si="179"/>
        <v>-3.9903605252125618</v>
      </c>
      <c r="AB426" s="337">
        <f t="shared" si="180"/>
        <v>-99.642533468005396</v>
      </c>
      <c r="AD426">
        <f t="shared" si="184"/>
        <v>0</v>
      </c>
      <c r="AE426">
        <f t="shared" si="187"/>
        <v>0</v>
      </c>
    </row>
    <row r="427" spans="1:31" x14ac:dyDescent="0.25">
      <c r="A427" s="338">
        <v>42172.5</v>
      </c>
      <c r="B427" s="355">
        <f t="shared" si="181"/>
        <v>42.172499999999999</v>
      </c>
      <c r="C427" s="328">
        <f t="shared" si="162"/>
        <v>9.5171888961061892</v>
      </c>
      <c r="D427" s="329">
        <f t="shared" si="163"/>
        <v>1.4655289762611381</v>
      </c>
      <c r="E427" s="329">
        <f t="shared" si="164"/>
        <v>1.0001529125397643</v>
      </c>
      <c r="F427" s="330">
        <f t="shared" si="165"/>
        <v>1.748674109733005E-2</v>
      </c>
      <c r="G427" s="329">
        <f t="shared" si="166"/>
        <v>1</v>
      </c>
      <c r="H427" s="330">
        <f t="shared" si="167"/>
        <v>0</v>
      </c>
      <c r="I427" s="328">
        <f t="shared" si="168"/>
        <v>92171.089050488648</v>
      </c>
      <c r="J427" s="331">
        <f t="shared" si="169"/>
        <v>1.5707854774058927</v>
      </c>
      <c r="K427" s="339">
        <f t="shared" si="185"/>
        <v>11.910666536335096</v>
      </c>
      <c r="L427" s="340">
        <f t="shared" si="186"/>
        <v>1.48673901786136</v>
      </c>
      <c r="M427" s="328">
        <f t="shared" si="170"/>
        <v>1.0179395693307858</v>
      </c>
      <c r="N427" s="331">
        <f t="shared" si="171"/>
        <v>0.18801819945509865</v>
      </c>
      <c r="O427" s="332">
        <f t="shared" si="172"/>
        <v>1.0062143698311175</v>
      </c>
      <c r="P427" s="333">
        <f t="shared" si="173"/>
        <v>0.29326658047418119</v>
      </c>
      <c r="Q427" s="334">
        <f t="shared" si="174"/>
        <v>-1.3290423184946467</v>
      </c>
      <c r="R427" s="335">
        <f t="shared" si="175"/>
        <v>-115.35780281214107</v>
      </c>
      <c r="S427" s="337">
        <f t="shared" si="176"/>
        <v>64.642197187858926</v>
      </c>
      <c r="U427" s="310">
        <f t="shared" si="182"/>
        <v>42172.5</v>
      </c>
      <c r="V427" s="310">
        <f t="shared" si="183"/>
        <v>1778519756.25</v>
      </c>
      <c r="X427" s="336">
        <f t="shared" si="177"/>
        <v>2.7115673510338665</v>
      </c>
      <c r="Y427" s="337">
        <f t="shared" si="178"/>
        <v>-15.588156733156874</v>
      </c>
      <c r="AA427" s="336">
        <f t="shared" si="179"/>
        <v>-4.0406096695285134</v>
      </c>
      <c r="AB427" s="337">
        <f t="shared" si="180"/>
        <v>-99.769646078984181</v>
      </c>
      <c r="AD427">
        <f t="shared" si="184"/>
        <v>0</v>
      </c>
      <c r="AE427">
        <f t="shared" si="187"/>
        <v>0</v>
      </c>
    </row>
    <row r="428" spans="1:31" x14ac:dyDescent="0.25">
      <c r="A428" s="338">
        <v>42415.25</v>
      </c>
      <c r="B428" s="355">
        <f t="shared" si="181"/>
        <v>42.41525</v>
      </c>
      <c r="C428" s="328">
        <f t="shared" si="162"/>
        <v>9.5713678826752187</v>
      </c>
      <c r="D428" s="329">
        <f t="shared" si="163"/>
        <v>1.4661270368664874</v>
      </c>
      <c r="E428" s="329">
        <f t="shared" si="164"/>
        <v>1.0001546778357577</v>
      </c>
      <c r="F428" s="330">
        <f t="shared" si="165"/>
        <v>1.7587376194016499E-2</v>
      </c>
      <c r="G428" s="329">
        <f t="shared" si="166"/>
        <v>1</v>
      </c>
      <c r="H428" s="330">
        <f t="shared" si="167"/>
        <v>0</v>
      </c>
      <c r="I428" s="328">
        <f t="shared" si="168"/>
        <v>92701.636963568977</v>
      </c>
      <c r="J428" s="331">
        <f t="shared" si="169"/>
        <v>1.5707855394988706</v>
      </c>
      <c r="K428" s="339">
        <f t="shared" si="185"/>
        <v>11.978743869273513</v>
      </c>
      <c r="L428" s="340">
        <f t="shared" si="186"/>
        <v>1.4872178491674024</v>
      </c>
      <c r="M428" s="328">
        <f t="shared" si="170"/>
        <v>1.0181448426042945</v>
      </c>
      <c r="N428" s="331">
        <f t="shared" si="171"/>
        <v>0.18907491597004281</v>
      </c>
      <c r="O428" s="332">
        <f t="shared" si="172"/>
        <v>1.0062937284646714</v>
      </c>
      <c r="P428" s="333">
        <f t="shared" si="173"/>
        <v>0.29498127111683575</v>
      </c>
      <c r="Q428" s="334">
        <f t="shared" si="174"/>
        <v>-1.3811192049035426</v>
      </c>
      <c r="R428" s="335">
        <f t="shared" si="175"/>
        <v>-115.51766167276561</v>
      </c>
      <c r="S428" s="337">
        <f t="shared" si="176"/>
        <v>64.482338327234388</v>
      </c>
      <c r="U428" s="310">
        <f t="shared" si="182"/>
        <v>42415.25</v>
      </c>
      <c r="V428" s="310">
        <f t="shared" si="183"/>
        <v>1799053432.5625</v>
      </c>
      <c r="X428" s="336">
        <f t="shared" si="177"/>
        <v>2.709466545179509</v>
      </c>
      <c r="Y428" s="337">
        <f t="shared" si="178"/>
        <v>-15.621270674373388</v>
      </c>
      <c r="AA428" s="336">
        <f t="shared" si="179"/>
        <v>-4.0905857500830507</v>
      </c>
      <c r="AB428" s="337">
        <f t="shared" si="180"/>
        <v>-99.896390998392221</v>
      </c>
      <c r="AD428">
        <f t="shared" si="184"/>
        <v>0</v>
      </c>
      <c r="AE428">
        <f t="shared" si="187"/>
        <v>0</v>
      </c>
    </row>
    <row r="429" spans="1:31" x14ac:dyDescent="0.25">
      <c r="A429" s="338">
        <v>42658</v>
      </c>
      <c r="B429" s="355">
        <f t="shared" si="181"/>
        <v>42.658000000000001</v>
      </c>
      <c r="C429" s="328">
        <f t="shared" si="162"/>
        <v>9.6255502541578508</v>
      </c>
      <c r="D429" s="329">
        <f t="shared" si="163"/>
        <v>1.4667183646965376</v>
      </c>
      <c r="E429" s="329">
        <f t="shared" si="164"/>
        <v>1.0001564532607046</v>
      </c>
      <c r="F429" s="330">
        <f t="shared" si="165"/>
        <v>1.7688010934437885E-2</v>
      </c>
      <c r="G429" s="329">
        <f t="shared" si="166"/>
        <v>1</v>
      </c>
      <c r="H429" s="330">
        <f t="shared" si="167"/>
        <v>0</v>
      </c>
      <c r="I429" s="328">
        <f t="shared" si="168"/>
        <v>93232.184876649641</v>
      </c>
      <c r="J429" s="331">
        <f t="shared" si="169"/>
        <v>1.5707856008851548</v>
      </c>
      <c r="K429" s="339">
        <f t="shared" si="185"/>
        <v>12.046823917649961</v>
      </c>
      <c r="L429" s="340">
        <f t="shared" si="186"/>
        <v>1.4876912685555759</v>
      </c>
      <c r="M429" s="328">
        <f t="shared" si="170"/>
        <v>1.0183512523299469</v>
      </c>
      <c r="N429" s="331">
        <f t="shared" si="171"/>
        <v>0.19013120529212502</v>
      </c>
      <c r="O429" s="332">
        <f t="shared" si="172"/>
        <v>1.0063737166637483</v>
      </c>
      <c r="P429" s="333">
        <f t="shared" si="173"/>
        <v>0.29669639369138673</v>
      </c>
      <c r="Q429" s="334">
        <f t="shared" si="174"/>
        <v>-1.4329295428098217</v>
      </c>
      <c r="R429" s="335">
        <f t="shared" si="175"/>
        <v>-115.67744510528259</v>
      </c>
      <c r="S429" s="337">
        <f t="shared" si="176"/>
        <v>64.322554894717413</v>
      </c>
      <c r="U429" s="310">
        <f t="shared" si="182"/>
        <v>42658</v>
      </c>
      <c r="V429" s="310">
        <f t="shared" si="183"/>
        <v>1819704964</v>
      </c>
      <c r="X429" s="336">
        <f t="shared" si="177"/>
        <v>2.7073623200823564</v>
      </c>
      <c r="Y429" s="337">
        <f t="shared" si="178"/>
        <v>-15.654670178804604</v>
      </c>
      <c r="AA429" s="336">
        <f t="shared" si="179"/>
        <v>-4.1402918628921785</v>
      </c>
      <c r="AB429" s="337">
        <f t="shared" si="180"/>
        <v>-100.02277492647798</v>
      </c>
      <c r="AD429">
        <f t="shared" si="184"/>
        <v>0</v>
      </c>
      <c r="AE429">
        <f t="shared" si="187"/>
        <v>0</v>
      </c>
    </row>
    <row r="430" spans="1:31" x14ac:dyDescent="0.25">
      <c r="A430" s="338">
        <v>42906.5</v>
      </c>
      <c r="B430" s="355">
        <f t="shared" si="181"/>
        <v>42.906500000000001</v>
      </c>
      <c r="C430" s="328">
        <f t="shared" si="162"/>
        <v>9.6810194859738345</v>
      </c>
      <c r="D430" s="329">
        <f t="shared" si="163"/>
        <v>1.4673168429699062</v>
      </c>
      <c r="E430" s="329">
        <f t="shared" si="164"/>
        <v>1.0001582812316252</v>
      </c>
      <c r="F430" s="330">
        <f t="shared" si="165"/>
        <v>1.7791029030826092E-2</v>
      </c>
      <c r="G430" s="329">
        <f t="shared" si="166"/>
        <v>1</v>
      </c>
      <c r="H430" s="330">
        <f t="shared" si="167"/>
        <v>0</v>
      </c>
      <c r="I430" s="328">
        <f t="shared" si="168"/>
        <v>93775.299836075545</v>
      </c>
      <c r="J430" s="331">
        <f t="shared" si="169"/>
        <v>1.5707856630060122</v>
      </c>
      <c r="K430" s="339">
        <f t="shared" si="185"/>
        <v>12.116519337628089</v>
      </c>
      <c r="L430" s="340">
        <f t="shared" si="186"/>
        <v>1.4881703910860842</v>
      </c>
      <c r="M430" s="328">
        <f t="shared" si="170"/>
        <v>1.0185637276946242</v>
      </c>
      <c r="N430" s="331">
        <f t="shared" si="171"/>
        <v>0.19121207017571551</v>
      </c>
      <c r="O430" s="332">
        <f t="shared" si="172"/>
        <v>1.0064562547243885</v>
      </c>
      <c r="P430" s="333">
        <f t="shared" si="173"/>
        <v>0.29845259142910885</v>
      </c>
      <c r="Q430" s="334">
        <f t="shared" si="174"/>
        <v>-1.4856943206175468</v>
      </c>
      <c r="R430" s="335">
        <f t="shared" si="175"/>
        <v>-115.84093645733792</v>
      </c>
      <c r="S430" s="337">
        <f t="shared" si="176"/>
        <v>64.159063542662082</v>
      </c>
      <c r="U430" s="310">
        <f t="shared" si="182"/>
        <v>42906.5</v>
      </c>
      <c r="V430" s="310">
        <f t="shared" si="183"/>
        <v>1840967742.25</v>
      </c>
      <c r="X430" s="336">
        <f t="shared" si="177"/>
        <v>2.7052045841467476</v>
      </c>
      <c r="Y430" s="337">
        <f t="shared" si="178"/>
        <v>-15.689151035292831</v>
      </c>
      <c r="AA430" s="336">
        <f t="shared" si="179"/>
        <v>-4.1908989047642953</v>
      </c>
      <c r="AB430" s="337">
        <f t="shared" si="180"/>
        <v>-100.15178542204508</v>
      </c>
      <c r="AD430">
        <f t="shared" si="184"/>
        <v>0</v>
      </c>
      <c r="AE430">
        <f t="shared" si="187"/>
        <v>0</v>
      </c>
    </row>
    <row r="431" spans="1:31" x14ac:dyDescent="0.25">
      <c r="A431" s="338">
        <v>43155</v>
      </c>
      <c r="B431" s="355">
        <f t="shared" si="181"/>
        <v>43.155000000000001</v>
      </c>
      <c r="C431" s="328">
        <f t="shared" si="162"/>
        <v>9.7364921457911571</v>
      </c>
      <c r="D431" s="329">
        <f t="shared" si="163"/>
        <v>1.4679085019167097</v>
      </c>
      <c r="E431" s="329">
        <f t="shared" si="164"/>
        <v>1.0001601198169152</v>
      </c>
      <c r="F431" s="330">
        <f t="shared" si="165"/>
        <v>1.7894046749553128E-2</v>
      </c>
      <c r="G431" s="329">
        <f t="shared" si="166"/>
        <v>1</v>
      </c>
      <c r="H431" s="330">
        <f t="shared" si="167"/>
        <v>0</v>
      </c>
      <c r="I431" s="328">
        <f t="shared" si="168"/>
        <v>94318.414795501798</v>
      </c>
      <c r="J431" s="331">
        <f t="shared" si="169"/>
        <v>1.5707857244114469</v>
      </c>
      <c r="K431" s="339">
        <f t="shared" si="185"/>
        <v>12.186217507239302</v>
      </c>
      <c r="L431" s="340">
        <f t="shared" si="186"/>
        <v>1.4886440331125423</v>
      </c>
      <c r="M431" s="328">
        <f t="shared" si="170"/>
        <v>1.0187773925184602</v>
      </c>
      <c r="N431" s="331">
        <f t="shared" si="171"/>
        <v>0.19229248294862125</v>
      </c>
      <c r="O431" s="332">
        <f t="shared" si="172"/>
        <v>1.0065394587950489</v>
      </c>
      <c r="P431" s="333">
        <f t="shared" si="173"/>
        <v>0.30020924542736543</v>
      </c>
      <c r="Q431" s="334">
        <f t="shared" si="174"/>
        <v>-1.5381864327344195</v>
      </c>
      <c r="R431" s="335">
        <f t="shared" si="175"/>
        <v>-116.00435131893008</v>
      </c>
      <c r="S431" s="337">
        <f t="shared" si="176"/>
        <v>63.995648681069923</v>
      </c>
      <c r="U431" s="310">
        <f t="shared" si="182"/>
        <v>43155</v>
      </c>
      <c r="V431" s="310">
        <f t="shared" si="183"/>
        <v>1862354025</v>
      </c>
      <c r="X431" s="336">
        <f t="shared" si="177"/>
        <v>2.7030430120694033</v>
      </c>
      <c r="Y431" s="337">
        <f t="shared" si="178"/>
        <v>-15.723919956508251</v>
      </c>
      <c r="AA431" s="336">
        <f t="shared" si="179"/>
        <v>-4.2412294448038228</v>
      </c>
      <c r="AB431" s="337">
        <f t="shared" si="180"/>
        <v>-100.28043136242184</v>
      </c>
      <c r="AD431">
        <f t="shared" si="184"/>
        <v>0</v>
      </c>
      <c r="AE431">
        <f t="shared" si="187"/>
        <v>0</v>
      </c>
    </row>
    <row r="432" spans="1:31" x14ac:dyDescent="0.25">
      <c r="A432" s="338">
        <v>43403.5</v>
      </c>
      <c r="B432" s="355">
        <f t="shared" si="181"/>
        <v>43.403500000000001</v>
      </c>
      <c r="C432" s="328">
        <f t="shared" si="162"/>
        <v>9.791968175349723</v>
      </c>
      <c r="D432" s="329">
        <f t="shared" si="163"/>
        <v>1.4684934570230739</v>
      </c>
      <c r="E432" s="329">
        <f t="shared" si="164"/>
        <v>1.0001619690165158</v>
      </c>
      <c r="F432" s="330">
        <f t="shared" si="165"/>
        <v>1.7997064088434496E-2</v>
      </c>
      <c r="G432" s="329">
        <f t="shared" si="166"/>
        <v>1</v>
      </c>
      <c r="H432" s="330">
        <f t="shared" si="167"/>
        <v>0</v>
      </c>
      <c r="I432" s="328">
        <f t="shared" si="168"/>
        <v>94861.529754928386</v>
      </c>
      <c r="J432" s="331">
        <f t="shared" si="169"/>
        <v>1.5707857851137472</v>
      </c>
      <c r="K432" s="339">
        <f t="shared" si="185"/>
        <v>12.255918379572948</v>
      </c>
      <c r="L432" s="340">
        <f t="shared" si="186"/>
        <v>1.4891122879254501</v>
      </c>
      <c r="M432" s="328">
        <f t="shared" si="170"/>
        <v>1.018992246053229</v>
      </c>
      <c r="N432" s="331">
        <f t="shared" si="171"/>
        <v>0.19337244137372422</v>
      </c>
      <c r="O432" s="332">
        <f t="shared" si="172"/>
        <v>1.006623332070907</v>
      </c>
      <c r="P432" s="333">
        <f t="shared" si="173"/>
        <v>0.30196635749797374</v>
      </c>
      <c r="Q432" s="334">
        <f t="shared" si="174"/>
        <v>-1.5904091635555222</v>
      </c>
      <c r="R432" s="335">
        <f t="shared" si="175"/>
        <v>-116.16769093823612</v>
      </c>
      <c r="S432" s="337">
        <f t="shared" si="176"/>
        <v>63.83230906176388</v>
      </c>
      <c r="U432" s="310">
        <f t="shared" si="182"/>
        <v>43403.5</v>
      </c>
      <c r="V432" s="310">
        <f t="shared" si="183"/>
        <v>1883863812.25</v>
      </c>
      <c r="X432" s="336">
        <f t="shared" si="177"/>
        <v>2.7008774818575363</v>
      </c>
      <c r="Y432" s="337">
        <f t="shared" si="178"/>
        <v>-15.758971469825616</v>
      </c>
      <c r="AA432" s="336">
        <f t="shared" si="179"/>
        <v>-4.2912866454130567</v>
      </c>
      <c r="AB432" s="337">
        <f t="shared" si="180"/>
        <v>-100.4087194684105</v>
      </c>
      <c r="AD432">
        <f t="shared" si="184"/>
        <v>0</v>
      </c>
      <c r="AE432">
        <f t="shared" si="187"/>
        <v>0</v>
      </c>
    </row>
    <row r="433" spans="1:31" x14ac:dyDescent="0.25">
      <c r="A433" s="338">
        <v>43652</v>
      </c>
      <c r="B433" s="355">
        <f t="shared" si="181"/>
        <v>43.652000000000001</v>
      </c>
      <c r="C433" s="328">
        <f t="shared" si="162"/>
        <v>9.8474475176987699</v>
      </c>
      <c r="D433" s="329">
        <f t="shared" si="163"/>
        <v>1.4690718211911733</v>
      </c>
      <c r="E433" s="329">
        <f t="shared" si="164"/>
        <v>1.0001638288303678</v>
      </c>
      <c r="F433" s="330">
        <f t="shared" si="165"/>
        <v>1.8100081045285758E-2</v>
      </c>
      <c r="G433" s="329">
        <f t="shared" si="166"/>
        <v>1</v>
      </c>
      <c r="H433" s="330">
        <f t="shared" si="167"/>
        <v>0</v>
      </c>
      <c r="I433" s="328">
        <f t="shared" si="168"/>
        <v>95404.644714355338</v>
      </c>
      <c r="J433" s="331">
        <f t="shared" si="169"/>
        <v>1.5707858451249213</v>
      </c>
      <c r="K433" s="339">
        <f t="shared" si="185"/>
        <v>12.325621908777681</v>
      </c>
      <c r="L433" s="340">
        <f t="shared" si="186"/>
        <v>1.4895752467145844</v>
      </c>
      <c r="M433" s="328">
        <f t="shared" si="170"/>
        <v>1.0192082875471742</v>
      </c>
      <c r="N433" s="331">
        <f t="shared" si="171"/>
        <v>0.19445194322002668</v>
      </c>
      <c r="O433" s="332">
        <f t="shared" si="172"/>
        <v>1.0067078777641492</v>
      </c>
      <c r="P433" s="333">
        <f t="shared" si="173"/>
        <v>0.30372392943824039</v>
      </c>
      <c r="Q433" s="334">
        <f t="shared" si="174"/>
        <v>-1.6423657423353375</v>
      </c>
      <c r="R433" s="335">
        <f t="shared" si="175"/>
        <v>-116.33095653524921</v>
      </c>
      <c r="S433" s="337">
        <f t="shared" si="176"/>
        <v>63.669043464750786</v>
      </c>
      <c r="U433" s="310">
        <f t="shared" si="182"/>
        <v>43652</v>
      </c>
      <c r="V433" s="310">
        <f t="shared" si="183"/>
        <v>1905497104</v>
      </c>
      <c r="X433" s="336">
        <f t="shared" si="177"/>
        <v>2.6987078753680143</v>
      </c>
      <c r="Y433" s="337">
        <f t="shared" si="178"/>
        <v>-15.794300223316803</v>
      </c>
      <c r="AA433" s="336">
        <f t="shared" si="179"/>
        <v>-4.3410736177033487</v>
      </c>
      <c r="AB433" s="337">
        <f t="shared" si="180"/>
        <v>-100.5366563119324</v>
      </c>
      <c r="AD433">
        <f t="shared" si="184"/>
        <v>0</v>
      </c>
      <c r="AE433">
        <f t="shared" si="187"/>
        <v>0</v>
      </c>
    </row>
    <row r="434" spans="1:31" x14ac:dyDescent="0.25">
      <c r="A434" s="338">
        <v>43906</v>
      </c>
      <c r="B434" s="355">
        <f t="shared" si="181"/>
        <v>43.905999999999999</v>
      </c>
      <c r="C434" s="328">
        <f t="shared" si="162"/>
        <v>9.9041581386840871</v>
      </c>
      <c r="D434" s="329">
        <f t="shared" si="163"/>
        <v>1.4696562897186671</v>
      </c>
      <c r="E434" s="329">
        <f t="shared" si="164"/>
        <v>1.0001657407762767</v>
      </c>
      <c r="F434" s="330">
        <f t="shared" si="165"/>
        <v>1.8205377658427096E-2</v>
      </c>
      <c r="G434" s="329">
        <f t="shared" si="166"/>
        <v>1</v>
      </c>
      <c r="H434" s="330">
        <f t="shared" si="167"/>
        <v>0</v>
      </c>
      <c r="I434" s="328">
        <f t="shared" si="168"/>
        <v>95959.780326808192</v>
      </c>
      <c r="J434" s="331">
        <f t="shared" si="169"/>
        <v>1.5707859057622868</v>
      </c>
      <c r="K434" s="339">
        <f t="shared" si="185"/>
        <v>12.396870871100337</v>
      </c>
      <c r="L434" s="340">
        <f t="shared" si="186"/>
        <v>1.490043071729243</v>
      </c>
      <c r="M434" s="328">
        <f t="shared" si="170"/>
        <v>1.0194303375467213</v>
      </c>
      <c r="N434" s="331">
        <f t="shared" si="171"/>
        <v>0.19555486329644739</v>
      </c>
      <c r="O434" s="332">
        <f t="shared" si="172"/>
        <v>1.0067949929577149</v>
      </c>
      <c r="P434" s="333">
        <f t="shared" si="173"/>
        <v>0.30552087846652554</v>
      </c>
      <c r="Q434" s="334">
        <f t="shared" si="174"/>
        <v>-1.6952005176981355</v>
      </c>
      <c r="R434" s="335">
        <f t="shared" si="175"/>
        <v>-116.49776040000798</v>
      </c>
      <c r="S434" s="337">
        <f t="shared" si="176"/>
        <v>63.502239599992023</v>
      </c>
      <c r="U434" s="310">
        <f t="shared" si="182"/>
        <v>43906</v>
      </c>
      <c r="V434" s="310">
        <f t="shared" si="183"/>
        <v>1927736836</v>
      </c>
      <c r="X434" s="336">
        <f t="shared" si="177"/>
        <v>2.6964859177142579</v>
      </c>
      <c r="Y434" s="337">
        <f t="shared" si="178"/>
        <v>-15.830691964252088</v>
      </c>
      <c r="AA434" s="336">
        <f t="shared" si="179"/>
        <v>-4.3916864354123923</v>
      </c>
      <c r="AB434" s="337">
        <f t="shared" si="180"/>
        <v>-100.66706843575591</v>
      </c>
      <c r="AD434">
        <f t="shared" si="184"/>
        <v>0</v>
      </c>
      <c r="AE434">
        <f t="shared" si="187"/>
        <v>0</v>
      </c>
    </row>
    <row r="435" spans="1:31" x14ac:dyDescent="0.25">
      <c r="A435" s="338">
        <v>44160</v>
      </c>
      <c r="B435" s="355">
        <f t="shared" si="181"/>
        <v>44.16</v>
      </c>
      <c r="C435" s="328">
        <f t="shared" si="162"/>
        <v>9.9608721044389323</v>
      </c>
      <c r="D435" s="329">
        <f t="shared" si="163"/>
        <v>1.4702341028943087</v>
      </c>
      <c r="E435" s="329">
        <f t="shared" si="164"/>
        <v>1.000167663811357</v>
      </c>
      <c r="F435" s="330">
        <f t="shared" si="165"/>
        <v>1.8310673867825613E-2</v>
      </c>
      <c r="G435" s="329">
        <f t="shared" si="166"/>
        <v>1</v>
      </c>
      <c r="H435" s="330">
        <f t="shared" si="167"/>
        <v>0</v>
      </c>
      <c r="I435" s="328">
        <f t="shared" si="168"/>
        <v>96514.91593926138</v>
      </c>
      <c r="J435" s="331">
        <f t="shared" si="169"/>
        <v>1.570785965702103</v>
      </c>
      <c r="K435" s="339">
        <f t="shared" si="185"/>
        <v>12.468122515595931</v>
      </c>
      <c r="L435" s="340">
        <f t="shared" si="186"/>
        <v>1.4905055498800759</v>
      </c>
      <c r="M435" s="328">
        <f t="shared" si="170"/>
        <v>1.0196536270736818</v>
      </c>
      <c r="N435" s="331">
        <f t="shared" si="171"/>
        <v>0.19665730166605061</v>
      </c>
      <c r="O435" s="332">
        <f t="shared" si="172"/>
        <v>1.0068828175034263</v>
      </c>
      <c r="P435" s="333">
        <f t="shared" si="173"/>
        <v>0.30731831169645341</v>
      </c>
      <c r="Q435" s="334">
        <f t="shared" si="174"/>
        <v>-1.7477638805037556</v>
      </c>
      <c r="R435" s="335">
        <f t="shared" si="175"/>
        <v>-116.6644894200343</v>
      </c>
      <c r="S435" s="337">
        <f t="shared" si="176"/>
        <v>63.3355105799657</v>
      </c>
      <c r="U435" s="310">
        <f t="shared" si="182"/>
        <v>44160</v>
      </c>
      <c r="V435" s="310">
        <f t="shared" si="183"/>
        <v>1950105600</v>
      </c>
      <c r="X435" s="336">
        <f t="shared" si="177"/>
        <v>2.6942594635153339</v>
      </c>
      <c r="Y435" s="337">
        <f t="shared" si="178"/>
        <v>-15.867362418184294</v>
      </c>
      <c r="AA435" s="336">
        <f t="shared" si="179"/>
        <v>-4.4420233440190877</v>
      </c>
      <c r="AB435" s="337">
        <f t="shared" si="180"/>
        <v>-100.79712700185001</v>
      </c>
      <c r="AD435">
        <f t="shared" si="184"/>
        <v>0</v>
      </c>
      <c r="AE435">
        <f t="shared" si="187"/>
        <v>0</v>
      </c>
    </row>
    <row r="436" spans="1:31" x14ac:dyDescent="0.25">
      <c r="A436" s="338">
        <v>44414</v>
      </c>
      <c r="B436" s="355">
        <f t="shared" si="181"/>
        <v>44.414000000000001</v>
      </c>
      <c r="C436" s="328">
        <f t="shared" si="162"/>
        <v>10.017589358154684</v>
      </c>
      <c r="D436" s="329">
        <f t="shared" si="163"/>
        <v>1.4708053733721045</v>
      </c>
      <c r="E436" s="329">
        <f t="shared" si="164"/>
        <v>1.0001695979355456</v>
      </c>
      <c r="F436" s="330">
        <f t="shared" si="165"/>
        <v>1.8415969671148748E-2</v>
      </c>
      <c r="G436" s="329">
        <f t="shared" si="166"/>
        <v>1</v>
      </c>
      <c r="H436" s="330">
        <f t="shared" si="167"/>
        <v>0</v>
      </c>
      <c r="I436" s="328">
        <f t="shared" si="168"/>
        <v>97070.051551714932</v>
      </c>
      <c r="J436" s="331">
        <f t="shared" si="169"/>
        <v>1.5707860249563375</v>
      </c>
      <c r="K436" s="339">
        <f t="shared" si="185"/>
        <v>12.539376796542282</v>
      </c>
      <c r="L436" s="340">
        <f t="shared" si="186"/>
        <v>1.4909627721172722</v>
      </c>
      <c r="M436" s="328">
        <f t="shared" si="170"/>
        <v>1.0198781553139193</v>
      </c>
      <c r="N436" s="331">
        <f t="shared" si="171"/>
        <v>0.19775925596636926</v>
      </c>
      <c r="O436" s="332">
        <f t="shared" si="172"/>
        <v>1.0069713548864152</v>
      </c>
      <c r="P436" s="333">
        <f t="shared" si="173"/>
        <v>0.30911623099977437</v>
      </c>
      <c r="Q436" s="334">
        <f t="shared" si="174"/>
        <v>-1.8000591085008997</v>
      </c>
      <c r="R436" s="335">
        <f t="shared" si="175"/>
        <v>-116.83114481156862</v>
      </c>
      <c r="S436" s="337">
        <f t="shared" si="176"/>
        <v>63.16885518843138</v>
      </c>
      <c r="U436" s="310">
        <f t="shared" si="182"/>
        <v>44414</v>
      </c>
      <c r="V436" s="310">
        <f t="shared" si="183"/>
        <v>1972603396</v>
      </c>
      <c r="X436" s="336">
        <f t="shared" si="177"/>
        <v>2.6920283982643118</v>
      </c>
      <c r="Y436" s="337">
        <f t="shared" si="178"/>
        <v>-15.904306239377723</v>
      </c>
      <c r="AA436" s="336">
        <f t="shared" si="179"/>
        <v>-4.4920875067652135</v>
      </c>
      <c r="AB436" s="337">
        <f t="shared" si="180"/>
        <v>-100.92683857219089</v>
      </c>
      <c r="AD436">
        <f t="shared" si="184"/>
        <v>0</v>
      </c>
      <c r="AE436">
        <f t="shared" si="187"/>
        <v>0</v>
      </c>
    </row>
    <row r="437" spans="1:31" x14ac:dyDescent="0.25">
      <c r="A437" s="338">
        <v>44668</v>
      </c>
      <c r="B437" s="355">
        <f t="shared" si="181"/>
        <v>44.667999999999999</v>
      </c>
      <c r="C437" s="328">
        <f t="shared" si="162"/>
        <v>10.074309844298773</v>
      </c>
      <c r="D437" s="329">
        <f t="shared" si="163"/>
        <v>1.4713702112863023</v>
      </c>
      <c r="E437" s="329">
        <f t="shared" si="164"/>
        <v>1.0001715431487779</v>
      </c>
      <c r="F437" s="330">
        <f t="shared" si="165"/>
        <v>1.852126506606399E-2</v>
      </c>
      <c r="G437" s="329">
        <f t="shared" si="166"/>
        <v>1</v>
      </c>
      <c r="H437" s="330">
        <f t="shared" si="167"/>
        <v>0</v>
      </c>
      <c r="I437" s="328">
        <f t="shared" si="168"/>
        <v>97625.187164168805</v>
      </c>
      <c r="J437" s="331">
        <f t="shared" si="169"/>
        <v>1.5707860835366856</v>
      </c>
      <c r="K437" s="339">
        <f t="shared" si="185"/>
        <v>12.61063366924891</v>
      </c>
      <c r="L437" s="340">
        <f t="shared" si="186"/>
        <v>1.4914148273442553</v>
      </c>
      <c r="M437" s="328">
        <f t="shared" si="170"/>
        <v>1.0201039214494987</v>
      </c>
      <c r="N437" s="331">
        <f t="shared" si="171"/>
        <v>0.19886072384171283</v>
      </c>
      <c r="O437" s="332">
        <f t="shared" si="172"/>
        <v>1.0070606086102512</v>
      </c>
      <c r="P437" s="333">
        <f t="shared" si="173"/>
        <v>0.3109146382320262</v>
      </c>
      <c r="Q437" s="334">
        <f t="shared" si="174"/>
        <v>-1.8520894244639603</v>
      </c>
      <c r="R437" s="335">
        <f t="shared" si="175"/>
        <v>-116.99772776319469</v>
      </c>
      <c r="S437" s="337">
        <f t="shared" si="176"/>
        <v>63.002272236805311</v>
      </c>
      <c r="U437" s="310">
        <f t="shared" si="182"/>
        <v>44668</v>
      </c>
      <c r="V437" s="310">
        <f t="shared" si="183"/>
        <v>1995230224</v>
      </c>
      <c r="X437" s="336">
        <f t="shared" si="177"/>
        <v>2.6897926111244645</v>
      </c>
      <c r="Y437" s="337">
        <f t="shared" si="178"/>
        <v>-15.941518199740424</v>
      </c>
      <c r="AA437" s="336">
        <f t="shared" si="179"/>
        <v>-4.5418820355884275</v>
      </c>
      <c r="AB437" s="337">
        <f t="shared" si="180"/>
        <v>-101.05620956345425</v>
      </c>
      <c r="AD437">
        <f t="shared" si="184"/>
        <v>0</v>
      </c>
      <c r="AE437">
        <f t="shared" si="187"/>
        <v>0</v>
      </c>
    </row>
    <row r="438" spans="1:31" x14ac:dyDescent="0.25">
      <c r="A438" s="338">
        <v>44928.25</v>
      </c>
      <c r="B438" s="355">
        <f t="shared" si="181"/>
        <v>44.928249999999998</v>
      </c>
      <c r="C438" s="328">
        <f t="shared" si="162"/>
        <v>10.132429307643992</v>
      </c>
      <c r="D438" s="329">
        <f t="shared" si="163"/>
        <v>1.4719423884300611</v>
      </c>
      <c r="E438" s="329">
        <f t="shared" si="164"/>
        <v>1.0001735477281322</v>
      </c>
      <c r="F438" s="330">
        <f t="shared" si="165"/>
        <v>1.8629150964927493E-2</v>
      </c>
      <c r="G438" s="329">
        <f t="shared" si="166"/>
        <v>1</v>
      </c>
      <c r="H438" s="330">
        <f t="shared" si="167"/>
        <v>0</v>
      </c>
      <c r="I438" s="328">
        <f t="shared" si="168"/>
        <v>98193.982609606624</v>
      </c>
      <c r="J438" s="331">
        <f t="shared" si="169"/>
        <v>1.5707861428714682</v>
      </c>
      <c r="K438" s="339">
        <f t="shared" si="185"/>
        <v>12.68364655241292</v>
      </c>
      <c r="L438" s="340">
        <f t="shared" si="186"/>
        <v>1.491872737566402</v>
      </c>
      <c r="M438" s="328">
        <f t="shared" si="170"/>
        <v>1.0203365259549824</v>
      </c>
      <c r="N438" s="331">
        <f t="shared" si="171"/>
        <v>0.19998878778302323</v>
      </c>
      <c r="O438" s="332">
        <f t="shared" si="172"/>
        <v>1.0071528052184915</v>
      </c>
      <c r="P438" s="333">
        <f t="shared" si="173"/>
        <v>0.31275780561978678</v>
      </c>
      <c r="Q438" s="334">
        <f t="shared" si="174"/>
        <v>-1.9051285575347041</v>
      </c>
      <c r="R438" s="335">
        <f t="shared" si="175"/>
        <v>-117.16833578380752</v>
      </c>
      <c r="S438" s="337">
        <f t="shared" si="176"/>
        <v>62.831664216192479</v>
      </c>
      <c r="U438" s="310">
        <f t="shared" si="182"/>
        <v>44928.25</v>
      </c>
      <c r="V438" s="310">
        <f t="shared" si="183"/>
        <v>2018547648.0625</v>
      </c>
      <c r="X438" s="336">
        <f t="shared" si="177"/>
        <v>2.6874967997655661</v>
      </c>
      <c r="Y438" s="337">
        <f t="shared" si="178"/>
        <v>-15.979918579150006</v>
      </c>
      <c r="AA438" s="336">
        <f t="shared" si="179"/>
        <v>-4.5926253573002711</v>
      </c>
      <c r="AB438" s="337">
        <f t="shared" si="180"/>
        <v>-101.18841720465753</v>
      </c>
      <c r="AD438">
        <f t="shared" si="184"/>
        <v>0</v>
      </c>
      <c r="AE438">
        <f t="shared" si="187"/>
        <v>0</v>
      </c>
    </row>
    <row r="439" spans="1:31" x14ac:dyDescent="0.25">
      <c r="A439" s="338">
        <v>45188.5</v>
      </c>
      <c r="B439" s="355">
        <f t="shared" si="181"/>
        <v>45.188499999999998</v>
      </c>
      <c r="C439" s="328">
        <f t="shared" si="162"/>
        <v>10.190552050372986</v>
      </c>
      <c r="D439" s="329">
        <f t="shared" si="163"/>
        <v>1.4725080388282361</v>
      </c>
      <c r="E439" s="329">
        <f t="shared" si="164"/>
        <v>1.000175563948827</v>
      </c>
      <c r="F439" s="330">
        <f t="shared" si="165"/>
        <v>1.8737036430079512E-2</v>
      </c>
      <c r="G439" s="329">
        <f t="shared" si="166"/>
        <v>1</v>
      </c>
      <c r="H439" s="330">
        <f t="shared" si="167"/>
        <v>0</v>
      </c>
      <c r="I439" s="328">
        <f t="shared" si="168"/>
        <v>98762.778055044779</v>
      </c>
      <c r="J439" s="331">
        <f t="shared" si="169"/>
        <v>1.5707862015228082</v>
      </c>
      <c r="K439" s="339">
        <f t="shared" si="185"/>
        <v>12.7566620646624</v>
      </c>
      <c r="L439" s="340">
        <f t="shared" si="186"/>
        <v>1.4923254059863249</v>
      </c>
      <c r="M439" s="328">
        <f t="shared" si="170"/>
        <v>1.0205704282747063</v>
      </c>
      <c r="N439" s="331">
        <f t="shared" si="171"/>
        <v>0.20111633608157509</v>
      </c>
      <c r="O439" s="332">
        <f t="shared" si="172"/>
        <v>1.0072457613602259</v>
      </c>
      <c r="P439" s="333">
        <f t="shared" si="173"/>
        <v>0.31460148913544911</v>
      </c>
      <c r="Q439" s="334">
        <f t="shared" si="174"/>
        <v>-1.9578962593950613</v>
      </c>
      <c r="R439" s="335">
        <f t="shared" si="175"/>
        <v>-117.33887019607698</v>
      </c>
      <c r="S439" s="337">
        <f t="shared" si="176"/>
        <v>62.661129803923018</v>
      </c>
      <c r="U439" s="310">
        <f t="shared" si="182"/>
        <v>45188.5</v>
      </c>
      <c r="V439" s="310">
        <f t="shared" si="183"/>
        <v>2042000532.25</v>
      </c>
      <c r="X439" s="336">
        <f t="shared" si="177"/>
        <v>2.6851958069951021</v>
      </c>
      <c r="Y439" s="337">
        <f t="shared" si="178"/>
        <v>-16.018589708392177</v>
      </c>
      <c r="AA439" s="336">
        <f t="shared" si="179"/>
        <v>-4.6430920663901638</v>
      </c>
      <c r="AB439" s="337">
        <f t="shared" si="180"/>
        <v>-101.3202804876848</v>
      </c>
      <c r="AD439">
        <f t="shared" si="184"/>
        <v>0</v>
      </c>
      <c r="AE439">
        <f t="shared" si="187"/>
        <v>0</v>
      </c>
    </row>
    <row r="440" spans="1:31" x14ac:dyDescent="0.25">
      <c r="A440" s="338">
        <v>45448.75</v>
      </c>
      <c r="B440" s="355">
        <f t="shared" si="181"/>
        <v>45.448749999999997</v>
      </c>
      <c r="C440" s="328">
        <f t="shared" si="162"/>
        <v>10.248678016691208</v>
      </c>
      <c r="D440" s="329">
        <f t="shared" si="163"/>
        <v>1.4730672731661791</v>
      </c>
      <c r="E440" s="329">
        <f t="shared" si="164"/>
        <v>1.0001775918107918</v>
      </c>
      <c r="F440" s="330">
        <f t="shared" si="165"/>
        <v>1.8844921459011257E-2</v>
      </c>
      <c r="G440" s="329">
        <f t="shared" si="166"/>
        <v>1</v>
      </c>
      <c r="H440" s="330">
        <f t="shared" si="167"/>
        <v>0</v>
      </c>
      <c r="I440" s="328">
        <f t="shared" si="168"/>
        <v>99331.573500483297</v>
      </c>
      <c r="J440" s="331">
        <f t="shared" si="169"/>
        <v>1.570786259502446</v>
      </c>
      <c r="K440" s="339">
        <f t="shared" si="185"/>
        <v>12.829680161109863</v>
      </c>
      <c r="L440" s="340">
        <f t="shared" si="186"/>
        <v>1.4927729219155768</v>
      </c>
      <c r="M440" s="328">
        <f t="shared" si="170"/>
        <v>1.020805627516546</v>
      </c>
      <c r="N440" s="331">
        <f t="shared" si="171"/>
        <v>0.202243366225762</v>
      </c>
      <c r="O440" s="332">
        <f t="shared" si="172"/>
        <v>1.0073394808640812</v>
      </c>
      <c r="P440" s="333">
        <f t="shared" si="173"/>
        <v>0.31644569072133866</v>
      </c>
      <c r="Q440" s="334">
        <f t="shared" si="174"/>
        <v>-2.0103958249911784</v>
      </c>
      <c r="R440" s="335">
        <f t="shared" si="175"/>
        <v>-117.50933219283051</v>
      </c>
      <c r="S440" s="337">
        <f t="shared" si="176"/>
        <v>62.490667807169487</v>
      </c>
      <c r="U440" s="310">
        <f t="shared" si="182"/>
        <v>45448.75</v>
      </c>
      <c r="V440" s="310">
        <f t="shared" si="183"/>
        <v>2065588876.5625</v>
      </c>
      <c r="X440" s="336">
        <f t="shared" si="177"/>
        <v>2.6828895247991791</v>
      </c>
      <c r="Y440" s="337">
        <f t="shared" si="178"/>
        <v>-16.057526327060142</v>
      </c>
      <c r="AA440" s="336">
        <f t="shared" si="179"/>
        <v>-4.6932853497903571</v>
      </c>
      <c r="AB440" s="337">
        <f t="shared" si="180"/>
        <v>-101.4518058657704</v>
      </c>
      <c r="AD440">
        <f t="shared" si="184"/>
        <v>0</v>
      </c>
      <c r="AE440">
        <f t="shared" si="187"/>
        <v>0</v>
      </c>
    </row>
    <row r="441" spans="1:31" x14ac:dyDescent="0.25">
      <c r="A441" s="338">
        <v>45709</v>
      </c>
      <c r="B441" s="355">
        <f t="shared" si="181"/>
        <v>45.709000000000003</v>
      </c>
      <c r="C441" s="328">
        <f t="shared" si="162"/>
        <v>10.306807152059683</v>
      </c>
      <c r="D441" s="329">
        <f t="shared" si="163"/>
        <v>1.4736201996484954</v>
      </c>
      <c r="E441" s="329">
        <f t="shared" si="164"/>
        <v>1.0001796313139559</v>
      </c>
      <c r="F441" s="330">
        <f t="shared" si="165"/>
        <v>1.8952806049214004E-2</v>
      </c>
      <c r="G441" s="329">
        <f t="shared" si="166"/>
        <v>1</v>
      </c>
      <c r="H441" s="330">
        <f t="shared" si="167"/>
        <v>0</v>
      </c>
      <c r="I441" s="328">
        <f t="shared" si="168"/>
        <v>99900.368945922135</v>
      </c>
      <c r="J441" s="331">
        <f t="shared" si="169"/>
        <v>1.5707863168218548</v>
      </c>
      <c r="K441" s="339">
        <f t="shared" si="185"/>
        <v>12.902700797882353</v>
      </c>
      <c r="L441" s="340">
        <f t="shared" si="186"/>
        <v>1.493215372652299</v>
      </c>
      <c r="M441" s="328">
        <f t="shared" si="170"/>
        <v>1.0210421227842554</v>
      </c>
      <c r="N441" s="331">
        <f t="shared" si="171"/>
        <v>0.20336987571155085</v>
      </c>
      <c r="O441" s="332">
        <f t="shared" si="172"/>
        <v>1.0074339675788557</v>
      </c>
      <c r="P441" s="333">
        <f t="shared" si="173"/>
        <v>0.31829041230149119</v>
      </c>
      <c r="Q441" s="334">
        <f t="shared" si="174"/>
        <v>-2.0626304939326747</v>
      </c>
      <c r="R441" s="335">
        <f t="shared" si="175"/>
        <v>-117.67972293949005</v>
      </c>
      <c r="S441" s="337">
        <f t="shared" si="176"/>
        <v>62.320277060509952</v>
      </c>
      <c r="U441" s="310">
        <f t="shared" si="182"/>
        <v>45709</v>
      </c>
      <c r="V441" s="310">
        <f t="shared" si="183"/>
        <v>2089312681</v>
      </c>
      <c r="X441" s="336">
        <f t="shared" si="177"/>
        <v>2.6805778486974523</v>
      </c>
      <c r="Y441" s="337">
        <f t="shared" si="178"/>
        <v>-16.096723290525652</v>
      </c>
      <c r="AA441" s="336">
        <f t="shared" si="179"/>
        <v>-4.7432083426301279</v>
      </c>
      <c r="AB441" s="337">
        <f t="shared" si="180"/>
        <v>-101.58299964896437</v>
      </c>
      <c r="AD441">
        <f t="shared" si="184"/>
        <v>0</v>
      </c>
      <c r="AE441">
        <f t="shared" si="187"/>
        <v>0</v>
      </c>
    </row>
    <row r="442" spans="1:31" x14ac:dyDescent="0.25">
      <c r="A442" s="338">
        <v>45975.25</v>
      </c>
      <c r="B442" s="355">
        <f t="shared" si="181"/>
        <v>45.975250000000003</v>
      </c>
      <c r="C442" s="328">
        <f t="shared" si="162"/>
        <v>10.366279664296595</v>
      </c>
      <c r="D442" s="329">
        <f t="shared" si="163"/>
        <v>1.4741794563508839</v>
      </c>
      <c r="E442" s="329">
        <f t="shared" si="164"/>
        <v>1.000181729884162</v>
      </c>
      <c r="F442" s="330">
        <f t="shared" si="165"/>
        <v>1.9063177435583001E-2</v>
      </c>
      <c r="G442" s="329">
        <f t="shared" si="166"/>
        <v>1</v>
      </c>
      <c r="H442" s="330">
        <f t="shared" si="167"/>
        <v>0</v>
      </c>
      <c r="I442" s="328">
        <f t="shared" si="168"/>
        <v>100482.2778310256</v>
      </c>
      <c r="J442" s="331">
        <f t="shared" si="169"/>
        <v>1.5707863747912041</v>
      </c>
      <c r="K442" s="339">
        <f t="shared" si="185"/>
        <v>12.977407491682055</v>
      </c>
      <c r="L442" s="340">
        <f t="shared" si="186"/>
        <v>1.493662871260742</v>
      </c>
      <c r="M442" s="328">
        <f t="shared" si="170"/>
        <v>1.021285410643159</v>
      </c>
      <c r="N442" s="331">
        <f t="shared" si="171"/>
        <v>0.20452181519210449</v>
      </c>
      <c r="O442" s="332">
        <f t="shared" si="172"/>
        <v>1.0075314306429428</v>
      </c>
      <c r="P442" s="333">
        <f t="shared" si="173"/>
        <v>0.32017820358785715</v>
      </c>
      <c r="Q442" s="334">
        <f t="shared" si="174"/>
        <v>-2.1157986141600804</v>
      </c>
      <c r="R442" s="335">
        <f t="shared" si="175"/>
        <v>-117.85396945738029</v>
      </c>
      <c r="S442" s="337">
        <f t="shared" si="176"/>
        <v>62.146030542619712</v>
      </c>
      <c r="U442" s="310">
        <f t="shared" si="182"/>
        <v>45975.25</v>
      </c>
      <c r="V442" s="310">
        <f t="shared" si="183"/>
        <v>2113723612.5625</v>
      </c>
      <c r="X442" s="336">
        <f t="shared" si="177"/>
        <v>2.6782071902279156</v>
      </c>
      <c r="Y442" s="337">
        <f t="shared" si="178"/>
        <v>-16.137088100859277</v>
      </c>
      <c r="AA442" s="336">
        <f t="shared" si="179"/>
        <v>-4.7940058043879956</v>
      </c>
      <c r="AB442" s="337">
        <f t="shared" si="180"/>
        <v>-101.716881356521</v>
      </c>
      <c r="AD442">
        <f t="shared" si="184"/>
        <v>0</v>
      </c>
      <c r="AE442">
        <f t="shared" si="187"/>
        <v>0</v>
      </c>
    </row>
    <row r="443" spans="1:31" x14ac:dyDescent="0.25">
      <c r="A443" s="338">
        <v>46241.5</v>
      </c>
      <c r="B443" s="355">
        <f t="shared" si="181"/>
        <v>46.241500000000002</v>
      </c>
      <c r="C443" s="328">
        <f t="shared" si="162"/>
        <v>10.425755381784112</v>
      </c>
      <c r="D443" s="329">
        <f t="shared" si="163"/>
        <v>1.4747323324507073</v>
      </c>
      <c r="E443" s="329">
        <f t="shared" si="164"/>
        <v>1.0001838406383736</v>
      </c>
      <c r="F443" s="330">
        <f t="shared" si="165"/>
        <v>1.9173548357448417E-2</v>
      </c>
      <c r="G443" s="329">
        <f t="shared" si="166"/>
        <v>1</v>
      </c>
      <c r="H443" s="330">
        <f t="shared" si="167"/>
        <v>0</v>
      </c>
      <c r="I443" s="328">
        <f t="shared" si="168"/>
        <v>101064.18671612941</v>
      </c>
      <c r="J443" s="331">
        <f t="shared" si="169"/>
        <v>1.5707864320929996</v>
      </c>
      <c r="K443" s="339">
        <f t="shared" si="185"/>
        <v>13.052116754522732</v>
      </c>
      <c r="L443" s="340">
        <f t="shared" si="186"/>
        <v>1.4941052470650973</v>
      </c>
      <c r="M443" s="328">
        <f t="shared" si="170"/>
        <v>1.0215300530650524</v>
      </c>
      <c r="N443" s="331">
        <f t="shared" si="171"/>
        <v>0.20567320445252418</v>
      </c>
      <c r="O443" s="332">
        <f t="shared" si="172"/>
        <v>1.0076297049154266</v>
      </c>
      <c r="P443" s="333">
        <f t="shared" si="173"/>
        <v>0.32206654313646554</v>
      </c>
      <c r="Q443" s="334">
        <f t="shared" si="174"/>
        <v>-2.1686961702280461</v>
      </c>
      <c r="R443" s="335">
        <f t="shared" si="175"/>
        <v>-118.02814378491341</v>
      </c>
      <c r="S443" s="337">
        <f t="shared" si="176"/>
        <v>61.971856215086589</v>
      </c>
      <c r="U443" s="310">
        <f t="shared" si="182"/>
        <v>46241.5</v>
      </c>
      <c r="V443" s="310">
        <f t="shared" si="183"/>
        <v>2138276322.25</v>
      </c>
      <c r="X443" s="336">
        <f t="shared" si="177"/>
        <v>2.6758306758719925</v>
      </c>
      <c r="Y443" s="337">
        <f t="shared" si="178"/>
        <v>-16.177714862707226</v>
      </c>
      <c r="AA443" s="336">
        <f t="shared" si="179"/>
        <v>-4.8445268461000373</v>
      </c>
      <c r="AB443" s="337">
        <f t="shared" si="180"/>
        <v>-101.85042892220618</v>
      </c>
      <c r="AD443">
        <f t="shared" si="184"/>
        <v>0</v>
      </c>
      <c r="AE443">
        <f t="shared" si="187"/>
        <v>0</v>
      </c>
    </row>
    <row r="444" spans="1:31" x14ac:dyDescent="0.25">
      <c r="A444" s="338">
        <v>46507.75</v>
      </c>
      <c r="B444" s="355">
        <f t="shared" si="181"/>
        <v>46.507750000000001</v>
      </c>
      <c r="C444" s="328">
        <f t="shared" si="162"/>
        <v>10.485234249978509</v>
      </c>
      <c r="D444" s="329">
        <f t="shared" si="163"/>
        <v>1.4752789361914775</v>
      </c>
      <c r="E444" s="329">
        <f t="shared" si="164"/>
        <v>1.0001859635765138</v>
      </c>
      <c r="F444" s="330">
        <f t="shared" si="165"/>
        <v>1.9283918812124188E-2</v>
      </c>
      <c r="G444" s="329">
        <f t="shared" si="166"/>
        <v>1</v>
      </c>
      <c r="H444" s="330">
        <f t="shared" si="167"/>
        <v>0</v>
      </c>
      <c r="I444" s="328">
        <f t="shared" si="168"/>
        <v>101646.09560123352</v>
      </c>
      <c r="J444" s="331">
        <f t="shared" si="169"/>
        <v>1.5707864887387066</v>
      </c>
      <c r="K444" s="339">
        <f t="shared" si="185"/>
        <v>13.126828542540524</v>
      </c>
      <c r="L444" s="340">
        <f t="shared" si="186"/>
        <v>1.4945425873605644</v>
      </c>
      <c r="M444" s="328">
        <f t="shared" si="170"/>
        <v>1.0217760490769721</v>
      </c>
      <c r="N444" s="331">
        <f t="shared" si="171"/>
        <v>0.20682404083633901</v>
      </c>
      <c r="O444" s="332">
        <f t="shared" si="172"/>
        <v>1.0077287945827786</v>
      </c>
      <c r="P444" s="333">
        <f t="shared" si="173"/>
        <v>0.3239554329473941</v>
      </c>
      <c r="Q444" s="334">
        <f t="shared" si="174"/>
        <v>-2.2213264591807964</v>
      </c>
      <c r="R444" s="335">
        <f t="shared" si="175"/>
        <v>-118.20224708554149</v>
      </c>
      <c r="S444" s="337">
        <f t="shared" si="176"/>
        <v>61.797752914458513</v>
      </c>
      <c r="U444" s="310">
        <f t="shared" si="182"/>
        <v>46507.75</v>
      </c>
      <c r="V444" s="310">
        <f t="shared" si="183"/>
        <v>2162970810.0625</v>
      </c>
      <c r="X444" s="336">
        <f t="shared" si="177"/>
        <v>2.6734482044887824</v>
      </c>
      <c r="Y444" s="337">
        <f t="shared" si="178"/>
        <v>-16.218598422875296</v>
      </c>
      <c r="AA444" s="336">
        <f t="shared" si="179"/>
        <v>-4.8947746636695815</v>
      </c>
      <c r="AB444" s="337">
        <f t="shared" si="180"/>
        <v>-101.98364866266623</v>
      </c>
      <c r="AD444">
        <f t="shared" si="184"/>
        <v>0</v>
      </c>
      <c r="AE444">
        <f t="shared" si="187"/>
        <v>0</v>
      </c>
    </row>
    <row r="445" spans="1:31" x14ac:dyDescent="0.25">
      <c r="A445" s="338">
        <v>46774</v>
      </c>
      <c r="B445" s="355">
        <f t="shared" si="181"/>
        <v>46.774000000000001</v>
      </c>
      <c r="C445" s="328">
        <f t="shared" si="162"/>
        <v>10.544716215563851</v>
      </c>
      <c r="D445" s="329">
        <f t="shared" si="163"/>
        <v>1.475819373389518</v>
      </c>
      <c r="E445" s="329">
        <f t="shared" si="164"/>
        <v>1.0001880986985046</v>
      </c>
      <c r="F445" s="330">
        <f t="shared" si="165"/>
        <v>1.9394288796924303E-2</v>
      </c>
      <c r="G445" s="329">
        <f t="shared" si="166"/>
        <v>1</v>
      </c>
      <c r="H445" s="330">
        <f t="shared" si="167"/>
        <v>0</v>
      </c>
      <c r="I445" s="328">
        <f t="shared" si="168"/>
        <v>102228.00448633797</v>
      </c>
      <c r="J445" s="331">
        <f t="shared" si="169"/>
        <v>1.5707865447395288</v>
      </c>
      <c r="K445" s="339">
        <f t="shared" si="185"/>
        <v>13.201542812863053</v>
      </c>
      <c r="L445" s="340">
        <f t="shared" si="186"/>
        <v>1.4949749774739562</v>
      </c>
      <c r="M445" s="328">
        <f t="shared" si="170"/>
        <v>1.0220233977015105</v>
      </c>
      <c r="N445" s="331">
        <f t="shared" si="171"/>
        <v>0.20797432169548666</v>
      </c>
      <c r="O445" s="332">
        <f t="shared" si="172"/>
        <v>1.0078287038533942</v>
      </c>
      <c r="P445" s="333">
        <f t="shared" si="173"/>
        <v>0.32584487500021508</v>
      </c>
      <c r="Q445" s="334">
        <f t="shared" si="174"/>
        <v>-2.2736927227046042</v>
      </c>
      <c r="R445" s="335">
        <f t="shared" si="175"/>
        <v>-118.37628049572126</v>
      </c>
      <c r="S445" s="337">
        <f t="shared" si="176"/>
        <v>61.623719504278739</v>
      </c>
      <c r="U445" s="310">
        <f t="shared" si="182"/>
        <v>46774</v>
      </c>
      <c r="V445" s="310">
        <f t="shared" si="183"/>
        <v>2187807076</v>
      </c>
      <c r="X445" s="336">
        <f t="shared" si="177"/>
        <v>2.6710596783191427</v>
      </c>
      <c r="Y445" s="337">
        <f t="shared" si="178"/>
        <v>-16.259733741416362</v>
      </c>
      <c r="AA445" s="336">
        <f t="shared" si="179"/>
        <v>-4.9447524010237478</v>
      </c>
      <c r="AB445" s="337">
        <f t="shared" si="180"/>
        <v>-102.11654675430486</v>
      </c>
      <c r="AD445">
        <f t="shared" si="184"/>
        <v>0</v>
      </c>
      <c r="AE445">
        <f t="shared" si="187"/>
        <v>0</v>
      </c>
    </row>
    <row r="446" spans="1:31" x14ac:dyDescent="0.25">
      <c r="A446" s="338">
        <v>47046.25</v>
      </c>
      <c r="B446" s="355">
        <f t="shared" si="181"/>
        <v>47.046250000000001</v>
      </c>
      <c r="C446" s="328">
        <f t="shared" si="162"/>
        <v>10.605541768392671</v>
      </c>
      <c r="D446" s="329">
        <f t="shared" si="163"/>
        <v>1.4763657206689935</v>
      </c>
      <c r="E446" s="329">
        <f t="shared" si="164"/>
        <v>1.0001902945346322</v>
      </c>
      <c r="F446" s="330">
        <f t="shared" si="165"/>
        <v>1.9507145503973141E-2</v>
      </c>
      <c r="G446" s="329">
        <f t="shared" si="166"/>
        <v>1</v>
      </c>
      <c r="H446" s="330">
        <f t="shared" si="167"/>
        <v>0</v>
      </c>
      <c r="I446" s="328">
        <f t="shared" si="168"/>
        <v>102823.02681110708</v>
      </c>
      <c r="J446" s="331">
        <f t="shared" si="169"/>
        <v>1.570786601346901</v>
      </c>
      <c r="K446" s="339">
        <f t="shared" si="185"/>
        <v>13.277943308239967</v>
      </c>
      <c r="L446" s="340">
        <f t="shared" si="186"/>
        <v>1.4954120797120118</v>
      </c>
      <c r="M446" s="328">
        <f t="shared" si="170"/>
        <v>1.0222777180348244</v>
      </c>
      <c r="N446" s="331">
        <f t="shared" si="171"/>
        <v>0.20914994718281182</v>
      </c>
      <c r="O446" s="332">
        <f t="shared" si="172"/>
        <v>1.0079317165241362</v>
      </c>
      <c r="P446" s="333">
        <f t="shared" si="173"/>
        <v>0.32777746911908062</v>
      </c>
      <c r="Q446" s="334">
        <f t="shared" si="174"/>
        <v>-2.3269693743405591</v>
      </c>
      <c r="R446" s="335">
        <f t="shared" si="175"/>
        <v>-118.55416467132501</v>
      </c>
      <c r="S446" s="337">
        <f t="shared" si="176"/>
        <v>61.445835328674988</v>
      </c>
      <c r="U446" s="310">
        <f t="shared" si="182"/>
        <v>47046.25</v>
      </c>
      <c r="V446" s="310">
        <f t="shared" si="183"/>
        <v>2213349639.0625</v>
      </c>
      <c r="X446" s="336">
        <f t="shared" si="177"/>
        <v>2.668610966792444</v>
      </c>
      <c r="Y446" s="337">
        <f t="shared" si="178"/>
        <v>-16.302051250083665</v>
      </c>
      <c r="AA446" s="336">
        <f t="shared" si="179"/>
        <v>-4.9955803411330031</v>
      </c>
      <c r="AB446" s="337">
        <f t="shared" si="180"/>
        <v>-102.25211342124135</v>
      </c>
      <c r="AD446">
        <f t="shared" si="184"/>
        <v>0</v>
      </c>
      <c r="AE446">
        <f t="shared" si="187"/>
        <v>0</v>
      </c>
    </row>
    <row r="447" spans="1:31" x14ac:dyDescent="0.25">
      <c r="A447" s="338">
        <v>47318.5</v>
      </c>
      <c r="B447" s="355">
        <f t="shared" si="181"/>
        <v>47.3185</v>
      </c>
      <c r="C447" s="328">
        <f t="shared" si="162"/>
        <v>10.66637045082064</v>
      </c>
      <c r="D447" s="329">
        <f t="shared" si="163"/>
        <v>1.4769058366378955</v>
      </c>
      <c r="E447" s="329">
        <f t="shared" si="164"/>
        <v>1.0001925031097638</v>
      </c>
      <c r="F447" s="330">
        <f t="shared" si="165"/>
        <v>1.96200017140503E-2</v>
      </c>
      <c r="G447" s="329">
        <f t="shared" si="166"/>
        <v>1</v>
      </c>
      <c r="H447" s="330">
        <f t="shared" si="167"/>
        <v>0</v>
      </c>
      <c r="I447" s="328">
        <f t="shared" si="168"/>
        <v>103418.0491358765</v>
      </c>
      <c r="J447" s="331">
        <f t="shared" si="169"/>
        <v>1.5707866573028846</v>
      </c>
      <c r="K447" s="339">
        <f t="shared" si="185"/>
        <v>13.354346311451874</v>
      </c>
      <c r="L447" s="340">
        <f t="shared" si="186"/>
        <v>1.4958441805255245</v>
      </c>
      <c r="M447" s="328">
        <f t="shared" si="170"/>
        <v>1.022533450549401</v>
      </c>
      <c r="N447" s="331">
        <f t="shared" si="171"/>
        <v>0.21032498625274049</v>
      </c>
      <c r="O447" s="332">
        <f t="shared" si="172"/>
        <v>1.0080355951237641</v>
      </c>
      <c r="P447" s="333">
        <f t="shared" si="173"/>
        <v>0.32971064477017714</v>
      </c>
      <c r="Q447" s="334">
        <f t="shared" si="174"/>
        <v>-2.3799766501316579</v>
      </c>
      <c r="R447" s="335">
        <f t="shared" si="175"/>
        <v>-118.73197809090307</v>
      </c>
      <c r="S447" s="337">
        <f t="shared" si="176"/>
        <v>61.26802190909693</v>
      </c>
      <c r="U447" s="310">
        <f t="shared" si="182"/>
        <v>47318.5</v>
      </c>
      <c r="V447" s="310">
        <f t="shared" si="183"/>
        <v>2239040442.25</v>
      </c>
      <c r="X447" s="336">
        <f t="shared" si="177"/>
        <v>2.6661557281248611</v>
      </c>
      <c r="Y447" s="337">
        <f t="shared" si="178"/>
        <v>-16.344621682705462</v>
      </c>
      <c r="AA447" s="336">
        <f t="shared" si="179"/>
        <v>-5.0461323782565195</v>
      </c>
      <c r="AB447" s="337">
        <f t="shared" si="180"/>
        <v>-102.38735640819762</v>
      </c>
      <c r="AD447">
        <f t="shared" si="184"/>
        <v>0</v>
      </c>
      <c r="AE447">
        <f t="shared" si="187"/>
        <v>0</v>
      </c>
    </row>
    <row r="448" spans="1:31" x14ac:dyDescent="0.25">
      <c r="A448" s="338">
        <v>47590.75</v>
      </c>
      <c r="B448" s="355">
        <f t="shared" si="181"/>
        <v>47.59075</v>
      </c>
      <c r="C448" s="328">
        <f t="shared" si="162"/>
        <v>10.727202209608507</v>
      </c>
      <c r="D448" s="329">
        <f t="shared" si="163"/>
        <v>1.4774398269878264</v>
      </c>
      <c r="E448" s="329">
        <f t="shared" si="164"/>
        <v>1.000194724423815</v>
      </c>
      <c r="F448" s="330">
        <f t="shared" si="165"/>
        <v>1.9732857424284277E-2</v>
      </c>
      <c r="G448" s="329">
        <f t="shared" si="166"/>
        <v>1</v>
      </c>
      <c r="H448" s="330">
        <f t="shared" si="167"/>
        <v>0</v>
      </c>
      <c r="I448" s="328">
        <f t="shared" si="168"/>
        <v>104013.07146064626</v>
      </c>
      <c r="J448" s="331">
        <f t="shared" si="169"/>
        <v>1.5707867126186592</v>
      </c>
      <c r="K448" s="339">
        <f t="shared" si="185"/>
        <v>13.430751779700101</v>
      </c>
      <c r="L448" s="340">
        <f t="shared" si="186"/>
        <v>1.4962713651087358</v>
      </c>
      <c r="M448" s="328">
        <f t="shared" si="170"/>
        <v>1.0227905941859599</v>
      </c>
      <c r="N448" s="331">
        <f t="shared" si="171"/>
        <v>0.21149943610157521</v>
      </c>
      <c r="O448" s="332">
        <f t="shared" si="172"/>
        <v>1.008140344222459</v>
      </c>
      <c r="P448" s="333">
        <f t="shared" si="173"/>
        <v>0.3316444040026596</v>
      </c>
      <c r="Q448" s="334">
        <f t="shared" si="174"/>
        <v>-2.4327178443017274</v>
      </c>
      <c r="R448" s="335">
        <f t="shared" si="175"/>
        <v>-118.90972188644061</v>
      </c>
      <c r="S448" s="337">
        <f t="shared" si="176"/>
        <v>61.090278113559393</v>
      </c>
      <c r="U448" s="310">
        <f t="shared" si="182"/>
        <v>47590.75</v>
      </c>
      <c r="V448" s="310">
        <f t="shared" si="183"/>
        <v>2264879485.5625</v>
      </c>
      <c r="X448" s="336">
        <f t="shared" si="177"/>
        <v>2.6636938680536373</v>
      </c>
      <c r="Y448" s="337">
        <f t="shared" si="178"/>
        <v>-16.387439998011754</v>
      </c>
      <c r="AA448" s="336">
        <f t="shared" si="179"/>
        <v>-5.0964117123553621</v>
      </c>
      <c r="AB448" s="337">
        <f t="shared" si="180"/>
        <v>-102.52228188842886</v>
      </c>
      <c r="AD448">
        <f t="shared" si="184"/>
        <v>0</v>
      </c>
      <c r="AE448">
        <f t="shared" si="187"/>
        <v>0</v>
      </c>
    </row>
    <row r="449" spans="1:31" x14ac:dyDescent="0.25">
      <c r="A449" s="338">
        <v>47863</v>
      </c>
      <c r="B449" s="355">
        <f t="shared" si="181"/>
        <v>47.863</v>
      </c>
      <c r="C449" s="328">
        <f t="shared" si="162"/>
        <v>10.788036992715186</v>
      </c>
      <c r="D449" s="329">
        <f t="shared" si="163"/>
        <v>1.4779677950405221</v>
      </c>
      <c r="E449" s="329">
        <f t="shared" si="164"/>
        <v>1.000196958476701</v>
      </c>
      <c r="F449" s="330">
        <f t="shared" si="165"/>
        <v>1.9845712631803666E-2</v>
      </c>
      <c r="G449" s="329">
        <f t="shared" si="166"/>
        <v>1</v>
      </c>
      <c r="H449" s="330">
        <f t="shared" si="167"/>
        <v>0</v>
      </c>
      <c r="I449" s="328">
        <f t="shared" si="168"/>
        <v>104608.09378541633</v>
      </c>
      <c r="J449" s="331">
        <f t="shared" si="169"/>
        <v>1.5707867673051494</v>
      </c>
      <c r="K449" s="339">
        <f t="shared" si="185"/>
        <v>13.507159671153001</v>
      </c>
      <c r="L449" s="340">
        <f t="shared" si="186"/>
        <v>1.4966937167354362</v>
      </c>
      <c r="M449" s="328">
        <f t="shared" si="170"/>
        <v>1.0230491478804438</v>
      </c>
      <c r="N449" s="331">
        <f t="shared" si="171"/>
        <v>0.21267329393493148</v>
      </c>
      <c r="O449" s="332">
        <f t="shared" si="172"/>
        <v>1.0082459684141678</v>
      </c>
      <c r="P449" s="333">
        <f t="shared" si="173"/>
        <v>0.3335787488427428</v>
      </c>
      <c r="Q449" s="334">
        <f t="shared" si="174"/>
        <v>-2.4851961958088631</v>
      </c>
      <c r="R449" s="335">
        <f t="shared" si="175"/>
        <v>-119.08739716337796</v>
      </c>
      <c r="S449" s="337">
        <f t="shared" si="176"/>
        <v>60.912602836622042</v>
      </c>
      <c r="U449" s="310">
        <f t="shared" si="182"/>
        <v>47863</v>
      </c>
      <c r="V449" s="310">
        <f t="shared" si="183"/>
        <v>2290866769</v>
      </c>
      <c r="X449" s="336">
        <f t="shared" si="177"/>
        <v>2.6612252955467435</v>
      </c>
      <c r="Y449" s="337">
        <f t="shared" si="178"/>
        <v>-16.430501265285312</v>
      </c>
      <c r="AA449" s="336">
        <f t="shared" si="179"/>
        <v>-5.146421491355607</v>
      </c>
      <c r="AB449" s="337">
        <f t="shared" si="180"/>
        <v>-102.65689589809264</v>
      </c>
      <c r="AD449">
        <f t="shared" si="184"/>
        <v>0</v>
      </c>
      <c r="AE449">
        <f t="shared" si="187"/>
        <v>0</v>
      </c>
    </row>
    <row r="450" spans="1:31" x14ac:dyDescent="0.25">
      <c r="A450" s="338">
        <v>48141.75</v>
      </c>
      <c r="B450" s="355">
        <f t="shared" si="181"/>
        <v>48.141750000000002</v>
      </c>
      <c r="C450" s="328">
        <f t="shared" si="162"/>
        <v>10.850327293615829</v>
      </c>
      <c r="D450" s="329">
        <f t="shared" si="163"/>
        <v>1.4785022341860212</v>
      </c>
      <c r="E450" s="329">
        <f t="shared" si="164"/>
        <v>1.0001992590664441</v>
      </c>
      <c r="F450" s="330">
        <f t="shared" si="165"/>
        <v>1.9961261746496498E-2</v>
      </c>
      <c r="G450" s="329">
        <f t="shared" si="166"/>
        <v>1</v>
      </c>
      <c r="H450" s="330">
        <f t="shared" si="167"/>
        <v>0</v>
      </c>
      <c r="I450" s="328">
        <f t="shared" si="168"/>
        <v>105217.32233648976</v>
      </c>
      <c r="J450" s="331">
        <f t="shared" si="169"/>
        <v>1.5707868226564352</v>
      </c>
      <c r="K450" s="339">
        <f t="shared" si="185"/>
        <v>13.585394277762209</v>
      </c>
      <c r="L450" s="340">
        <f t="shared" si="186"/>
        <v>1.4971212296461978</v>
      </c>
      <c r="M450" s="328">
        <f t="shared" si="170"/>
        <v>1.0233153344155714</v>
      </c>
      <c r="N450" s="331">
        <f t="shared" si="171"/>
        <v>0.21387456146445252</v>
      </c>
      <c r="O450" s="332">
        <f t="shared" si="172"/>
        <v>1.0083550258999936</v>
      </c>
      <c r="P450" s="333">
        <f t="shared" si="173"/>
        <v>0.33555988522641716</v>
      </c>
      <c r="Q450" s="334">
        <f t="shared" si="174"/>
        <v>-2.5386584691370691</v>
      </c>
      <c r="R450" s="335">
        <f t="shared" si="175"/>
        <v>-119.26924459328411</v>
      </c>
      <c r="S450" s="337">
        <f t="shared" si="176"/>
        <v>60.730755406715886</v>
      </c>
      <c r="U450" s="310">
        <f t="shared" si="182"/>
        <v>48141.75</v>
      </c>
      <c r="V450" s="310">
        <f t="shared" si="183"/>
        <v>2317628093.0625</v>
      </c>
      <c r="X450" s="336">
        <f t="shared" si="177"/>
        <v>2.6586907390617407</v>
      </c>
      <c r="Y450" s="337">
        <f t="shared" si="178"/>
        <v>-16.47483731076472</v>
      </c>
      <c r="AA450" s="336">
        <f t="shared" si="179"/>
        <v>-5.1973492081988093</v>
      </c>
      <c r="AB450" s="337">
        <f t="shared" si="180"/>
        <v>-102.79440728251943</v>
      </c>
      <c r="AD450">
        <f t="shared" si="184"/>
        <v>0</v>
      </c>
      <c r="AE450">
        <f t="shared" si="187"/>
        <v>0</v>
      </c>
    </row>
    <row r="451" spans="1:31" x14ac:dyDescent="0.25">
      <c r="A451" s="338">
        <v>48420.5</v>
      </c>
      <c r="B451" s="355">
        <f t="shared" si="181"/>
        <v>48.420499999999997</v>
      </c>
      <c r="C451" s="328">
        <f t="shared" si="162"/>
        <v>10.912620658262627</v>
      </c>
      <c r="D451" s="329">
        <f t="shared" si="163"/>
        <v>1.4790305719195798</v>
      </c>
      <c r="E451" s="329">
        <f t="shared" si="164"/>
        <v>1.0002015730103839</v>
      </c>
      <c r="F451" s="330">
        <f t="shared" si="165"/>
        <v>2.0076810328091499E-2</v>
      </c>
      <c r="G451" s="329">
        <f t="shared" si="166"/>
        <v>1</v>
      </c>
      <c r="H451" s="330">
        <f t="shared" si="167"/>
        <v>0</v>
      </c>
      <c r="I451" s="328">
        <f t="shared" si="168"/>
        <v>105826.55088756351</v>
      </c>
      <c r="J451" s="331">
        <f t="shared" si="169"/>
        <v>1.5707868773704221</v>
      </c>
      <c r="K451" s="339">
        <f t="shared" si="185"/>
        <v>13.663631338903127</v>
      </c>
      <c r="L451" s="340">
        <f t="shared" si="186"/>
        <v>1.4975438468114231</v>
      </c>
      <c r="M451" s="328">
        <f t="shared" si="170"/>
        <v>1.0235829968701431</v>
      </c>
      <c r="N451" s="331">
        <f t="shared" si="171"/>
        <v>0.21507520247344011</v>
      </c>
      <c r="O451" s="332">
        <f t="shared" si="172"/>
        <v>1.0084650105864976</v>
      </c>
      <c r="P451" s="333">
        <f t="shared" si="173"/>
        <v>0.33754163973910095</v>
      </c>
      <c r="Q451" s="334">
        <f t="shared" si="174"/>
        <v>-2.5918518989608215</v>
      </c>
      <c r="R451" s="335">
        <f t="shared" si="175"/>
        <v>-119.45102245682459</v>
      </c>
      <c r="S451" s="337">
        <f t="shared" si="176"/>
        <v>60.548977543175411</v>
      </c>
      <c r="U451" s="310">
        <f t="shared" si="182"/>
        <v>48420.5</v>
      </c>
      <c r="V451" s="310">
        <f t="shared" si="183"/>
        <v>2344544820.25</v>
      </c>
      <c r="X451" s="336">
        <f t="shared" si="177"/>
        <v>2.6561489625763017</v>
      </c>
      <c r="Y451" s="337">
        <f t="shared" si="178"/>
        <v>-16.519417928304311</v>
      </c>
      <c r="AA451" s="336">
        <f t="shared" si="179"/>
        <v>-5.248000861537121</v>
      </c>
      <c r="AB451" s="337">
        <f t="shared" si="180"/>
        <v>-102.93160452852027</v>
      </c>
      <c r="AD451">
        <f t="shared" si="184"/>
        <v>0</v>
      </c>
      <c r="AE451">
        <f t="shared" si="187"/>
        <v>0</v>
      </c>
    </row>
    <row r="452" spans="1:31" x14ac:dyDescent="0.25">
      <c r="A452" s="338">
        <v>48699.25</v>
      </c>
      <c r="B452" s="355">
        <f t="shared" si="181"/>
        <v>48.699249999999999</v>
      </c>
      <c r="C452" s="328">
        <f t="shared" si="162"/>
        <v>10.974917034486335</v>
      </c>
      <c r="D452" s="329">
        <f t="shared" si="163"/>
        <v>1.4795529118431201</v>
      </c>
      <c r="E452" s="329">
        <f t="shared" si="164"/>
        <v>1.000203900308428</v>
      </c>
      <c r="F452" s="330">
        <f t="shared" si="165"/>
        <v>2.01923583735069E-2</v>
      </c>
      <c r="G452" s="329">
        <f t="shared" si="166"/>
        <v>1</v>
      </c>
      <c r="H452" s="330">
        <f t="shared" si="167"/>
        <v>0</v>
      </c>
      <c r="I452" s="328">
        <f t="shared" si="168"/>
        <v>106435.77943863758</v>
      </c>
      <c r="J452" s="331">
        <f t="shared" si="169"/>
        <v>1.5707869314580531</v>
      </c>
      <c r="K452" s="339">
        <f t="shared" si="185"/>
        <v>13.741870812652348</v>
      </c>
      <c r="L452" s="340">
        <f t="shared" si="186"/>
        <v>1.4979616517007674</v>
      </c>
      <c r="M452" s="328">
        <f t="shared" si="170"/>
        <v>1.0238521340866238</v>
      </c>
      <c r="N452" s="331">
        <f t="shared" si="171"/>
        <v>0.21627521399308383</v>
      </c>
      <c r="O452" s="332">
        <f t="shared" si="172"/>
        <v>1.0085759274816852</v>
      </c>
      <c r="P452" s="333">
        <f t="shared" si="173"/>
        <v>0.33952401448001152</v>
      </c>
      <c r="Q452" s="334">
        <f t="shared" si="174"/>
        <v>-2.6447797897199554</v>
      </c>
      <c r="R452" s="335">
        <f t="shared" si="175"/>
        <v>-119.63273185847275</v>
      </c>
      <c r="S452" s="337">
        <f t="shared" si="176"/>
        <v>60.367268141527248</v>
      </c>
      <c r="U452" s="310">
        <f t="shared" si="182"/>
        <v>48699.25</v>
      </c>
      <c r="V452" s="310">
        <f t="shared" si="183"/>
        <v>2371616950.5625</v>
      </c>
      <c r="X452" s="336">
        <f t="shared" si="177"/>
        <v>2.6535998782249721</v>
      </c>
      <c r="Y452" s="337">
        <f t="shared" si="178"/>
        <v>-16.564238165971812</v>
      </c>
      <c r="AA452" s="336">
        <f t="shared" si="179"/>
        <v>-5.2983796679449258</v>
      </c>
      <c r="AB452" s="337">
        <f t="shared" si="180"/>
        <v>-103.06849369250098</v>
      </c>
      <c r="AD452">
        <f t="shared" si="184"/>
        <v>0</v>
      </c>
      <c r="AE452">
        <f t="shared" si="187"/>
        <v>0</v>
      </c>
    </row>
    <row r="453" spans="1:31" x14ac:dyDescent="0.25">
      <c r="A453" s="338">
        <v>48978</v>
      </c>
      <c r="B453" s="355">
        <f t="shared" si="181"/>
        <v>48.978000000000002</v>
      </c>
      <c r="C453" s="328">
        <f t="shared" si="162"/>
        <v>11.037216371293026</v>
      </c>
      <c r="D453" s="329">
        <f t="shared" si="163"/>
        <v>1.4800693552327113</v>
      </c>
      <c r="E453" s="329">
        <f t="shared" si="164"/>
        <v>1.0002062409604828</v>
      </c>
      <c r="F453" s="330">
        <f t="shared" si="165"/>
        <v>2.0307905879661005E-2</v>
      </c>
      <c r="G453" s="329">
        <f t="shared" si="166"/>
        <v>1</v>
      </c>
      <c r="H453" s="330">
        <f t="shared" si="167"/>
        <v>0</v>
      </c>
      <c r="I453" s="328">
        <f t="shared" si="168"/>
        <v>107045.00798971196</v>
      </c>
      <c r="J453" s="331">
        <f t="shared" si="169"/>
        <v>1.5707869849300231</v>
      </c>
      <c r="K453" s="339">
        <f t="shared" si="185"/>
        <v>13.820112658034548</v>
      </c>
      <c r="L453" s="340">
        <f t="shared" si="186"/>
        <v>1.4983747259004581</v>
      </c>
      <c r="M453" s="328">
        <f t="shared" si="170"/>
        <v>1.0241227449023209</v>
      </c>
      <c r="N453" s="331">
        <f t="shared" si="171"/>
        <v>0.21747459306493724</v>
      </c>
      <c r="O453" s="332">
        <f t="shared" si="172"/>
        <v>1.0086877816194453</v>
      </c>
      <c r="P453" s="333">
        <f t="shared" si="173"/>
        <v>0.34150701152256996</v>
      </c>
      <c r="Q453" s="334">
        <f t="shared" si="174"/>
        <v>-2.6974453903941487</v>
      </c>
      <c r="R453" s="335">
        <f t="shared" si="175"/>
        <v>-119.8143738764547</v>
      </c>
      <c r="S453" s="337">
        <f t="shared" si="176"/>
        <v>60.185626123545305</v>
      </c>
      <c r="U453" s="310">
        <f t="shared" si="182"/>
        <v>48978</v>
      </c>
      <c r="V453" s="310">
        <f t="shared" si="183"/>
        <v>2398844484</v>
      </c>
      <c r="X453" s="336">
        <f t="shared" si="177"/>
        <v>2.6510434012456328</v>
      </c>
      <c r="Y453" s="337">
        <f t="shared" si="178"/>
        <v>-16.609293180326997</v>
      </c>
      <c r="AA453" s="336">
        <f t="shared" si="179"/>
        <v>-5.3484887916397783</v>
      </c>
      <c r="AB453" s="337">
        <f t="shared" si="180"/>
        <v>-103.20508069612769</v>
      </c>
      <c r="AD453">
        <f t="shared" si="184"/>
        <v>0</v>
      </c>
      <c r="AE453">
        <f t="shared" si="187"/>
        <v>0</v>
      </c>
    </row>
    <row r="454" spans="1:31" x14ac:dyDescent="0.25">
      <c r="A454" s="338">
        <v>49263.25</v>
      </c>
      <c r="B454" s="355">
        <f t="shared" si="181"/>
        <v>49.263249999999999</v>
      </c>
      <c r="C454" s="328">
        <f t="shared" si="162"/>
        <v>11.100971441000006</v>
      </c>
      <c r="D454" s="329">
        <f t="shared" si="163"/>
        <v>1.4805918401533569</v>
      </c>
      <c r="E454" s="329">
        <f t="shared" si="164"/>
        <v>1.0002086500173997</v>
      </c>
      <c r="F454" s="330">
        <f t="shared" si="165"/>
        <v>2.0426147205639553E-2</v>
      </c>
      <c r="G454" s="329">
        <f t="shared" si="166"/>
        <v>1</v>
      </c>
      <c r="H454" s="330">
        <f t="shared" si="167"/>
        <v>0</v>
      </c>
      <c r="I454" s="328">
        <f t="shared" si="168"/>
        <v>107668.44276708971</v>
      </c>
      <c r="J454" s="331">
        <f t="shared" si="169"/>
        <v>1.5707870390224137</v>
      </c>
      <c r="K454" s="339">
        <f t="shared" si="185"/>
        <v>13.900181390390534</v>
      </c>
      <c r="L454" s="340">
        <f t="shared" si="186"/>
        <v>1.4987926180775291</v>
      </c>
      <c r="M454" s="328">
        <f t="shared" si="170"/>
        <v>1.0244011902497407</v>
      </c>
      <c r="N454" s="331">
        <f t="shared" si="171"/>
        <v>0.21870128190367399</v>
      </c>
      <c r="O454" s="332">
        <f t="shared" si="172"/>
        <v>1.0088032195739212</v>
      </c>
      <c r="P454" s="333">
        <f t="shared" si="173"/>
        <v>0.34353689522831687</v>
      </c>
      <c r="Q454" s="334">
        <f t="shared" si="174"/>
        <v>-2.7510708649485718</v>
      </c>
      <c r="R454" s="335">
        <f t="shared" si="175"/>
        <v>-120.00018283224169</v>
      </c>
      <c r="S454" s="337">
        <f t="shared" si="176"/>
        <v>59.999817167758309</v>
      </c>
      <c r="U454" s="310">
        <f t="shared" si="182"/>
        <v>49263.25</v>
      </c>
      <c r="V454" s="310">
        <f t="shared" si="183"/>
        <v>2426867800.5625</v>
      </c>
      <c r="X454" s="336">
        <f t="shared" si="177"/>
        <v>2.6484195728527604</v>
      </c>
      <c r="Y454" s="337">
        <f t="shared" si="178"/>
        <v>-16.655636914843349</v>
      </c>
      <c r="AA454" s="336">
        <f t="shared" si="179"/>
        <v>-5.3994904378013313</v>
      </c>
      <c r="AB454" s="337">
        <f t="shared" si="180"/>
        <v>-103.34454591739834</v>
      </c>
      <c r="AD454">
        <f t="shared" si="184"/>
        <v>0</v>
      </c>
      <c r="AE454">
        <f t="shared" si="187"/>
        <v>0</v>
      </c>
    </row>
    <row r="455" spans="1:31" x14ac:dyDescent="0.25">
      <c r="A455" s="338">
        <v>49548.5</v>
      </c>
      <c r="B455" s="355">
        <f t="shared" si="181"/>
        <v>49.548499999999997</v>
      </c>
      <c r="C455" s="328">
        <f t="shared" si="162"/>
        <v>11.164729506555892</v>
      </c>
      <c r="D455" s="329">
        <f t="shared" si="163"/>
        <v>1.4811083577376438</v>
      </c>
      <c r="E455" s="329">
        <f t="shared" si="164"/>
        <v>1.0002110730581775</v>
      </c>
      <c r="F455" s="330">
        <f t="shared" si="165"/>
        <v>2.0544387960385026E-2</v>
      </c>
      <c r="G455" s="329">
        <f t="shared" si="166"/>
        <v>1</v>
      </c>
      <c r="H455" s="330">
        <f t="shared" si="167"/>
        <v>0</v>
      </c>
      <c r="I455" s="328">
        <f t="shared" si="168"/>
        <v>108291.8775444678</v>
      </c>
      <c r="J455" s="331">
        <f t="shared" si="169"/>
        <v>1.570787092491986</v>
      </c>
      <c r="K455" s="339">
        <f t="shared" si="185"/>
        <v>13.980252522383513</v>
      </c>
      <c r="L455" s="340">
        <f t="shared" si="186"/>
        <v>1.4992057234168608</v>
      </c>
      <c r="M455" s="328">
        <f t="shared" si="170"/>
        <v>1.0246811762416232</v>
      </c>
      <c r="N455" s="331">
        <f t="shared" si="171"/>
        <v>0.21992730222048379</v>
      </c>
      <c r="O455" s="332">
        <f t="shared" si="172"/>
        <v>1.0089196497390063</v>
      </c>
      <c r="P455" s="333">
        <f t="shared" si="173"/>
        <v>0.34556743490598496</v>
      </c>
      <c r="Q455" s="334">
        <f t="shared" si="174"/>
        <v>-2.8044283857639405</v>
      </c>
      <c r="R455" s="335">
        <f t="shared" si="175"/>
        <v>-120.18592342842203</v>
      </c>
      <c r="S455" s="337">
        <f t="shared" si="176"/>
        <v>59.814076571577971</v>
      </c>
      <c r="U455" s="310">
        <f t="shared" si="182"/>
        <v>49548.5</v>
      </c>
      <c r="V455" s="310">
        <f t="shared" si="183"/>
        <v>2455053852.25</v>
      </c>
      <c r="X455" s="336">
        <f t="shared" si="177"/>
        <v>2.6457878329674744</v>
      </c>
      <c r="Y455" s="337">
        <f t="shared" si="178"/>
        <v>-16.702216575789866</v>
      </c>
      <c r="AA455" s="336">
        <f t="shared" si="179"/>
        <v>-5.4502162187314154</v>
      </c>
      <c r="AB455" s="337">
        <f t="shared" si="180"/>
        <v>-103.48370685263217</v>
      </c>
      <c r="AD455">
        <f t="shared" si="184"/>
        <v>0</v>
      </c>
      <c r="AE455">
        <f t="shared" si="187"/>
        <v>0</v>
      </c>
    </row>
    <row r="456" spans="1:31" x14ac:dyDescent="0.25">
      <c r="A456" s="338">
        <v>49833.75</v>
      </c>
      <c r="B456" s="355">
        <f t="shared" si="181"/>
        <v>49.833750000000002</v>
      </c>
      <c r="C456" s="328">
        <f t="shared" si="162"/>
        <v>11.228490516927236</v>
      </c>
      <c r="D456" s="329">
        <f t="shared" si="163"/>
        <v>1.4816190093641952</v>
      </c>
      <c r="E456" s="329">
        <f t="shared" si="164"/>
        <v>1.0002135100827143</v>
      </c>
      <c r="F456" s="330">
        <f t="shared" si="165"/>
        <v>2.0662628140595374E-2</v>
      </c>
      <c r="G456" s="329">
        <f t="shared" si="166"/>
        <v>1</v>
      </c>
      <c r="H456" s="330">
        <f t="shared" si="167"/>
        <v>0</v>
      </c>
      <c r="I456" s="328">
        <f t="shared" si="168"/>
        <v>108915.31232184618</v>
      </c>
      <c r="J456" s="331">
        <f t="shared" si="169"/>
        <v>1.5707871453494351</v>
      </c>
      <c r="K456" s="339">
        <f t="shared" si="185"/>
        <v>14.060326013016926</v>
      </c>
      <c r="L456" s="340">
        <f t="shared" si="186"/>
        <v>1.4996141235592924</v>
      </c>
      <c r="M456" s="328">
        <f t="shared" si="170"/>
        <v>1.024962701615409</v>
      </c>
      <c r="N456" s="331">
        <f t="shared" si="171"/>
        <v>0.22115265087901176</v>
      </c>
      <c r="O456" s="332">
        <f t="shared" si="172"/>
        <v>1.0090370775927895</v>
      </c>
      <c r="P456" s="333">
        <f t="shared" si="173"/>
        <v>0.34759863269258601</v>
      </c>
      <c r="Q456" s="334">
        <f t="shared" si="174"/>
        <v>-2.8575212620829022</v>
      </c>
      <c r="R456" s="335">
        <f t="shared" si="175"/>
        <v>-120.37159673943125</v>
      </c>
      <c r="S456" s="337">
        <f t="shared" si="176"/>
        <v>59.628403260568746</v>
      </c>
      <c r="U456" s="310">
        <f t="shared" si="182"/>
        <v>49833.75</v>
      </c>
      <c r="V456" s="310">
        <f t="shared" si="183"/>
        <v>2483402639.0625</v>
      </c>
      <c r="X456" s="336">
        <f t="shared" si="177"/>
        <v>2.6431481001970418</v>
      </c>
      <c r="Y456" s="337">
        <f t="shared" si="178"/>
        <v>-16.749027306403907</v>
      </c>
      <c r="AA456" s="336">
        <f t="shared" si="179"/>
        <v>-5.5006693622799467</v>
      </c>
      <c r="AB456" s="337">
        <f t="shared" si="180"/>
        <v>-103.62256943302737</v>
      </c>
      <c r="AD456">
        <f t="shared" si="184"/>
        <v>0</v>
      </c>
      <c r="AE456">
        <f t="shared" si="187"/>
        <v>0</v>
      </c>
    </row>
    <row r="457" spans="1:31" x14ac:dyDescent="0.25">
      <c r="A457" s="338">
        <v>50119</v>
      </c>
      <c r="B457" s="355">
        <f t="shared" si="181"/>
        <v>50.119</v>
      </c>
      <c r="C457" s="328">
        <f t="shared" si="162"/>
        <v>11.292254422230888</v>
      </c>
      <c r="D457" s="329">
        <f t="shared" si="163"/>
        <v>1.4821238941342143</v>
      </c>
      <c r="E457" s="329">
        <f t="shared" si="164"/>
        <v>1.0002159610909083</v>
      </c>
      <c r="F457" s="330">
        <f t="shared" si="165"/>
        <v>2.0780867742968639E-2</v>
      </c>
      <c r="G457" s="329">
        <f t="shared" si="166"/>
        <v>1</v>
      </c>
      <c r="H457" s="330">
        <f t="shared" si="167"/>
        <v>0</v>
      </c>
      <c r="I457" s="328">
        <f t="shared" si="168"/>
        <v>109538.74709922487</v>
      </c>
      <c r="J457" s="331">
        <f t="shared" si="169"/>
        <v>1.5707871976052126</v>
      </c>
      <c r="K457" s="339">
        <f t="shared" si="185"/>
        <v>14.140401822221639</v>
      </c>
      <c r="L457" s="340">
        <f t="shared" si="186"/>
        <v>1.5000178983027246</v>
      </c>
      <c r="M457" s="328">
        <f t="shared" si="170"/>
        <v>1.0252457651029874</v>
      </c>
      <c r="N457" s="331">
        <f t="shared" si="171"/>
        <v>0.22237732475440639</v>
      </c>
      <c r="O457" s="332">
        <f t="shared" si="172"/>
        <v>1.0091555086414685</v>
      </c>
      <c r="P457" s="333">
        <f t="shared" si="173"/>
        <v>0.34963049069619156</v>
      </c>
      <c r="Q457" s="334">
        <f t="shared" si="174"/>
        <v>-2.9103527476187372</v>
      </c>
      <c r="R457" s="335">
        <f t="shared" si="175"/>
        <v>-120.55720381379794</v>
      </c>
      <c r="S457" s="337">
        <f t="shared" si="176"/>
        <v>59.44279618620206</v>
      </c>
      <c r="U457" s="310">
        <f t="shared" si="182"/>
        <v>50119</v>
      </c>
      <c r="V457" s="310">
        <f t="shared" si="183"/>
        <v>2511914161</v>
      </c>
      <c r="X457" s="336">
        <f t="shared" si="177"/>
        <v>2.6405002961237347</v>
      </c>
      <c r="Y457" s="337">
        <f t="shared" si="178"/>
        <v>-16.796064356160549</v>
      </c>
      <c r="AA457" s="336">
        <f t="shared" si="179"/>
        <v>-5.5508530437424719</v>
      </c>
      <c r="AB457" s="337">
        <f t="shared" si="180"/>
        <v>-103.76113945763741</v>
      </c>
      <c r="AD457">
        <f t="shared" si="184"/>
        <v>0</v>
      </c>
      <c r="AE457">
        <f t="shared" si="187"/>
        <v>0</v>
      </c>
    </row>
    <row r="458" spans="1:31" x14ac:dyDescent="0.25">
      <c r="A458" s="338">
        <v>50410.75</v>
      </c>
      <c r="B458" s="355">
        <f t="shared" si="181"/>
        <v>50.41075</v>
      </c>
      <c r="C458" s="328">
        <f t="shared" si="162"/>
        <v>11.357474261301975</v>
      </c>
      <c r="D458" s="329">
        <f t="shared" si="163"/>
        <v>1.4826344192324894</v>
      </c>
      <c r="E458" s="329">
        <f t="shared" si="164"/>
        <v>1.0002184824154459</v>
      </c>
      <c r="F458" s="330">
        <f t="shared" si="165"/>
        <v>2.0901801073401498E-2</v>
      </c>
      <c r="G458" s="329">
        <f t="shared" si="166"/>
        <v>1</v>
      </c>
      <c r="H458" s="330">
        <f t="shared" si="167"/>
        <v>0</v>
      </c>
      <c r="I458" s="328">
        <f t="shared" si="168"/>
        <v>110176.38810290696</v>
      </c>
      <c r="J458" s="331">
        <f t="shared" si="169"/>
        <v>1.5707872504399967</v>
      </c>
      <c r="K458" s="339">
        <f t="shared" si="185"/>
        <v>14.222304678810703</v>
      </c>
      <c r="L458" s="340">
        <f t="shared" si="186"/>
        <v>1.5004261704700654</v>
      </c>
      <c r="M458" s="328">
        <f t="shared" si="170"/>
        <v>1.0255368685255939</v>
      </c>
      <c r="N458" s="331">
        <f t="shared" si="171"/>
        <v>0.22362920404111092</v>
      </c>
      <c r="O458" s="332">
        <f t="shared" si="172"/>
        <v>1.0092776818954621</v>
      </c>
      <c r="P458" s="333">
        <f t="shared" si="173"/>
        <v>0.35170933382860703</v>
      </c>
      <c r="Q458" s="334">
        <f t="shared" si="174"/>
        <v>-2.9641210470584638</v>
      </c>
      <c r="R458" s="335">
        <f t="shared" si="175"/>
        <v>-120.74697287051924</v>
      </c>
      <c r="S458" s="337">
        <f t="shared" si="176"/>
        <v>59.253027129480756</v>
      </c>
      <c r="U458" s="310">
        <f t="shared" si="182"/>
        <v>50410.75</v>
      </c>
      <c r="V458" s="310">
        <f t="shared" si="183"/>
        <v>2541243715.5625</v>
      </c>
      <c r="X458" s="336">
        <f t="shared" si="177"/>
        <v>2.6377837284633192</v>
      </c>
      <c r="Y458" s="337">
        <f t="shared" si="178"/>
        <v>-16.84440251093266</v>
      </c>
      <c r="AA458" s="336">
        <f t="shared" si="179"/>
        <v>-5.6019047755217866</v>
      </c>
      <c r="AB458" s="337">
        <f t="shared" si="180"/>
        <v>-103.90257035958658</v>
      </c>
      <c r="AD458">
        <f t="shared" si="184"/>
        <v>0</v>
      </c>
      <c r="AE458">
        <f t="shared" si="187"/>
        <v>0</v>
      </c>
    </row>
    <row r="459" spans="1:31" x14ac:dyDescent="0.25">
      <c r="A459" s="338">
        <v>50702.5</v>
      </c>
      <c r="B459" s="355">
        <f t="shared" si="181"/>
        <v>50.702500000000001</v>
      </c>
      <c r="C459" s="328">
        <f t="shared" si="162"/>
        <v>11.422697026734729</v>
      </c>
      <c r="D459" s="329">
        <f t="shared" si="163"/>
        <v>1.4831391143390373</v>
      </c>
      <c r="E459" s="329">
        <f t="shared" si="164"/>
        <v>1.0002210183679756</v>
      </c>
      <c r="F459" s="330">
        <f t="shared" si="165"/>
        <v>2.1022733792376139E-2</v>
      </c>
      <c r="G459" s="329">
        <f t="shared" si="166"/>
        <v>1</v>
      </c>
      <c r="H459" s="330">
        <f t="shared" si="167"/>
        <v>0</v>
      </c>
      <c r="I459" s="328">
        <f t="shared" si="168"/>
        <v>110814.02910658937</v>
      </c>
      <c r="J459" s="331">
        <f t="shared" si="169"/>
        <v>1.5707873026667418</v>
      </c>
      <c r="K459" s="339">
        <f t="shared" si="185"/>
        <v>14.304209878913126</v>
      </c>
      <c r="L459" s="340">
        <f t="shared" si="186"/>
        <v>1.5008297672114617</v>
      </c>
      <c r="M459" s="328">
        <f t="shared" si="170"/>
        <v>1.0258295782577298</v>
      </c>
      <c r="N459" s="331">
        <f t="shared" si="171"/>
        <v>0.22488037086641574</v>
      </c>
      <c r="O459" s="332">
        <f t="shared" si="172"/>
        <v>1.0094009163258728</v>
      </c>
      <c r="P459" s="333">
        <f t="shared" si="173"/>
        <v>0.35378887197696202</v>
      </c>
      <c r="Q459" s="334">
        <f t="shared" si="174"/>
        <v>-3.0176226197886469</v>
      </c>
      <c r="R459" s="335">
        <f t="shared" si="175"/>
        <v>-120.93667477613856</v>
      </c>
      <c r="S459" s="337">
        <f t="shared" si="176"/>
        <v>59.06332522386144</v>
      </c>
      <c r="U459" s="310">
        <f t="shared" si="182"/>
        <v>50702.5</v>
      </c>
      <c r="V459" s="310">
        <f t="shared" si="183"/>
        <v>2570743506.25</v>
      </c>
      <c r="X459" s="336">
        <f t="shared" si="177"/>
        <v>2.6350585606426562</v>
      </c>
      <c r="Y459" s="337">
        <f t="shared" si="178"/>
        <v>-16.892967692009741</v>
      </c>
      <c r="AA459" s="336">
        <f t="shared" si="179"/>
        <v>-5.6526811804313013</v>
      </c>
      <c r="AB459" s="337">
        <f t="shared" si="180"/>
        <v>-104.04370708412885</v>
      </c>
      <c r="AD459">
        <f t="shared" si="184"/>
        <v>0</v>
      </c>
      <c r="AE459">
        <f t="shared" si="187"/>
        <v>0</v>
      </c>
    </row>
    <row r="460" spans="1:31" x14ac:dyDescent="0.25">
      <c r="A460" s="338">
        <v>50994.25</v>
      </c>
      <c r="B460" s="355">
        <f t="shared" si="181"/>
        <v>50.994250000000001</v>
      </c>
      <c r="C460" s="328">
        <f t="shared" si="162"/>
        <v>11.48792266868583</v>
      </c>
      <c r="D460" s="329">
        <f t="shared" si="163"/>
        <v>1.4836380784983756</v>
      </c>
      <c r="E460" s="329">
        <f t="shared" si="164"/>
        <v>1.0002235689483858</v>
      </c>
      <c r="F460" s="330">
        <f t="shared" si="165"/>
        <v>2.1143665896360016E-2</v>
      </c>
      <c r="G460" s="329">
        <f t="shared" si="166"/>
        <v>1</v>
      </c>
      <c r="H460" s="330">
        <f t="shared" si="167"/>
        <v>0</v>
      </c>
      <c r="I460" s="328">
        <f t="shared" si="168"/>
        <v>111451.67011027207</v>
      </c>
      <c r="J460" s="331">
        <f t="shared" si="169"/>
        <v>1.5707873542958841</v>
      </c>
      <c r="K460" s="339">
        <f t="shared" si="185"/>
        <v>14.386117382501579</v>
      </c>
      <c r="L460" s="340">
        <f t="shared" si="186"/>
        <v>1.501228768253047</v>
      </c>
      <c r="M460" s="328">
        <f t="shared" si="170"/>
        <v>1.0261238929247587</v>
      </c>
      <c r="N460" s="331">
        <f t="shared" si="171"/>
        <v>0.22613082192450973</v>
      </c>
      <c r="O460" s="332">
        <f t="shared" si="172"/>
        <v>1.0095252179147365</v>
      </c>
      <c r="P460" s="333">
        <f t="shared" si="173"/>
        <v>0.35586910730171917</v>
      </c>
      <c r="Q460" s="334">
        <f t="shared" si="174"/>
        <v>-3.0708607747985504</v>
      </c>
      <c r="R460" s="335">
        <f t="shared" si="175"/>
        <v>-121.12631057269461</v>
      </c>
      <c r="S460" s="337">
        <f t="shared" si="176"/>
        <v>58.873689427305393</v>
      </c>
      <c r="U460" s="310">
        <f t="shared" si="182"/>
        <v>50994.25</v>
      </c>
      <c r="V460" s="310">
        <f t="shared" si="183"/>
        <v>2600413533.0625</v>
      </c>
      <c r="X460" s="336">
        <f t="shared" si="177"/>
        <v>2.6323247177929425</v>
      </c>
      <c r="Y460" s="337">
        <f t="shared" si="178"/>
        <v>-16.941755142609733</v>
      </c>
      <c r="AA460" s="336">
        <f t="shared" si="179"/>
        <v>-5.703185492591496</v>
      </c>
      <c r="AB460" s="337">
        <f t="shared" si="180"/>
        <v>-104.18455543008487</v>
      </c>
      <c r="AD460">
        <f t="shared" si="184"/>
        <v>0</v>
      </c>
      <c r="AE460">
        <f t="shared" si="187"/>
        <v>0</v>
      </c>
    </row>
    <row r="461" spans="1:31" x14ac:dyDescent="0.25">
      <c r="A461" s="338">
        <v>51286</v>
      </c>
      <c r="B461" s="355">
        <f t="shared" si="181"/>
        <v>51.286000000000001</v>
      </c>
      <c r="C461" s="328">
        <f t="shared" ref="C461:C524" si="188">SQRT(1+(A461/pole1)^2)</f>
        <v>11.553151138435387</v>
      </c>
      <c r="D461" s="329">
        <f t="shared" ref="D461:D524" si="189">ATAN(A461/pole1)</f>
        <v>1.4841314085297859</v>
      </c>
      <c r="E461" s="329">
        <f t="shared" ref="E461:E524" si="190">SQRT(1+(A461/Zero1)^2)</f>
        <v>1.0002261341565646</v>
      </c>
      <c r="F461" s="330">
        <f t="shared" ref="F461:F524" si="191">ATAN(A461/Zero1)</f>
        <v>2.1264597381820679E-2</v>
      </c>
      <c r="G461" s="329">
        <f t="shared" ref="G461:G524" si="192">IF(VIN_nom&gt;Vout, 1, SQRT(1+(A461/z_RHP)^2))</f>
        <v>1</v>
      </c>
      <c r="H461" s="330">
        <f t="shared" ref="H461:H524" si="193">IF(VIN_nom&gt;Vout, 0, -ATAN(A461/z_RHP))</f>
        <v>0</v>
      </c>
      <c r="I461" s="328">
        <f t="shared" ref="I461:I524" si="194">SQRT(1+(A461/Pole2)^2)</f>
        <v>112089.31111395506</v>
      </c>
      <c r="J461" s="331">
        <f t="shared" ref="J461:J524" si="195">ATAN(A461/Pole2)</f>
        <v>1.5707874053376223</v>
      </c>
      <c r="K461" s="339">
        <f t="shared" si="185"/>
        <v>14.468027150454054</v>
      </c>
      <c r="L461" s="340">
        <f t="shared" si="186"/>
        <v>1.5016232515214274</v>
      </c>
      <c r="M461" s="328">
        <f t="shared" ref="M461:M524" si="196">SQRT(1+(A461/pole4)^2)</f>
        <v>1.0264198111460878</v>
      </c>
      <c r="N461" s="331">
        <f t="shared" ref="N461:N524" si="197">ATAN(A461/pole4)</f>
        <v>0.22738055392231657</v>
      </c>
      <c r="O461" s="332">
        <f t="shared" ref="O461:O524" si="198">SQRT((1-(V461/pterm2))^2+(A461/pterm1)^2)</f>
        <v>1.0096505926745298</v>
      </c>
      <c r="P461" s="333">
        <f t="shared" ref="P461:P524" si="199">IF((ATAN((A461/pterm1)/(1-A461^2/pterm2))&gt;0),ATAN((A461/pterm1)/(1-A461^2/pterm2)),PI()+ATAN((A461/pterm1)/(1-A461^2/pterm2)))</f>
        <v>0.35795004193094571</v>
      </c>
      <c r="Q461" s="334">
        <f t="shared" ref="Q461:Q524" si="200">20*LOG10(((E461*K461*G461)/(C461*I461*O461*M461))*Adc)</f>
        <v>-3.1238387655963438</v>
      </c>
      <c r="R461" s="335">
        <f t="shared" ref="R461:R524" si="201">((F461+L461+H461)-(D461+J461+P461+N461))*radconv</f>
        <v>-121.31588127669445</v>
      </c>
      <c r="S461" s="337">
        <f t="shared" ref="S461:S524" si="202">IF(R461&gt;0,R461,R461+180)</f>
        <v>58.684118723305545</v>
      </c>
      <c r="U461" s="310">
        <f t="shared" si="182"/>
        <v>51286</v>
      </c>
      <c r="V461" s="310">
        <f t="shared" si="183"/>
        <v>2630253796</v>
      </c>
      <c r="X461" s="336">
        <f t="shared" ref="X461:X524" si="203">20*LOG10((K461/(I461*M461))*AEA*Afb)</f>
        <v>2.6295821278922453</v>
      </c>
      <c r="Y461" s="337">
        <f t="shared" ref="Y461:Y524" si="204">(L461-(J461+N461))*radconv</f>
        <v>-16.990760209771963</v>
      </c>
      <c r="AA461" s="336">
        <f t="shared" ref="AA461:AA524" si="205">20*LOG10((E461*G461/(C461*O461))*Am)</f>
        <v>-5.7534208934885891</v>
      </c>
      <c r="AB461" s="337">
        <f t="shared" ref="AB461:AB524" si="206">(F461+H461-(D461+P461))*radconv</f>
        <v>-104.32512106692252</v>
      </c>
      <c r="AD461">
        <f t="shared" si="184"/>
        <v>0</v>
      </c>
      <c r="AE461">
        <f t="shared" si="187"/>
        <v>0</v>
      </c>
    </row>
    <row r="462" spans="1:31" x14ac:dyDescent="0.25">
      <c r="A462" s="338">
        <v>51584.75</v>
      </c>
      <c r="B462" s="355">
        <f t="shared" ref="B462:B525" si="207">A462/1000</f>
        <v>51.58475</v>
      </c>
      <c r="C462" s="328">
        <f t="shared" si="188"/>
        <v>11.619947524946078</v>
      </c>
      <c r="D462" s="329">
        <f t="shared" si="189"/>
        <v>1.4846308354409454</v>
      </c>
      <c r="E462" s="329">
        <f t="shared" si="190"/>
        <v>1.0002287760704656</v>
      </c>
      <c r="F462" s="330">
        <f t="shared" si="191"/>
        <v>2.1388429749273311E-2</v>
      </c>
      <c r="G462" s="329">
        <f t="shared" si="192"/>
        <v>1</v>
      </c>
      <c r="H462" s="330">
        <f t="shared" si="193"/>
        <v>0</v>
      </c>
      <c r="I462" s="328">
        <f t="shared" si="194"/>
        <v>112742.2511305802</v>
      </c>
      <c r="J462" s="331">
        <f t="shared" si="195"/>
        <v>1.5707874570057094</v>
      </c>
      <c r="K462" s="339">
        <f t="shared" si="185"/>
        <v>14.551904497899427</v>
      </c>
      <c r="L462" s="340">
        <f t="shared" si="186"/>
        <v>1.5020225975786874</v>
      </c>
      <c r="M462" s="328">
        <f t="shared" si="196"/>
        <v>1.0267244896551346</v>
      </c>
      <c r="N462" s="331">
        <f t="shared" si="197"/>
        <v>0.22865952234847939</v>
      </c>
      <c r="O462" s="332">
        <f t="shared" si="198"/>
        <v>1.0097800939843637</v>
      </c>
      <c r="P462" s="333">
        <f t="shared" si="199"/>
        <v>0.36008163158827805</v>
      </c>
      <c r="Q462" s="334">
        <f t="shared" si="200"/>
        <v>-3.1778216041811218</v>
      </c>
      <c r="R462" s="335">
        <f t="shared" si="201"/>
        <v>-121.50993395976442</v>
      </c>
      <c r="S462" s="337">
        <f t="shared" si="202"/>
        <v>58.490066040235575</v>
      </c>
      <c r="U462" s="310">
        <f t="shared" ref="U462:U525" si="208">IF(Q462&lt;0,A462,1000000000)</f>
        <v>51584.75</v>
      </c>
      <c r="V462" s="310">
        <f t="shared" ref="V462:V525" si="209">A462^2</f>
        <v>2660986432.5625</v>
      </c>
      <c r="X462" s="336">
        <f t="shared" si="203"/>
        <v>2.6267645979234993</v>
      </c>
      <c r="Y462" s="337">
        <f t="shared" si="204"/>
        <v>-17.04116181949631</v>
      </c>
      <c r="AA462" s="336">
        <f t="shared" si="205"/>
        <v>-5.8045862021046215</v>
      </c>
      <c r="AB462" s="337">
        <f t="shared" si="206"/>
        <v>-104.46877214026809</v>
      </c>
      <c r="AD462">
        <f t="shared" ref="AD462:AD525" si="210">SUM((Q463&lt;0)*(Q462&gt;0))*A462</f>
        <v>0</v>
      </c>
      <c r="AE462">
        <f t="shared" si="187"/>
        <v>0</v>
      </c>
    </row>
    <row r="463" spans="1:31" x14ac:dyDescent="0.25">
      <c r="A463" s="338">
        <v>51883.5</v>
      </c>
      <c r="B463" s="355">
        <f t="shared" si="207"/>
        <v>51.883499999999998</v>
      </c>
      <c r="C463" s="328">
        <f t="shared" si="188"/>
        <v>11.68674677665657</v>
      </c>
      <c r="D463" s="329">
        <f t="shared" si="189"/>
        <v>1.4851245532130544</v>
      </c>
      <c r="E463" s="329">
        <f t="shared" si="190"/>
        <v>1.0002314333222486</v>
      </c>
      <c r="F463" s="330">
        <f t="shared" si="191"/>
        <v>2.1512261460669539E-2</v>
      </c>
      <c r="G463" s="329">
        <f t="shared" si="192"/>
        <v>1</v>
      </c>
      <c r="H463" s="330">
        <f t="shared" si="193"/>
        <v>0</v>
      </c>
      <c r="I463" s="328">
        <f t="shared" si="194"/>
        <v>113395.19114720562</v>
      </c>
      <c r="J463" s="331">
        <f t="shared" si="195"/>
        <v>1.5707875080787774</v>
      </c>
      <c r="K463" s="339">
        <f t="shared" si="185"/>
        <v>14.635784139442904</v>
      </c>
      <c r="L463" s="340">
        <f t="shared" si="186"/>
        <v>1.5024173662866922</v>
      </c>
      <c r="M463" s="328">
        <f t="shared" si="196"/>
        <v>1.0270308466412073</v>
      </c>
      <c r="N463" s="331">
        <f t="shared" si="197"/>
        <v>0.22993772984761277</v>
      </c>
      <c r="O463" s="332">
        <f t="shared" si="198"/>
        <v>1.0099107334380419</v>
      </c>
      <c r="P463" s="333">
        <f t="shared" si="199"/>
        <v>0.36221395892115721</v>
      </c>
      <c r="Q463" s="334">
        <f t="shared" si="200"/>
        <v>-3.2315383763984453</v>
      </c>
      <c r="R463" s="335">
        <f t="shared" si="201"/>
        <v>-121.70392046734104</v>
      </c>
      <c r="S463" s="337">
        <f t="shared" si="202"/>
        <v>58.296079532658965</v>
      </c>
      <c r="U463" s="310">
        <f t="shared" si="208"/>
        <v>51883.5</v>
      </c>
      <c r="V463" s="310">
        <f t="shared" si="209"/>
        <v>2691897572.25</v>
      </c>
      <c r="X463" s="336">
        <f t="shared" si="203"/>
        <v>2.6239377520265839</v>
      </c>
      <c r="Y463" s="337">
        <f t="shared" si="204"/>
        <v>-17.091782060015213</v>
      </c>
      <c r="AA463" s="336">
        <f t="shared" si="205"/>
        <v>-5.8554761284250301</v>
      </c>
      <c r="AB463" s="337">
        <f t="shared" si="206"/>
        <v>-104.61213840732583</v>
      </c>
      <c r="AD463">
        <f t="shared" si="210"/>
        <v>0</v>
      </c>
      <c r="AE463">
        <f t="shared" si="187"/>
        <v>0</v>
      </c>
    </row>
    <row r="464" spans="1:31" x14ac:dyDescent="0.25">
      <c r="A464" s="338">
        <v>52182.25</v>
      </c>
      <c r="B464" s="355">
        <f t="shared" si="207"/>
        <v>52.182250000000003</v>
      </c>
      <c r="C464" s="328">
        <f t="shared" si="188"/>
        <v>11.753548844715265</v>
      </c>
      <c r="D464" s="329">
        <f t="shared" si="189"/>
        <v>1.4856126589481449</v>
      </c>
      <c r="E464" s="329">
        <f t="shared" si="190"/>
        <v>1.0002341059117916</v>
      </c>
      <c r="F464" s="330">
        <f t="shared" si="191"/>
        <v>2.1636092512216865E-2</v>
      </c>
      <c r="G464" s="329">
        <f t="shared" si="192"/>
        <v>1</v>
      </c>
      <c r="H464" s="330">
        <f t="shared" si="193"/>
        <v>0</v>
      </c>
      <c r="I464" s="328">
        <f t="shared" si="194"/>
        <v>114048.13116383135</v>
      </c>
      <c r="J464" s="331">
        <f t="shared" si="195"/>
        <v>1.5707875585670457</v>
      </c>
      <c r="K464" s="339">
        <f t="shared" si="185"/>
        <v>14.719666035865906</v>
      </c>
      <c r="L464" s="340">
        <f t="shared" si="186"/>
        <v>1.5028076357751619</v>
      </c>
      <c r="M464" s="328">
        <f t="shared" si="196"/>
        <v>1.0273388806027182</v>
      </c>
      <c r="N464" s="331">
        <f t="shared" si="197"/>
        <v>0.23121517292562016</v>
      </c>
      <c r="O464" s="332">
        <f t="shared" si="198"/>
        <v>1.0100425175899708</v>
      </c>
      <c r="P464" s="333">
        <f t="shared" si="199"/>
        <v>0.36434702610772968</v>
      </c>
      <c r="Q464" s="334">
        <f t="shared" si="200"/>
        <v>-3.2849924027896931</v>
      </c>
      <c r="R464" s="335">
        <f t="shared" si="201"/>
        <v>-121.89784181186225</v>
      </c>
      <c r="S464" s="337">
        <f t="shared" si="202"/>
        <v>58.10215818813775</v>
      </c>
      <c r="U464" s="310">
        <f t="shared" si="208"/>
        <v>52182.25</v>
      </c>
      <c r="V464" s="310">
        <f t="shared" si="209"/>
        <v>2722987215.0625</v>
      </c>
      <c r="X464" s="336">
        <f t="shared" si="203"/>
        <v>2.6211015215505684</v>
      </c>
      <c r="Y464" s="337">
        <f t="shared" si="204"/>
        <v>-17.142616255213966</v>
      </c>
      <c r="AA464" s="336">
        <f t="shared" si="205"/>
        <v>-5.9060939243402597</v>
      </c>
      <c r="AB464" s="337">
        <f t="shared" si="206"/>
        <v>-104.75522555664827</v>
      </c>
      <c r="AD464">
        <f t="shared" si="210"/>
        <v>0</v>
      </c>
      <c r="AE464">
        <f t="shared" si="187"/>
        <v>0</v>
      </c>
    </row>
    <row r="465" spans="1:31" x14ac:dyDescent="0.25">
      <c r="A465" s="338">
        <v>52481</v>
      </c>
      <c r="B465" s="355">
        <f t="shared" si="207"/>
        <v>52.481000000000002</v>
      </c>
      <c r="C465" s="328">
        <f t="shared" si="188"/>
        <v>11.820353681372863</v>
      </c>
      <c r="D465" s="329">
        <f t="shared" si="189"/>
        <v>1.4860952475639269</v>
      </c>
      <c r="E465" s="329">
        <f t="shared" si="190"/>
        <v>1.0002367938389718</v>
      </c>
      <c r="F465" s="330">
        <f t="shared" si="191"/>
        <v>2.1759922900122915E-2</v>
      </c>
      <c r="G465" s="329">
        <f t="shared" si="192"/>
        <v>1</v>
      </c>
      <c r="H465" s="330">
        <f t="shared" si="193"/>
        <v>0</v>
      </c>
      <c r="I465" s="328">
        <f t="shared" si="194"/>
        <v>114701.07118045735</v>
      </c>
      <c r="J465" s="331">
        <f t="shared" si="195"/>
        <v>1.5707876084805015</v>
      </c>
      <c r="K465" s="339">
        <f t="shared" si="185"/>
        <v>14.803550148837713</v>
      </c>
      <c r="L465" s="340">
        <f t="shared" si="186"/>
        <v>1.5031934824084869</v>
      </c>
      <c r="M465" s="328">
        <f t="shared" si="196"/>
        <v>1.0276485900316652</v>
      </c>
      <c r="N465" s="331">
        <f t="shared" si="197"/>
        <v>0.23249184810256232</v>
      </c>
      <c r="O465" s="332">
        <f t="shared" si="198"/>
        <v>1.0101754530276548</v>
      </c>
      <c r="P465" s="333">
        <f t="shared" si="199"/>
        <v>0.36648083528971459</v>
      </c>
      <c r="Q465" s="334">
        <f t="shared" si="200"/>
        <v>-3.3381869482051059</v>
      </c>
      <c r="R465" s="335">
        <f t="shared" si="201"/>
        <v>-122.09169898047001</v>
      </c>
      <c r="S465" s="337">
        <f t="shared" si="202"/>
        <v>57.908301019529986</v>
      </c>
      <c r="U465" s="310">
        <f t="shared" si="208"/>
        <v>52481</v>
      </c>
      <c r="V465" s="310">
        <f t="shared" si="209"/>
        <v>2754255361</v>
      </c>
      <c r="X465" s="336">
        <f t="shared" si="203"/>
        <v>2.6182558405822882</v>
      </c>
      <c r="Y465" s="337">
        <f t="shared" si="204"/>
        <v>-17.193659830921696</v>
      </c>
      <c r="AA465" s="336">
        <f t="shared" si="205"/>
        <v>-5.9564427887873919</v>
      </c>
      <c r="AB465" s="337">
        <f t="shared" si="206"/>
        <v>-104.89803914954834</v>
      </c>
      <c r="AD465">
        <f t="shared" si="210"/>
        <v>0</v>
      </c>
      <c r="AE465">
        <f t="shared" si="187"/>
        <v>0</v>
      </c>
    </row>
    <row r="466" spans="1:31" x14ac:dyDescent="0.25">
      <c r="A466" s="338">
        <v>52786.5</v>
      </c>
      <c r="B466" s="355">
        <f t="shared" si="207"/>
        <v>52.786499999999997</v>
      </c>
      <c r="C466" s="328">
        <f t="shared" si="188"/>
        <v>11.888670730521131</v>
      </c>
      <c r="D466" s="329">
        <f t="shared" si="189"/>
        <v>1.4865831310195698</v>
      </c>
      <c r="E466" s="329">
        <f t="shared" si="190"/>
        <v>1.0002395583587953</v>
      </c>
      <c r="F466" s="330">
        <f t="shared" si="191"/>
        <v>2.1886550439175784E-2</v>
      </c>
      <c r="G466" s="329">
        <f t="shared" si="192"/>
        <v>1</v>
      </c>
      <c r="H466" s="330">
        <f t="shared" si="193"/>
        <v>0</v>
      </c>
      <c r="I466" s="328">
        <f t="shared" si="194"/>
        <v>115368.76381670617</v>
      </c>
      <c r="J466" s="331">
        <f t="shared" si="195"/>
        <v>1.5707876589374374</v>
      </c>
      <c r="K466" s="339">
        <f t="shared" si="185"/>
        <v>14.889331804593349</v>
      </c>
      <c r="L466" s="340">
        <f t="shared" si="186"/>
        <v>1.5035835508046214</v>
      </c>
      <c r="M466" s="328">
        <f t="shared" si="196"/>
        <v>1.0279670281803033</v>
      </c>
      <c r="N466" s="331">
        <f t="shared" si="197"/>
        <v>0.23379657092690601</v>
      </c>
      <c r="O466" s="332">
        <f t="shared" si="198"/>
        <v>1.0103125895239489</v>
      </c>
      <c r="P466" s="333">
        <f t="shared" si="199"/>
        <v>0.36866362558499033</v>
      </c>
      <c r="Q466" s="334">
        <f t="shared" si="200"/>
        <v>-3.392318382138102</v>
      </c>
      <c r="R466" s="335">
        <f t="shared" si="201"/>
        <v>-122.28987082094143</v>
      </c>
      <c r="S466" s="337">
        <f t="shared" si="202"/>
        <v>57.710129179058569</v>
      </c>
      <c r="U466" s="310">
        <f t="shared" si="208"/>
        <v>52786.5</v>
      </c>
      <c r="V466" s="310">
        <f t="shared" si="209"/>
        <v>2786414582.25</v>
      </c>
      <c r="X466" s="336">
        <f t="shared" si="203"/>
        <v>2.6153360247971715</v>
      </c>
      <c r="Y466" s="337">
        <f t="shared" si="204"/>
        <v>-17.246068560400403</v>
      </c>
      <c r="AA466" s="336">
        <f t="shared" si="205"/>
        <v>-6.0076544069352735</v>
      </c>
      <c r="AB466" s="337">
        <f t="shared" si="206"/>
        <v>-105.04380226054104</v>
      </c>
      <c r="AD466">
        <f t="shared" si="210"/>
        <v>0</v>
      </c>
      <c r="AE466">
        <f t="shared" si="187"/>
        <v>0</v>
      </c>
    </row>
    <row r="467" spans="1:31" x14ac:dyDescent="0.25">
      <c r="A467" s="338">
        <v>53092</v>
      </c>
      <c r="B467" s="355">
        <f t="shared" si="207"/>
        <v>53.091999999999999</v>
      </c>
      <c r="C467" s="328">
        <f t="shared" si="188"/>
        <v>11.956990577195249</v>
      </c>
      <c r="D467" s="329">
        <f t="shared" si="189"/>
        <v>1.4870654392524449</v>
      </c>
      <c r="E467" s="329">
        <f t="shared" si="190"/>
        <v>1.0002423389169046</v>
      </c>
      <c r="F467" s="330">
        <f t="shared" si="191"/>
        <v>2.20131772762392E-2</v>
      </c>
      <c r="G467" s="329">
        <f t="shared" si="192"/>
        <v>1</v>
      </c>
      <c r="H467" s="330">
        <f t="shared" si="193"/>
        <v>0</v>
      </c>
      <c r="I467" s="328">
        <f t="shared" si="194"/>
        <v>116036.45645295529</v>
      </c>
      <c r="J467" s="331">
        <f t="shared" si="195"/>
        <v>1.5707877088136986</v>
      </c>
      <c r="K467" s="339">
        <f t="shared" si="185"/>
        <v>14.975115699856154</v>
      </c>
      <c r="L467" s="340">
        <f t="shared" si="186"/>
        <v>1.5039691503002148</v>
      </c>
      <c r="M467" s="328">
        <f t="shared" si="196"/>
        <v>1.0282872151533531</v>
      </c>
      <c r="N467" s="331">
        <f t="shared" si="197"/>
        <v>0.23510048344335854</v>
      </c>
      <c r="O467" s="332">
        <f t="shared" si="198"/>
        <v>1.0104509439565952</v>
      </c>
      <c r="P467" s="333">
        <f t="shared" si="199"/>
        <v>0.37084719619629475</v>
      </c>
      <c r="Q467" s="334">
        <f t="shared" si="200"/>
        <v>-3.4461852094716354</v>
      </c>
      <c r="R467" s="335">
        <f t="shared" si="201"/>
        <v>-122.48797756236208</v>
      </c>
      <c r="S467" s="337">
        <f t="shared" si="202"/>
        <v>57.512022437637924</v>
      </c>
      <c r="U467" s="310">
        <f t="shared" si="208"/>
        <v>53092</v>
      </c>
      <c r="V467" s="310">
        <f t="shared" si="209"/>
        <v>2818760464</v>
      </c>
      <c r="X467" s="336">
        <f t="shared" si="203"/>
        <v>2.6124061956156592</v>
      </c>
      <c r="Y467" s="337">
        <f t="shared" si="204"/>
        <v>-17.298686878526915</v>
      </c>
      <c r="AA467" s="336">
        <f t="shared" si="205"/>
        <v>-6.0585914050872933</v>
      </c>
      <c r="AB467" s="337">
        <f t="shared" si="206"/>
        <v>-105.18929068383517</v>
      </c>
      <c r="AD467">
        <f t="shared" si="210"/>
        <v>0</v>
      </c>
      <c r="AE467">
        <f t="shared" si="187"/>
        <v>0</v>
      </c>
    </row>
    <row r="468" spans="1:31" x14ac:dyDescent="0.25">
      <c r="A468" s="338">
        <v>53397.5</v>
      </c>
      <c r="B468" s="355">
        <f t="shared" si="207"/>
        <v>53.397500000000001</v>
      </c>
      <c r="C468" s="328">
        <f t="shared" si="188"/>
        <v>12.025313173714158</v>
      </c>
      <c r="D468" s="329">
        <f t="shared" si="189"/>
        <v>1.4875422670641965</v>
      </c>
      <c r="E468" s="329">
        <f t="shared" si="190"/>
        <v>1.0002451355131665</v>
      </c>
      <c r="F468" s="330">
        <f t="shared" si="191"/>
        <v>2.2139803407258268E-2</v>
      </c>
      <c r="G468" s="329">
        <f t="shared" si="192"/>
        <v>1</v>
      </c>
      <c r="H468" s="330">
        <f t="shared" si="193"/>
        <v>0</v>
      </c>
      <c r="I468" s="328">
        <f t="shared" si="194"/>
        <v>116704.14908920466</v>
      </c>
      <c r="J468" s="331">
        <f t="shared" si="195"/>
        <v>1.5707877581192513</v>
      </c>
      <c r="K468" s="339">
        <f t="shared" si="185"/>
        <v>15.06090179635877</v>
      </c>
      <c r="L468" s="340">
        <f t="shared" si="186"/>
        <v>1.5043503571434691</v>
      </c>
      <c r="M468" s="328">
        <f t="shared" si="196"/>
        <v>1.0286091493176845</v>
      </c>
      <c r="N468" s="331">
        <f t="shared" si="197"/>
        <v>0.23640358197690731</v>
      </c>
      <c r="O468" s="332">
        <f t="shared" si="198"/>
        <v>1.0105905234765207</v>
      </c>
      <c r="P468" s="333">
        <f t="shared" si="199"/>
        <v>0.37303154929431398</v>
      </c>
      <c r="Q468" s="334">
        <f t="shared" si="200"/>
        <v>-3.4997907487575892</v>
      </c>
      <c r="R468" s="335">
        <f t="shared" si="201"/>
        <v>-122.68602018237773</v>
      </c>
      <c r="S468" s="337">
        <f t="shared" si="202"/>
        <v>57.313979817622268</v>
      </c>
      <c r="U468" s="310">
        <f t="shared" si="208"/>
        <v>53397.5</v>
      </c>
      <c r="V468" s="310">
        <f t="shared" si="209"/>
        <v>2851293006.25</v>
      </c>
      <c r="X468" s="336">
        <f t="shared" si="203"/>
        <v>2.6094662908641002</v>
      </c>
      <c r="Y468" s="337">
        <f t="shared" si="204"/>
        <v>-17.351510206609408</v>
      </c>
      <c r="AA468" s="336">
        <f t="shared" si="205"/>
        <v>-6.1092570396216868</v>
      </c>
      <c r="AB468" s="337">
        <f t="shared" si="206"/>
        <v>-105.3345099757683</v>
      </c>
      <c r="AD468">
        <f t="shared" si="210"/>
        <v>0</v>
      </c>
      <c r="AE468">
        <f t="shared" si="187"/>
        <v>0</v>
      </c>
    </row>
    <row r="469" spans="1:31" x14ac:dyDescent="0.25">
      <c r="A469" s="338">
        <v>53703</v>
      </c>
      <c r="B469" s="355">
        <f t="shared" si="207"/>
        <v>53.703000000000003</v>
      </c>
      <c r="C469" s="328">
        <f t="shared" si="188"/>
        <v>12.093638473472407</v>
      </c>
      <c r="D469" s="329">
        <f t="shared" si="189"/>
        <v>1.4880137071241677</v>
      </c>
      <c r="E469" s="329">
        <f t="shared" si="190"/>
        <v>1.0002479481474458</v>
      </c>
      <c r="F469" s="330">
        <f t="shared" si="191"/>
        <v>2.2266428828178243E-2</v>
      </c>
      <c r="G469" s="329">
        <f t="shared" si="192"/>
        <v>1</v>
      </c>
      <c r="H469" s="330">
        <f t="shared" si="193"/>
        <v>0</v>
      </c>
      <c r="I469" s="328">
        <f t="shared" si="194"/>
        <v>117371.84172545435</v>
      </c>
      <c r="J469" s="331">
        <f t="shared" si="195"/>
        <v>1.5707878068638355</v>
      </c>
      <c r="K469" s="339">
        <f t="shared" si="185"/>
        <v>15.146690056699802</v>
      </c>
      <c r="L469" s="340">
        <f t="shared" si="186"/>
        <v>1.5047272458603322</v>
      </c>
      <c r="M469" s="328">
        <f t="shared" si="196"/>
        <v>1.0289328290333053</v>
      </c>
      <c r="N469" s="331">
        <f t="shared" si="197"/>
        <v>0.23770586286818424</v>
      </c>
      <c r="O469" s="332">
        <f t="shared" si="198"/>
        <v>1.0107313352704121</v>
      </c>
      <c r="P469" s="333">
        <f t="shared" si="199"/>
        <v>0.37521668700900457</v>
      </c>
      <c r="Q469" s="334">
        <f t="shared" si="200"/>
        <v>-3.5531382629537482</v>
      </c>
      <c r="R469" s="335">
        <f t="shared" si="201"/>
        <v>-122.8839996336898</v>
      </c>
      <c r="S469" s="337">
        <f t="shared" si="202"/>
        <v>57.116000366310203</v>
      </c>
      <c r="U469" s="310">
        <f t="shared" si="208"/>
        <v>53703</v>
      </c>
      <c r="V469" s="310">
        <f t="shared" si="209"/>
        <v>2884012209</v>
      </c>
      <c r="X469" s="336">
        <f t="shared" si="203"/>
        <v>2.6065162509880189</v>
      </c>
      <c r="Y469" s="337">
        <f t="shared" si="204"/>
        <v>-17.404534065517293</v>
      </c>
      <c r="AA469" s="336">
        <f t="shared" si="205"/>
        <v>-6.1596545139417689</v>
      </c>
      <c r="AB469" s="337">
        <f t="shared" si="206"/>
        <v>-105.47946556817253</v>
      </c>
      <c r="AD469">
        <f t="shared" si="210"/>
        <v>0</v>
      </c>
      <c r="AE469">
        <f t="shared" si="187"/>
        <v>0</v>
      </c>
    </row>
    <row r="470" spans="1:31" x14ac:dyDescent="0.25">
      <c r="A470" s="338">
        <v>54015.75</v>
      </c>
      <c r="B470" s="355">
        <f t="shared" si="207"/>
        <v>54.015749999999997</v>
      </c>
      <c r="C470" s="328">
        <f t="shared" si="188"/>
        <v>12.163587993731683</v>
      </c>
      <c r="D470" s="329">
        <f t="shared" si="189"/>
        <v>1.4884908487232655</v>
      </c>
      <c r="E470" s="329">
        <f t="shared" si="190"/>
        <v>1.0002508441433062</v>
      </c>
      <c r="F470" s="330">
        <f t="shared" si="191"/>
        <v>2.2396058531552229E-2</v>
      </c>
      <c r="G470" s="329">
        <f t="shared" si="192"/>
        <v>1</v>
      </c>
      <c r="H470" s="330">
        <f t="shared" si="193"/>
        <v>0</v>
      </c>
      <c r="I470" s="328">
        <f t="shared" si="194"/>
        <v>118055.37976796553</v>
      </c>
      <c r="J470" s="331">
        <f t="shared" si="195"/>
        <v>1.5707878561940483</v>
      </c>
      <c r="K470" s="339">
        <f t="shared" si="185"/>
        <v>15.234516411961604</v>
      </c>
      <c r="L470" s="340">
        <f t="shared" si="186"/>
        <v>1.5051086817411101</v>
      </c>
      <c r="M470" s="328">
        <f t="shared" si="196"/>
        <v>1.0292659966428823</v>
      </c>
      <c r="N470" s="331">
        <f t="shared" si="197"/>
        <v>0.23903819816984706</v>
      </c>
      <c r="O470" s="332">
        <f t="shared" si="198"/>
        <v>1.0108767727792793</v>
      </c>
      <c r="P470" s="333">
        <f t="shared" si="199"/>
        <v>0.37745449645943563</v>
      </c>
      <c r="Q470" s="334">
        <f t="shared" si="200"/>
        <v>-3.6074878652843427</v>
      </c>
      <c r="R470" s="335">
        <f t="shared" si="201"/>
        <v>-123.08661298571224</v>
      </c>
      <c r="S470" s="337">
        <f t="shared" si="202"/>
        <v>56.913387014287764</v>
      </c>
      <c r="U470" s="310">
        <f t="shared" si="208"/>
        <v>54015.75</v>
      </c>
      <c r="V470" s="310">
        <f t="shared" si="209"/>
        <v>2917701248.0625</v>
      </c>
      <c r="X470" s="336">
        <f t="shared" si="203"/>
        <v>2.60348564370112</v>
      </c>
      <c r="Y470" s="337">
        <f t="shared" si="204"/>
        <v>-17.459019415550685</v>
      </c>
      <c r="AA470" s="336">
        <f t="shared" si="205"/>
        <v>-6.2109735089854627</v>
      </c>
      <c r="AB470" s="337">
        <f t="shared" si="206"/>
        <v>-105.62759357016154</v>
      </c>
      <c r="AD470">
        <f t="shared" si="210"/>
        <v>0</v>
      </c>
      <c r="AE470">
        <f t="shared" si="187"/>
        <v>0</v>
      </c>
    </row>
    <row r="471" spans="1:31" x14ac:dyDescent="0.25">
      <c r="A471" s="338">
        <v>54328.5</v>
      </c>
      <c r="B471" s="355">
        <f t="shared" si="207"/>
        <v>54.328499999999998</v>
      </c>
      <c r="C471" s="328">
        <f t="shared" si="188"/>
        <v>12.233540251535107</v>
      </c>
      <c r="D471" s="329">
        <f t="shared" si="189"/>
        <v>1.4889625337691736</v>
      </c>
      <c r="E471" s="329">
        <f t="shared" si="190"/>
        <v>1.0002537569471444</v>
      </c>
      <c r="F471" s="330">
        <f t="shared" si="191"/>
        <v>2.252568748212426E-2</v>
      </c>
      <c r="G471" s="329">
        <f t="shared" si="192"/>
        <v>1</v>
      </c>
      <c r="H471" s="330">
        <f t="shared" si="193"/>
        <v>0</v>
      </c>
      <c r="I471" s="328">
        <f t="shared" si="194"/>
        <v>118738.91781047701</v>
      </c>
      <c r="J471" s="331">
        <f t="shared" si="195"/>
        <v>1.5707879049563078</v>
      </c>
      <c r="K471" s="339">
        <f t="shared" ref="K471:K534" si="211">SQRT(1+(A471/Zero2)^2)</f>
        <v>15.322344958333954</v>
      </c>
      <c r="L471" s="340">
        <f t="shared" ref="L471:L534" si="212">ATAN(A471/Zero2)</f>
        <v>1.5054857448522176</v>
      </c>
      <c r="M471" s="328">
        <f t="shared" si="196"/>
        <v>1.0296009901360641</v>
      </c>
      <c r="N471" s="331">
        <f t="shared" si="197"/>
        <v>0.24036966885001168</v>
      </c>
      <c r="O471" s="332">
        <f t="shared" si="198"/>
        <v>1.0110235171004955</v>
      </c>
      <c r="P471" s="333">
        <f t="shared" si="199"/>
        <v>0.37969313259455845</v>
      </c>
      <c r="Q471" s="334">
        <f t="shared" si="200"/>
        <v>-3.6615737978520069</v>
      </c>
      <c r="R471" s="335">
        <f t="shared" si="201"/>
        <v>-123.28916207848516</v>
      </c>
      <c r="S471" s="337">
        <f t="shared" si="202"/>
        <v>56.710837921514837</v>
      </c>
      <c r="U471" s="310">
        <f t="shared" si="208"/>
        <v>54328.5</v>
      </c>
      <c r="V471" s="310">
        <f t="shared" si="209"/>
        <v>2951585912.25</v>
      </c>
      <c r="X471" s="336">
        <f t="shared" si="203"/>
        <v>2.6004442962696652</v>
      </c>
      <c r="Y471" s="337">
        <f t="shared" si="204"/>
        <v>-17.513705735127157</v>
      </c>
      <c r="AA471" s="336">
        <f t="shared" si="205"/>
        <v>-6.2620180941216708</v>
      </c>
      <c r="AB471" s="337">
        <f t="shared" si="206"/>
        <v>-105.775456343358</v>
      </c>
      <c r="AD471">
        <f t="shared" si="210"/>
        <v>0</v>
      </c>
      <c r="AE471">
        <f t="shared" si="187"/>
        <v>0</v>
      </c>
    </row>
    <row r="472" spans="1:31" x14ac:dyDescent="0.25">
      <c r="A472" s="338">
        <v>54641.25</v>
      </c>
      <c r="B472" s="355">
        <f t="shared" si="207"/>
        <v>54.641249999999999</v>
      </c>
      <c r="C472" s="328">
        <f t="shared" si="188"/>
        <v>12.303495200189266</v>
      </c>
      <c r="D472" s="329">
        <f t="shared" si="189"/>
        <v>1.4894288551244528</v>
      </c>
      <c r="E472" s="329">
        <f t="shared" si="190"/>
        <v>1.0002566865588132</v>
      </c>
      <c r="F472" s="330">
        <f t="shared" si="191"/>
        <v>2.2655315675544449E-2</v>
      </c>
      <c r="G472" s="329">
        <f t="shared" si="192"/>
        <v>1</v>
      </c>
      <c r="H472" s="330">
        <f t="shared" si="193"/>
        <v>0</v>
      </c>
      <c r="I472" s="328">
        <f t="shared" si="194"/>
        <v>119422.45585298879</v>
      </c>
      <c r="J472" s="331">
        <f t="shared" si="195"/>
        <v>1.5707879531603663</v>
      </c>
      <c r="K472" s="339">
        <f t="shared" si="211"/>
        <v>15.410175658352893</v>
      </c>
      <c r="L472" s="340">
        <f t="shared" si="212"/>
        <v>1.5058585098536545</v>
      </c>
      <c r="M472" s="328">
        <f t="shared" si="196"/>
        <v>1.029937807731212</v>
      </c>
      <c r="N472" s="331">
        <f t="shared" si="197"/>
        <v>0.24170027103376021</v>
      </c>
      <c r="O472" s="332">
        <f t="shared" si="198"/>
        <v>1.0111715760603623</v>
      </c>
      <c r="P472" s="333">
        <f t="shared" si="199"/>
        <v>0.38193259756547027</v>
      </c>
      <c r="Q472" s="334">
        <f t="shared" si="200"/>
        <v>-3.7153993884714431</v>
      </c>
      <c r="R472" s="335">
        <f t="shared" si="201"/>
        <v>-123.49164785697887</v>
      </c>
      <c r="S472" s="337">
        <f t="shared" si="202"/>
        <v>56.508352143021128</v>
      </c>
      <c r="U472" s="310">
        <f t="shared" si="208"/>
        <v>54641.25</v>
      </c>
      <c r="V472" s="310">
        <f t="shared" si="209"/>
        <v>2985666201.5625</v>
      </c>
      <c r="X472" s="336">
        <f t="shared" si="203"/>
        <v>2.5973921527792054</v>
      </c>
      <c r="Y472" s="337">
        <f t="shared" si="204"/>
        <v>-17.568588525086135</v>
      </c>
      <c r="AA472" s="336">
        <f t="shared" si="205"/>
        <v>-6.3127915412506486</v>
      </c>
      <c r="AB472" s="337">
        <f t="shared" si="206"/>
        <v>-105.92305933189273</v>
      </c>
      <c r="AD472">
        <f t="shared" si="210"/>
        <v>0</v>
      </c>
      <c r="AE472">
        <f t="shared" si="187"/>
        <v>0</v>
      </c>
    </row>
    <row r="473" spans="1:31" x14ac:dyDescent="0.25">
      <c r="A473" s="338">
        <v>54954</v>
      </c>
      <c r="B473" s="355">
        <f t="shared" si="207"/>
        <v>54.954000000000001</v>
      </c>
      <c r="C473" s="328">
        <f t="shared" si="188"/>
        <v>12.373452794054918</v>
      </c>
      <c r="D473" s="329">
        <f t="shared" si="189"/>
        <v>1.4898899035609932</v>
      </c>
      <c r="E473" s="329">
        <f t="shared" si="190"/>
        <v>1.0002596329781652</v>
      </c>
      <c r="F473" s="330">
        <f t="shared" si="191"/>
        <v>2.2784943107463058E-2</v>
      </c>
      <c r="G473" s="329">
        <f t="shared" si="192"/>
        <v>1</v>
      </c>
      <c r="H473" s="330">
        <f t="shared" si="193"/>
        <v>0</v>
      </c>
      <c r="I473" s="328">
        <f t="shared" si="194"/>
        <v>120105.99389550081</v>
      </c>
      <c r="J473" s="331">
        <f t="shared" si="195"/>
        <v>1.5707880008157546</v>
      </c>
      <c r="K473" s="339">
        <f t="shared" si="211"/>
        <v>15.498008475402822</v>
      </c>
      <c r="L473" s="340">
        <f t="shared" si="212"/>
        <v>1.5062270497177599</v>
      </c>
      <c r="M473" s="328">
        <f t="shared" si="196"/>
        <v>1.030276447639322</v>
      </c>
      <c r="N473" s="331">
        <f t="shared" si="197"/>
        <v>0.2430300008635296</v>
      </c>
      <c r="O473" s="332">
        <f t="shared" si="198"/>
        <v>1.0113209575239526</v>
      </c>
      <c r="P473" s="333">
        <f t="shared" si="199"/>
        <v>0.38417289347753708</v>
      </c>
      <c r="Q473" s="334">
        <f t="shared" si="200"/>
        <v>-3.768967909214846</v>
      </c>
      <c r="R473" s="335">
        <f t="shared" si="201"/>
        <v>-123.69407124143433</v>
      </c>
      <c r="S473" s="337">
        <f t="shared" si="202"/>
        <v>56.30592875856567</v>
      </c>
      <c r="U473" s="310">
        <f t="shared" si="208"/>
        <v>54954</v>
      </c>
      <c r="V473" s="310">
        <f t="shared" si="209"/>
        <v>3019942116</v>
      </c>
      <c r="X473" s="336">
        <f t="shared" si="203"/>
        <v>2.5943291598329692</v>
      </c>
      <c r="Y473" s="337">
        <f t="shared" si="204"/>
        <v>-17.623663383944564</v>
      </c>
      <c r="AA473" s="336">
        <f t="shared" si="205"/>
        <v>-6.3632970690478157</v>
      </c>
      <c r="AB473" s="337">
        <f t="shared" si="206"/>
        <v>-106.07040785748974</v>
      </c>
      <c r="AD473">
        <f t="shared" si="210"/>
        <v>0</v>
      </c>
      <c r="AE473">
        <f t="shared" si="187"/>
        <v>0</v>
      </c>
    </row>
    <row r="474" spans="1:31" x14ac:dyDescent="0.25">
      <c r="A474" s="338">
        <v>55274</v>
      </c>
      <c r="B474" s="355">
        <f t="shared" si="207"/>
        <v>55.274000000000001</v>
      </c>
      <c r="C474" s="328">
        <f t="shared" si="188"/>
        <v>12.445034798096522</v>
      </c>
      <c r="D474" s="329">
        <f t="shared" si="189"/>
        <v>1.4903562746314671</v>
      </c>
      <c r="E474" s="329">
        <f t="shared" si="190"/>
        <v>1.0002626650962883</v>
      </c>
      <c r="F474" s="330">
        <f t="shared" si="191"/>
        <v>2.2917574699118173E-2</v>
      </c>
      <c r="G474" s="329">
        <f t="shared" si="192"/>
        <v>1</v>
      </c>
      <c r="H474" s="330">
        <f t="shared" si="193"/>
        <v>0</v>
      </c>
      <c r="I474" s="328">
        <f t="shared" si="194"/>
        <v>120805.3773442744</v>
      </c>
      <c r="J474" s="331">
        <f t="shared" si="195"/>
        <v>1.5707880490176818</v>
      </c>
      <c r="K474" s="339">
        <f t="shared" si="211"/>
        <v>15.587879538821298</v>
      </c>
      <c r="L474" s="340">
        <f t="shared" si="212"/>
        <v>1.5065998340746354</v>
      </c>
      <c r="M474" s="328">
        <f t="shared" si="196"/>
        <v>1.0306248220078833</v>
      </c>
      <c r="N474" s="331">
        <f t="shared" si="197"/>
        <v>0.24438964883793082</v>
      </c>
      <c r="O474" s="332">
        <f t="shared" si="198"/>
        <v>1.0114751789567133</v>
      </c>
      <c r="P474" s="333">
        <f t="shared" si="199"/>
        <v>0.38646598491390577</v>
      </c>
      <c r="Q474" s="334">
        <f t="shared" si="200"/>
        <v>-3.8235155041139572</v>
      </c>
      <c r="R474" s="335">
        <f t="shared" si="201"/>
        <v>-123.9011234486119</v>
      </c>
      <c r="S474" s="337">
        <f t="shared" si="202"/>
        <v>56.098876551388102</v>
      </c>
      <c r="U474" s="310">
        <f t="shared" si="208"/>
        <v>55274</v>
      </c>
      <c r="V474" s="310">
        <f t="shared" si="209"/>
        <v>3055215076</v>
      </c>
      <c r="X474" s="336">
        <f t="shared" si="203"/>
        <v>2.5911838794836317</v>
      </c>
      <c r="Y474" s="337">
        <f t="shared" si="204"/>
        <v>-17.68020926601541</v>
      </c>
      <c r="AA474" s="336">
        <f t="shared" si="205"/>
        <v>-6.4146993835975881</v>
      </c>
      <c r="AB474" s="337">
        <f t="shared" si="206"/>
        <v>-106.22091418259647</v>
      </c>
      <c r="AD474">
        <f t="shared" si="210"/>
        <v>0</v>
      </c>
      <c r="AE474">
        <f t="shared" ref="AE474:AE537" si="213">IF(AD474&gt;0,S474,0)</f>
        <v>0</v>
      </c>
    </row>
    <row r="475" spans="1:31" x14ac:dyDescent="0.25">
      <c r="A475" s="338">
        <v>55594</v>
      </c>
      <c r="B475" s="355">
        <f t="shared" si="207"/>
        <v>55.594000000000001</v>
      </c>
      <c r="C475" s="328">
        <f t="shared" si="188"/>
        <v>12.516619477997065</v>
      </c>
      <c r="D475" s="329">
        <f t="shared" si="189"/>
        <v>1.4908173112900001</v>
      </c>
      <c r="E475" s="329">
        <f t="shared" si="190"/>
        <v>1.0002657148100644</v>
      </c>
      <c r="F475" s="330">
        <f t="shared" si="191"/>
        <v>2.3050205484344517E-2</v>
      </c>
      <c r="G475" s="329">
        <f t="shared" si="192"/>
        <v>1</v>
      </c>
      <c r="H475" s="330">
        <f t="shared" si="193"/>
        <v>0</v>
      </c>
      <c r="I475" s="328">
        <f t="shared" si="194"/>
        <v>121504.76079304826</v>
      </c>
      <c r="J475" s="331">
        <f t="shared" si="195"/>
        <v>1.5707880966647068</v>
      </c>
      <c r="K475" s="339">
        <f t="shared" si="211"/>
        <v>15.677752743623552</v>
      </c>
      <c r="L475" s="340">
        <f t="shared" si="212"/>
        <v>1.506968344486413</v>
      </c>
      <c r="M475" s="328">
        <f t="shared" si="196"/>
        <v>1.0309751003437544</v>
      </c>
      <c r="N475" s="331">
        <f t="shared" si="197"/>
        <v>0.24574837542992548</v>
      </c>
      <c r="O475" s="332">
        <f t="shared" si="198"/>
        <v>1.0116308017014994</v>
      </c>
      <c r="P475" s="333">
        <f t="shared" si="199"/>
        <v>0.38875995057444257</v>
      </c>
      <c r="Q475" s="334">
        <f t="shared" si="200"/>
        <v>-3.8778007296213532</v>
      </c>
      <c r="R475" s="335">
        <f t="shared" si="201"/>
        <v>-124.1081122079583</v>
      </c>
      <c r="S475" s="337">
        <f t="shared" si="202"/>
        <v>55.8918877920417</v>
      </c>
      <c r="U475" s="310">
        <f t="shared" si="208"/>
        <v>55594</v>
      </c>
      <c r="V475" s="310">
        <f t="shared" si="209"/>
        <v>3090692836</v>
      </c>
      <c r="X475" s="336">
        <f t="shared" si="203"/>
        <v>2.5880271354583599</v>
      </c>
      <c r="Y475" s="337">
        <f t="shared" si="204"/>
        <v>-17.736947203985675</v>
      </c>
      <c r="AA475" s="336">
        <f t="shared" si="205"/>
        <v>-6.4658278650797119</v>
      </c>
      <c r="AB475" s="337">
        <f t="shared" si="206"/>
        <v>-106.37116500397264</v>
      </c>
      <c r="AD475">
        <f t="shared" si="210"/>
        <v>0</v>
      </c>
      <c r="AE475">
        <f t="shared" si="213"/>
        <v>0</v>
      </c>
    </row>
    <row r="476" spans="1:31" x14ac:dyDescent="0.25">
      <c r="A476" s="338">
        <v>55914</v>
      </c>
      <c r="B476" s="355">
        <f t="shared" si="207"/>
        <v>55.914000000000001</v>
      </c>
      <c r="C476" s="328">
        <f t="shared" si="188"/>
        <v>12.588206788106561</v>
      </c>
      <c r="D476" s="329">
        <f t="shared" si="189"/>
        <v>1.4912731043469956</v>
      </c>
      <c r="E476" s="329">
        <f t="shared" si="190"/>
        <v>1.0002687821193323</v>
      </c>
      <c r="F476" s="330">
        <f t="shared" si="191"/>
        <v>2.3182835458483292E-2</v>
      </c>
      <c r="G476" s="329">
        <f t="shared" si="192"/>
        <v>1</v>
      </c>
      <c r="H476" s="330">
        <f t="shared" si="193"/>
        <v>0</v>
      </c>
      <c r="I476" s="328">
        <f t="shared" si="194"/>
        <v>122204.1442418224</v>
      </c>
      <c r="J476" s="331">
        <f t="shared" si="195"/>
        <v>1.5707881437663569</v>
      </c>
      <c r="K476" s="339">
        <f t="shared" si="211"/>
        <v>15.767628053192849</v>
      </c>
      <c r="L476" s="340">
        <f t="shared" si="212"/>
        <v>1.5073326539364627</v>
      </c>
      <c r="M476" s="328">
        <f t="shared" si="196"/>
        <v>1.0313272807069542</v>
      </c>
      <c r="N476" s="331">
        <f t="shared" si="197"/>
        <v>0.24710617656409614</v>
      </c>
      <c r="O476" s="332">
        <f t="shared" si="198"/>
        <v>1.0117878343083029</v>
      </c>
      <c r="P476" s="333">
        <f t="shared" si="199"/>
        <v>0.39105479256405179</v>
      </c>
      <c r="Q476" s="334">
        <f t="shared" si="200"/>
        <v>-3.9318269175445701</v>
      </c>
      <c r="R476" s="335">
        <f t="shared" si="201"/>
        <v>-124.31503842879812</v>
      </c>
      <c r="S476" s="337">
        <f t="shared" si="202"/>
        <v>55.684961571201882</v>
      </c>
      <c r="U476" s="310">
        <f t="shared" si="208"/>
        <v>55914</v>
      </c>
      <c r="V476" s="310">
        <f t="shared" si="209"/>
        <v>3126375396</v>
      </c>
      <c r="X476" s="336">
        <f t="shared" si="203"/>
        <v>2.5848588782188209</v>
      </c>
      <c r="Y476" s="337">
        <f t="shared" si="204"/>
        <v>-17.79387278325796</v>
      </c>
      <c r="AA476" s="336">
        <f t="shared" si="205"/>
        <v>-6.5166857957633901</v>
      </c>
      <c r="AB476" s="337">
        <f t="shared" si="206"/>
        <v>-106.52116564554017</v>
      </c>
      <c r="AD476">
        <f t="shared" si="210"/>
        <v>0</v>
      </c>
      <c r="AE476">
        <f t="shared" si="213"/>
        <v>0</v>
      </c>
    </row>
    <row r="477" spans="1:31" x14ac:dyDescent="0.25">
      <c r="A477" s="338">
        <v>56234</v>
      </c>
      <c r="B477" s="355">
        <f t="shared" si="207"/>
        <v>56.234000000000002</v>
      </c>
      <c r="C477" s="328">
        <f t="shared" si="188"/>
        <v>12.65979668380591</v>
      </c>
      <c r="D477" s="329">
        <f t="shared" si="189"/>
        <v>1.4917237425675907</v>
      </c>
      <c r="E477" s="329">
        <f t="shared" si="190"/>
        <v>1.0002718670239301</v>
      </c>
      <c r="F477" s="330">
        <f t="shared" si="191"/>
        <v>2.3315464616875871E-2</v>
      </c>
      <c r="G477" s="329">
        <f t="shared" si="192"/>
        <v>1</v>
      </c>
      <c r="H477" s="330">
        <f t="shared" si="193"/>
        <v>0</v>
      </c>
      <c r="I477" s="328">
        <f t="shared" si="194"/>
        <v>122903.52769059681</v>
      </c>
      <c r="J477" s="331">
        <f t="shared" si="195"/>
        <v>1.5707881903319423</v>
      </c>
      <c r="K477" s="339">
        <f t="shared" si="211"/>
        <v>15.857505431741734</v>
      </c>
      <c r="L477" s="340">
        <f t="shared" si="212"/>
        <v>1.507692833758048</v>
      </c>
      <c r="M477" s="328">
        <f t="shared" si="196"/>
        <v>1.0316813611496232</v>
      </c>
      <c r="N477" s="331">
        <f t="shared" si="197"/>
        <v>0.24846304818422493</v>
      </c>
      <c r="O477" s="332">
        <f t="shared" si="198"/>
        <v>1.0119462853690202</v>
      </c>
      <c r="P477" s="333">
        <f t="shared" si="199"/>
        <v>0.39335051293641338</v>
      </c>
      <c r="Q477" s="334">
        <f t="shared" si="200"/>
        <v>-3.9855973439232746</v>
      </c>
      <c r="R477" s="335">
        <f t="shared" si="201"/>
        <v>-124.52190299596751</v>
      </c>
      <c r="S477" s="337">
        <f t="shared" si="202"/>
        <v>55.478097004032492</v>
      </c>
      <c r="U477" s="310">
        <f t="shared" si="208"/>
        <v>56234</v>
      </c>
      <c r="V477" s="310">
        <f t="shared" si="209"/>
        <v>3162262756</v>
      </c>
      <c r="X477" s="336">
        <f t="shared" si="203"/>
        <v>2.5816790606422479</v>
      </c>
      <c r="Y477" s="337">
        <f t="shared" si="204"/>
        <v>-17.850981684866579</v>
      </c>
      <c r="AA477" s="336">
        <f t="shared" si="205"/>
        <v>-6.5672764045655194</v>
      </c>
      <c r="AB477" s="337">
        <f t="shared" si="206"/>
        <v>-106.67092131110093</v>
      </c>
      <c r="AD477">
        <f t="shared" si="210"/>
        <v>0</v>
      </c>
      <c r="AE477">
        <f t="shared" si="213"/>
        <v>0</v>
      </c>
    </row>
    <row r="478" spans="1:31" x14ac:dyDescent="0.25">
      <c r="A478" s="338">
        <v>56561.5</v>
      </c>
      <c r="B478" s="355">
        <f t="shared" si="207"/>
        <v>56.561500000000002</v>
      </c>
      <c r="C478" s="328">
        <f t="shared" si="188"/>
        <v>12.733067099376019</v>
      </c>
      <c r="D478" s="329">
        <f t="shared" si="189"/>
        <v>1.492179695686223</v>
      </c>
      <c r="E478" s="329">
        <f t="shared" si="190"/>
        <v>1.0002750424495583</v>
      </c>
      <c r="F478" s="330">
        <f t="shared" si="191"/>
        <v>2.3451201421658258E-2</v>
      </c>
      <c r="G478" s="329">
        <f t="shared" si="192"/>
        <v>1</v>
      </c>
      <c r="H478" s="330">
        <f t="shared" si="193"/>
        <v>0</v>
      </c>
      <c r="I478" s="328">
        <f t="shared" si="194"/>
        <v>123619.30293895214</v>
      </c>
      <c r="J478" s="331">
        <f t="shared" si="195"/>
        <v>1.5707882374433453</v>
      </c>
      <c r="K478" s="339">
        <f t="shared" si="211"/>
        <v>15.949491417136688</v>
      </c>
      <c r="L478" s="340">
        <f t="shared" si="212"/>
        <v>1.5080572521037767</v>
      </c>
      <c r="M478" s="328">
        <f t="shared" si="196"/>
        <v>1.0320457057128305</v>
      </c>
      <c r="N478" s="331">
        <f t="shared" si="197"/>
        <v>0.24985075482283398</v>
      </c>
      <c r="O478" s="332">
        <f t="shared" si="198"/>
        <v>1.0121099278471388</v>
      </c>
      <c r="P478" s="333">
        <f t="shared" si="199"/>
        <v>0.39570095084865176</v>
      </c>
      <c r="Q478" s="334">
        <f t="shared" si="200"/>
        <v>-4.0403665526619452</v>
      </c>
      <c r="R478" s="335">
        <f t="shared" si="201"/>
        <v>-124.73355301159471</v>
      </c>
      <c r="S478" s="337">
        <f t="shared" si="202"/>
        <v>55.266446988405292</v>
      </c>
      <c r="U478" s="310">
        <f t="shared" si="208"/>
        <v>56561.5</v>
      </c>
      <c r="V478" s="310">
        <f t="shared" si="209"/>
        <v>3199203282.25</v>
      </c>
      <c r="X478" s="336">
        <f t="shared" si="203"/>
        <v>2.5784126994398382</v>
      </c>
      <c r="Y478" s="337">
        <f t="shared" si="204"/>
        <v>-17.909614484625319</v>
      </c>
      <c r="AA478" s="336">
        <f t="shared" si="205"/>
        <v>-6.6187792521017839</v>
      </c>
      <c r="AB478" s="337">
        <f t="shared" si="206"/>
        <v>-106.8239385269694</v>
      </c>
      <c r="AD478">
        <f t="shared" si="210"/>
        <v>0</v>
      </c>
      <c r="AE478">
        <f t="shared" si="213"/>
        <v>0</v>
      </c>
    </row>
    <row r="479" spans="1:31" x14ac:dyDescent="0.25">
      <c r="A479" s="338">
        <v>56889</v>
      </c>
      <c r="B479" s="355">
        <f t="shared" si="207"/>
        <v>56.889000000000003</v>
      </c>
      <c r="C479" s="328">
        <f t="shared" si="188"/>
        <v>12.806340131773922</v>
      </c>
      <c r="D479" s="329">
        <f t="shared" si="189"/>
        <v>1.4926304313152388</v>
      </c>
      <c r="E479" s="329">
        <f t="shared" si="190"/>
        <v>1.0002782363046168</v>
      </c>
      <c r="F479" s="330">
        <f t="shared" si="191"/>
        <v>2.3586937362135314E-2</v>
      </c>
      <c r="G479" s="329">
        <f t="shared" si="192"/>
        <v>1</v>
      </c>
      <c r="H479" s="330">
        <f t="shared" si="193"/>
        <v>0</v>
      </c>
      <c r="I479" s="328">
        <f t="shared" si="194"/>
        <v>124335.07818730774</v>
      </c>
      <c r="J479" s="331">
        <f t="shared" si="195"/>
        <v>1.570788284012324</v>
      </c>
      <c r="K479" s="339">
        <f t="shared" si="211"/>
        <v>16.041479496344081</v>
      </c>
      <c r="L479" s="340">
        <f t="shared" si="212"/>
        <v>1.5084174910639809</v>
      </c>
      <c r="M479" s="328">
        <f t="shared" si="196"/>
        <v>1.0324120363121281</v>
      </c>
      <c r="N479" s="331">
        <f t="shared" si="197"/>
        <v>0.25123747933087087</v>
      </c>
      <c r="O479" s="332">
        <f t="shared" si="198"/>
        <v>1.0122750743917963</v>
      </c>
      <c r="P479" s="333">
        <f t="shared" si="199"/>
        <v>0.39805231298738819</v>
      </c>
      <c r="Q479" s="334">
        <f t="shared" si="200"/>
        <v>-4.0948746402283911</v>
      </c>
      <c r="R479" s="335">
        <f t="shared" si="201"/>
        <v>-124.9451402490221</v>
      </c>
      <c r="S479" s="337">
        <f t="shared" si="202"/>
        <v>55.054859750977897</v>
      </c>
      <c r="U479" s="310">
        <f t="shared" si="208"/>
        <v>56889</v>
      </c>
      <c r="V479" s="310">
        <f t="shared" si="209"/>
        <v>3236358321</v>
      </c>
      <c r="X479" s="336">
        <f t="shared" si="203"/>
        <v>2.5751341372008789</v>
      </c>
      <c r="Y479" s="337">
        <f t="shared" si="204"/>
        <v>-17.968430442520454</v>
      </c>
      <c r="AA479" s="336">
        <f t="shared" si="205"/>
        <v>-6.6700087774292696</v>
      </c>
      <c r="AB479" s="337">
        <f t="shared" si="206"/>
        <v>-106.97670980650163</v>
      </c>
      <c r="AD479">
        <f t="shared" si="210"/>
        <v>0</v>
      </c>
      <c r="AE479">
        <f t="shared" si="213"/>
        <v>0</v>
      </c>
    </row>
    <row r="480" spans="1:31" x14ac:dyDescent="0.25">
      <c r="A480" s="338">
        <v>57216.5</v>
      </c>
      <c r="B480" s="355">
        <f t="shared" si="207"/>
        <v>57.216500000000003</v>
      </c>
      <c r="C480" s="328">
        <f t="shared" si="188"/>
        <v>12.879615736337676</v>
      </c>
      <c r="D480" s="329">
        <f t="shared" si="189"/>
        <v>1.4930760383210242</v>
      </c>
      <c r="E480" s="329">
        <f t="shared" si="190"/>
        <v>1.0002814485889293</v>
      </c>
      <c r="F480" s="330">
        <f t="shared" si="191"/>
        <v>2.3722672433313677E-2</v>
      </c>
      <c r="G480" s="329">
        <f t="shared" si="192"/>
        <v>1</v>
      </c>
      <c r="H480" s="330">
        <f t="shared" si="193"/>
        <v>0</v>
      </c>
      <c r="I480" s="328">
        <f t="shared" si="194"/>
        <v>125050.85343566359</v>
      </c>
      <c r="J480" s="331">
        <f t="shared" si="195"/>
        <v>1.5707883300481928</v>
      </c>
      <c r="K480" s="339">
        <f t="shared" si="211"/>
        <v>16.13346963354909</v>
      </c>
      <c r="L480" s="340">
        <f t="shared" si="212"/>
        <v>1.5087736220346637</v>
      </c>
      <c r="M480" s="328">
        <f t="shared" si="196"/>
        <v>1.0327803508341558</v>
      </c>
      <c r="N480" s="331">
        <f t="shared" si="197"/>
        <v>0.2526232174229231</v>
      </c>
      <c r="O480" s="332">
        <f t="shared" si="198"/>
        <v>1.0124417343486076</v>
      </c>
      <c r="P480" s="333">
        <f t="shared" si="199"/>
        <v>0.4004046013856386</v>
      </c>
      <c r="Q480" s="334">
        <f t="shared" si="200"/>
        <v>-4.1491249450878698</v>
      </c>
      <c r="R480" s="335">
        <f t="shared" si="201"/>
        <v>-125.15666558099575</v>
      </c>
      <c r="S480" s="337">
        <f t="shared" si="202"/>
        <v>54.84333441900425</v>
      </c>
      <c r="U480" s="310">
        <f t="shared" si="208"/>
        <v>57216.5</v>
      </c>
      <c r="V480" s="310">
        <f t="shared" si="209"/>
        <v>3273727872.25</v>
      </c>
      <c r="X480" s="336">
        <f t="shared" si="203"/>
        <v>2.5718433307665056</v>
      </c>
      <c r="Y480" s="337">
        <f t="shared" si="204"/>
        <v>-18.027425222859936</v>
      </c>
      <c r="AA480" s="336">
        <f t="shared" si="205"/>
        <v>-6.7209682758543776</v>
      </c>
      <c r="AB480" s="337">
        <f t="shared" si="206"/>
        <v>-107.1292403581358</v>
      </c>
      <c r="AD480">
        <f t="shared" si="210"/>
        <v>0</v>
      </c>
      <c r="AE480">
        <f t="shared" si="213"/>
        <v>0</v>
      </c>
    </row>
    <row r="481" spans="1:31" x14ac:dyDescent="0.25">
      <c r="A481" s="338">
        <v>57544</v>
      </c>
      <c r="B481" s="355">
        <f t="shared" si="207"/>
        <v>57.543999999999997</v>
      </c>
      <c r="C481" s="328">
        <f t="shared" si="188"/>
        <v>12.952893869414403</v>
      </c>
      <c r="D481" s="329">
        <f t="shared" si="189"/>
        <v>1.493516603567252</v>
      </c>
      <c r="E481" s="329">
        <f t="shared" si="190"/>
        <v>1.0002846793023183</v>
      </c>
      <c r="F481" s="330">
        <f t="shared" si="191"/>
        <v>2.3858406630200168E-2</v>
      </c>
      <c r="G481" s="329">
        <f t="shared" si="192"/>
        <v>1</v>
      </c>
      <c r="H481" s="330">
        <f t="shared" si="193"/>
        <v>0</v>
      </c>
      <c r="I481" s="328">
        <f t="shared" si="194"/>
        <v>125766.62868401974</v>
      </c>
      <c r="J481" s="331">
        <f t="shared" si="195"/>
        <v>1.5707883755600542</v>
      </c>
      <c r="K481" s="339">
        <f t="shared" si="211"/>
        <v>16.225461793748316</v>
      </c>
      <c r="L481" s="340">
        <f t="shared" si="212"/>
        <v>1.5091257147968986</v>
      </c>
      <c r="M481" s="328">
        <f t="shared" si="196"/>
        <v>1.033150647157129</v>
      </c>
      <c r="N481" s="331">
        <f t="shared" si="197"/>
        <v>0.25400796483482579</v>
      </c>
      <c r="O481" s="332">
        <f t="shared" si="198"/>
        <v>1.012609917108473</v>
      </c>
      <c r="P481" s="333">
        <f t="shared" si="199"/>
        <v>0.40275781801900173</v>
      </c>
      <c r="Q481" s="334">
        <f t="shared" si="200"/>
        <v>-4.2031207498588756</v>
      </c>
      <c r="R481" s="335">
        <f t="shared" si="201"/>
        <v>-125.36812985595895</v>
      </c>
      <c r="S481" s="337">
        <f t="shared" si="202"/>
        <v>54.631870144041045</v>
      </c>
      <c r="U481" s="310">
        <f t="shared" si="208"/>
        <v>57544</v>
      </c>
      <c r="V481" s="310">
        <f t="shared" si="209"/>
        <v>3311311936</v>
      </c>
      <c r="X481" s="336">
        <f t="shared" si="203"/>
        <v>2.5685402392984473</v>
      </c>
      <c r="Y481" s="337">
        <f t="shared" si="204"/>
        <v>-18.086594583685645</v>
      </c>
      <c r="AA481" s="336">
        <f t="shared" si="205"/>
        <v>-6.7716609891573238</v>
      </c>
      <c r="AB481" s="337">
        <f t="shared" si="206"/>
        <v>-107.28153527227332</v>
      </c>
      <c r="AD481">
        <f t="shared" si="210"/>
        <v>0</v>
      </c>
      <c r="AE481">
        <f t="shared" si="213"/>
        <v>0</v>
      </c>
    </row>
    <row r="482" spans="1:31" x14ac:dyDescent="0.25">
      <c r="A482" s="338">
        <v>57879</v>
      </c>
      <c r="B482" s="355">
        <f t="shared" si="207"/>
        <v>57.878999999999998</v>
      </c>
      <c r="C482" s="328">
        <f t="shared" si="188"/>
        <v>13.02785269922901</v>
      </c>
      <c r="D482" s="329">
        <f t="shared" si="189"/>
        <v>1.4939621303376018</v>
      </c>
      <c r="E482" s="329">
        <f t="shared" si="190"/>
        <v>1.0002880030682926</v>
      </c>
      <c r="F482" s="330">
        <f t="shared" si="191"/>
        <v>2.3997248334049977E-2</v>
      </c>
      <c r="G482" s="329">
        <f t="shared" si="192"/>
        <v>1</v>
      </c>
      <c r="H482" s="330">
        <f t="shared" si="193"/>
        <v>0</v>
      </c>
      <c r="I482" s="328">
        <f t="shared" si="194"/>
        <v>126498.79573195679</v>
      </c>
      <c r="J482" s="331">
        <f t="shared" si="195"/>
        <v>1.5707884215812997</v>
      </c>
      <c r="K482" s="339">
        <f t="shared" si="211"/>
        <v>16.319562701991241</v>
      </c>
      <c r="L482" s="340">
        <f t="shared" si="212"/>
        <v>1.5094817638698057</v>
      </c>
      <c r="M482" s="328">
        <f t="shared" si="196"/>
        <v>1.0335314717255608</v>
      </c>
      <c r="N482" s="331">
        <f t="shared" si="197"/>
        <v>0.25542339462547958</v>
      </c>
      <c r="O482" s="332">
        <f t="shared" si="198"/>
        <v>1.0127835367317308</v>
      </c>
      <c r="P482" s="333">
        <f t="shared" si="199"/>
        <v>0.40516588747313453</v>
      </c>
      <c r="Q482" s="334">
        <f t="shared" si="200"/>
        <v>-4.2580931555193304</v>
      </c>
      <c r="R482" s="335">
        <f t="shared" si="201"/>
        <v>-125.58437451349994</v>
      </c>
      <c r="S482" s="337">
        <f t="shared" si="202"/>
        <v>54.415625486500062</v>
      </c>
      <c r="U482" s="310">
        <f t="shared" si="208"/>
        <v>57879</v>
      </c>
      <c r="V482" s="310">
        <f t="shared" si="209"/>
        <v>3349978641</v>
      </c>
      <c r="X482" s="336">
        <f t="shared" si="203"/>
        <v>2.5651487540334807</v>
      </c>
      <c r="Y482" s="337">
        <f t="shared" si="204"/>
        <v>-18.147295264602569</v>
      </c>
      <c r="AA482" s="336">
        <f t="shared" si="205"/>
        <v>-6.8232419095528112</v>
      </c>
      <c r="AB482" s="337">
        <f t="shared" si="206"/>
        <v>-107.43707924889738</v>
      </c>
      <c r="AD482">
        <f t="shared" si="210"/>
        <v>0</v>
      </c>
      <c r="AE482">
        <f t="shared" si="213"/>
        <v>0</v>
      </c>
    </row>
    <row r="483" spans="1:31" x14ac:dyDescent="0.25">
      <c r="A483" s="338">
        <v>58214</v>
      </c>
      <c r="B483" s="355">
        <f t="shared" si="207"/>
        <v>58.213999999999999</v>
      </c>
      <c r="C483" s="328">
        <f t="shared" si="188"/>
        <v>13.102814085407728</v>
      </c>
      <c r="D483" s="329">
        <f t="shared" si="189"/>
        <v>1.4944025594645332</v>
      </c>
      <c r="E483" s="329">
        <f t="shared" si="190"/>
        <v>1.0002913461167091</v>
      </c>
      <c r="F483" s="330">
        <f t="shared" si="191"/>
        <v>2.4136089112537507E-2</v>
      </c>
      <c r="G483" s="329">
        <f t="shared" si="192"/>
        <v>1</v>
      </c>
      <c r="H483" s="330">
        <f t="shared" si="193"/>
        <v>0</v>
      </c>
      <c r="I483" s="328">
        <f t="shared" si="194"/>
        <v>127230.96277989412</v>
      </c>
      <c r="J483" s="331">
        <f t="shared" si="195"/>
        <v>1.5707884670728749</v>
      </c>
      <c r="K483" s="339">
        <f t="shared" si="211"/>
        <v>16.413665655358624</v>
      </c>
      <c r="L483" s="340">
        <f t="shared" si="212"/>
        <v>1.5098337303803753</v>
      </c>
      <c r="M483" s="328">
        <f t="shared" si="196"/>
        <v>1.0339143653860532</v>
      </c>
      <c r="N483" s="331">
        <f t="shared" si="197"/>
        <v>0.25683777888442377</v>
      </c>
      <c r="O483" s="332">
        <f t="shared" si="198"/>
        <v>1.0129587697245723</v>
      </c>
      <c r="P483" s="333">
        <f t="shared" si="199"/>
        <v>0.40757493216012208</v>
      </c>
      <c r="Q483" s="334">
        <f t="shared" si="200"/>
        <v>-4.3128060456410013</v>
      </c>
      <c r="R483" s="335">
        <f t="shared" si="201"/>
        <v>-125.80055700602284</v>
      </c>
      <c r="S483" s="337">
        <f t="shared" si="202"/>
        <v>54.199442993977158</v>
      </c>
      <c r="U483" s="310">
        <f t="shared" si="208"/>
        <v>58214</v>
      </c>
      <c r="V483" s="310">
        <f t="shared" si="209"/>
        <v>3388869796</v>
      </c>
      <c r="X483" s="336">
        <f t="shared" si="203"/>
        <v>2.5617443352916567</v>
      </c>
      <c r="Y483" s="337">
        <f t="shared" si="204"/>
        <v>-18.208169924209052</v>
      </c>
      <c r="AA483" s="336">
        <f t="shared" si="205"/>
        <v>-6.8745503809326607</v>
      </c>
      <c r="AB483" s="337">
        <f t="shared" si="206"/>
        <v>-107.59238708181378</v>
      </c>
      <c r="AD483">
        <f t="shared" si="210"/>
        <v>0</v>
      </c>
      <c r="AE483">
        <f t="shared" si="213"/>
        <v>0</v>
      </c>
    </row>
    <row r="484" spans="1:31" x14ac:dyDescent="0.25">
      <c r="A484" s="338">
        <v>58549</v>
      </c>
      <c r="B484" s="355">
        <f t="shared" si="207"/>
        <v>58.548999999999999</v>
      </c>
      <c r="C484" s="328">
        <f t="shared" si="188"/>
        <v>13.177777984325163</v>
      </c>
      <c r="D484" s="329">
        <f t="shared" si="189"/>
        <v>1.4948379777719851</v>
      </c>
      <c r="E484" s="329">
        <f t="shared" si="190"/>
        <v>1.0002947084473746</v>
      </c>
      <c r="F484" s="330">
        <f t="shared" si="191"/>
        <v>2.427492896031927E-2</v>
      </c>
      <c r="G484" s="329">
        <f t="shared" si="192"/>
        <v>1</v>
      </c>
      <c r="H484" s="330">
        <f t="shared" si="193"/>
        <v>0</v>
      </c>
      <c r="I484" s="328">
        <f t="shared" si="194"/>
        <v>127963.12982783173</v>
      </c>
      <c r="J484" s="331">
        <f t="shared" si="195"/>
        <v>1.5707885120438714</v>
      </c>
      <c r="K484" s="339">
        <f t="shared" si="211"/>
        <v>16.507770618875611</v>
      </c>
      <c r="L484" s="340">
        <f t="shared" si="212"/>
        <v>1.5101816840603826</v>
      </c>
      <c r="M484" s="328">
        <f t="shared" si="196"/>
        <v>1.0342993258406967</v>
      </c>
      <c r="N484" s="331">
        <f t="shared" si="197"/>
        <v>0.25825111311706528</v>
      </c>
      <c r="O484" s="332">
        <f t="shared" si="198"/>
        <v>1.0131356262838573</v>
      </c>
      <c r="P484" s="333">
        <f t="shared" si="199"/>
        <v>0.40998495400595786</v>
      </c>
      <c r="Q484" s="334">
        <f t="shared" si="200"/>
        <v>-4.3672627602842304</v>
      </c>
      <c r="R484" s="335">
        <f t="shared" si="201"/>
        <v>-126.01667816649363</v>
      </c>
      <c r="S484" s="337">
        <f t="shared" si="202"/>
        <v>53.983321833506366</v>
      </c>
      <c r="U484" s="310">
        <f t="shared" si="208"/>
        <v>58549</v>
      </c>
      <c r="V484" s="310">
        <f t="shared" si="209"/>
        <v>3427985401</v>
      </c>
      <c r="X484" s="336">
        <f t="shared" si="203"/>
        <v>2.5583269464185916</v>
      </c>
      <c r="Y484" s="337">
        <f t="shared" si="204"/>
        <v>-18.269214310168358</v>
      </c>
      <c r="AA484" s="336">
        <f t="shared" si="205"/>
        <v>-6.9255897067028203</v>
      </c>
      <c r="AB484" s="337">
        <f t="shared" si="206"/>
        <v>-107.74746385632531</v>
      </c>
      <c r="AD484">
        <f t="shared" si="210"/>
        <v>0</v>
      </c>
      <c r="AE484">
        <f t="shared" si="213"/>
        <v>0</v>
      </c>
    </row>
    <row r="485" spans="1:31" x14ac:dyDescent="0.25">
      <c r="A485" s="338">
        <v>58884</v>
      </c>
      <c r="B485" s="355">
        <f t="shared" si="207"/>
        <v>58.884</v>
      </c>
      <c r="C485" s="328">
        <f t="shared" si="188"/>
        <v>13.252744353341534</v>
      </c>
      <c r="D485" s="329">
        <f t="shared" si="189"/>
        <v>1.4952684701270595</v>
      </c>
      <c r="E485" s="329">
        <f t="shared" si="190"/>
        <v>1.0002980900600944</v>
      </c>
      <c r="F485" s="330">
        <f t="shared" si="191"/>
        <v>2.4413767872051979E-2</v>
      </c>
      <c r="G485" s="329">
        <f t="shared" si="192"/>
        <v>1</v>
      </c>
      <c r="H485" s="330">
        <f t="shared" si="193"/>
        <v>0</v>
      </c>
      <c r="I485" s="328">
        <f t="shared" si="194"/>
        <v>128695.29687576956</v>
      </c>
      <c r="J485" s="331">
        <f t="shared" si="195"/>
        <v>1.5707885565031743</v>
      </c>
      <c r="K485" s="339">
        <f t="shared" si="211"/>
        <v>16.601877558359615</v>
      </c>
      <c r="L485" s="340">
        <f t="shared" si="212"/>
        <v>1.5105256930644553</v>
      </c>
      <c r="M485" s="328">
        <f t="shared" si="196"/>
        <v>1.0346863507826063</v>
      </c>
      <c r="N485" s="331">
        <f t="shared" si="197"/>
        <v>0.25966339285226131</v>
      </c>
      <c r="O485" s="332">
        <f t="shared" si="198"/>
        <v>1.0133141166552249</v>
      </c>
      <c r="P485" s="333">
        <f t="shared" si="199"/>
        <v>0.41239595487243236</v>
      </c>
      <c r="Q485" s="334">
        <f t="shared" si="200"/>
        <v>-4.4214665837021192</v>
      </c>
      <c r="R485" s="335">
        <f t="shared" si="201"/>
        <v>-126.23273880377698</v>
      </c>
      <c r="S485" s="337">
        <f t="shared" si="202"/>
        <v>53.767261196223018</v>
      </c>
      <c r="U485" s="310">
        <f t="shared" si="208"/>
        <v>58884</v>
      </c>
      <c r="V485" s="310">
        <f t="shared" si="209"/>
        <v>3467325456</v>
      </c>
      <c r="X485" s="336">
        <f t="shared" si="203"/>
        <v>2.5548965529852445</v>
      </c>
      <c r="Y485" s="337">
        <f t="shared" si="204"/>
        <v>-18.33042426183944</v>
      </c>
      <c r="AA485" s="336">
        <f t="shared" si="205"/>
        <v>-6.9763631366873646</v>
      </c>
      <c r="AB485" s="337">
        <f t="shared" si="206"/>
        <v>-107.90231454193756</v>
      </c>
      <c r="AD485">
        <f t="shared" si="210"/>
        <v>0</v>
      </c>
      <c r="AE485">
        <f t="shared" si="213"/>
        <v>0</v>
      </c>
    </row>
    <row r="486" spans="1:31" x14ac:dyDescent="0.25">
      <c r="A486" s="338">
        <v>59227</v>
      </c>
      <c r="B486" s="355">
        <f t="shared" si="207"/>
        <v>59.226999999999997</v>
      </c>
      <c r="C486" s="328">
        <f t="shared" si="188"/>
        <v>13.329503479765782</v>
      </c>
      <c r="D486" s="329">
        <f t="shared" si="189"/>
        <v>1.4957042257207736</v>
      </c>
      <c r="E486" s="329">
        <f t="shared" si="190"/>
        <v>1.0003015724057935</v>
      </c>
      <c r="F486" s="330">
        <f t="shared" si="191"/>
        <v>2.4555921364459644E-2</v>
      </c>
      <c r="G486" s="329">
        <f t="shared" si="192"/>
        <v>1</v>
      </c>
      <c r="H486" s="330">
        <f t="shared" si="193"/>
        <v>0</v>
      </c>
      <c r="I486" s="328">
        <f t="shared" si="194"/>
        <v>129444.9485099271</v>
      </c>
      <c r="J486" s="331">
        <f t="shared" si="195"/>
        <v>1.570788601503091</v>
      </c>
      <c r="K486" s="339">
        <f t="shared" si="211"/>
        <v>16.698233840163201</v>
      </c>
      <c r="L486" s="340">
        <f t="shared" si="212"/>
        <v>1.5108738996737165</v>
      </c>
      <c r="M486" s="328">
        <f t="shared" si="196"/>
        <v>1.0350847547203421</v>
      </c>
      <c r="N486" s="331">
        <f t="shared" si="197"/>
        <v>0.26110830145474656</v>
      </c>
      <c r="O486" s="332">
        <f t="shared" si="198"/>
        <v>1.0134985730368822</v>
      </c>
      <c r="P486" s="333">
        <f t="shared" si="199"/>
        <v>0.41486554812475868</v>
      </c>
      <c r="Q486" s="334">
        <f t="shared" si="200"/>
        <v>-4.4767061772749637</v>
      </c>
      <c r="R486" s="335">
        <f t="shared" si="201"/>
        <v>-126.45389720966365</v>
      </c>
      <c r="S486" s="337">
        <f t="shared" si="202"/>
        <v>53.546102790336349</v>
      </c>
      <c r="U486" s="310">
        <f t="shared" si="208"/>
        <v>59227</v>
      </c>
      <c r="V486" s="310">
        <f t="shared" si="209"/>
        <v>3507837529</v>
      </c>
      <c r="X486" s="336">
        <f t="shared" si="203"/>
        <v>2.55137073191091</v>
      </c>
      <c r="Y486" s="337">
        <f t="shared" si="204"/>
        <v>-18.393263235811869</v>
      </c>
      <c r="AA486" s="336">
        <f t="shared" si="205"/>
        <v>-7.0280769091858728</v>
      </c>
      <c r="AB486" s="337">
        <f t="shared" si="206"/>
        <v>-108.06063397385178</v>
      </c>
      <c r="AD486">
        <f t="shared" si="210"/>
        <v>0</v>
      </c>
      <c r="AE486">
        <f t="shared" si="213"/>
        <v>0</v>
      </c>
    </row>
    <row r="487" spans="1:31" x14ac:dyDescent="0.25">
      <c r="A487" s="338">
        <v>59570</v>
      </c>
      <c r="B487" s="355">
        <f t="shared" si="207"/>
        <v>59.57</v>
      </c>
      <c r="C487" s="328">
        <f t="shared" si="188"/>
        <v>13.406265108251439</v>
      </c>
      <c r="D487" s="329">
        <f t="shared" si="189"/>
        <v>1.4961349912944242</v>
      </c>
      <c r="E487" s="329">
        <f t="shared" si="190"/>
        <v>1.0003050749650615</v>
      </c>
      <c r="F487" s="330">
        <f t="shared" si="191"/>
        <v>2.4698073864241495E-2</v>
      </c>
      <c r="G487" s="329">
        <f t="shared" si="192"/>
        <v>1</v>
      </c>
      <c r="H487" s="330">
        <f t="shared" si="193"/>
        <v>0</v>
      </c>
      <c r="I487" s="328">
        <f t="shared" si="194"/>
        <v>130194.60014408488</v>
      </c>
      <c r="J487" s="331">
        <f t="shared" si="195"/>
        <v>1.5707886459847946</v>
      </c>
      <c r="K487" s="339">
        <f t="shared" si="211"/>
        <v>16.794592123359561</v>
      </c>
      <c r="L487" s="340">
        <f t="shared" si="212"/>
        <v>1.5112181106820481</v>
      </c>
      <c r="M487" s="328">
        <f t="shared" si="196"/>
        <v>1.0354853180019941</v>
      </c>
      <c r="N487" s="331">
        <f t="shared" si="197"/>
        <v>0.26255209518347078</v>
      </c>
      <c r="O487" s="332">
        <f t="shared" si="198"/>
        <v>1.0136847640891065</v>
      </c>
      <c r="P487" s="333">
        <f t="shared" si="199"/>
        <v>0.417336171457722</v>
      </c>
      <c r="Q487" s="334">
        <f t="shared" si="200"/>
        <v>-4.5316874513291339</v>
      </c>
      <c r="R487" s="335">
        <f t="shared" si="201"/>
        <v>-126.67499380842449</v>
      </c>
      <c r="S487" s="337">
        <f t="shared" si="202"/>
        <v>53.325006191575511</v>
      </c>
      <c r="U487" s="310">
        <f t="shared" si="208"/>
        <v>59570</v>
      </c>
      <c r="V487" s="310">
        <f t="shared" si="209"/>
        <v>3548584900</v>
      </c>
      <c r="X487" s="336">
        <f t="shared" si="203"/>
        <v>2.5478312115381985</v>
      </c>
      <c r="Y487" s="337">
        <f t="shared" si="204"/>
        <v>-18.456267233601753</v>
      </c>
      <c r="AA487" s="336">
        <f t="shared" si="205"/>
        <v>-7.0795186628673337</v>
      </c>
      <c r="AB487" s="337">
        <f t="shared" si="206"/>
        <v>-108.21872657482274</v>
      </c>
      <c r="AD487">
        <f t="shared" si="210"/>
        <v>0</v>
      </c>
      <c r="AE487">
        <f t="shared" si="213"/>
        <v>0</v>
      </c>
    </row>
    <row r="488" spans="1:31" x14ac:dyDescent="0.25">
      <c r="A488" s="338">
        <v>59913</v>
      </c>
      <c r="B488" s="355">
        <f t="shared" si="207"/>
        <v>59.912999999999997</v>
      </c>
      <c r="C488" s="328">
        <f t="shared" si="188"/>
        <v>13.483029196064274</v>
      </c>
      <c r="D488" s="329">
        <f t="shared" si="189"/>
        <v>1.4965608519170945</v>
      </c>
      <c r="E488" s="329">
        <f t="shared" si="190"/>
        <v>1.0003085977376853</v>
      </c>
      <c r="F488" s="330">
        <f t="shared" si="191"/>
        <v>2.4840225365662938E-2</v>
      </c>
      <c r="G488" s="329">
        <f t="shared" si="192"/>
        <v>1</v>
      </c>
      <c r="H488" s="330">
        <f t="shared" si="193"/>
        <v>0</v>
      </c>
      <c r="I488" s="328">
        <f t="shared" si="194"/>
        <v>130944.25177824291</v>
      </c>
      <c r="J488" s="331">
        <f t="shared" si="195"/>
        <v>1.5707886899571857</v>
      </c>
      <c r="K488" s="339">
        <f t="shared" si="211"/>
        <v>16.890952373696479</v>
      </c>
      <c r="L488" s="340">
        <f t="shared" si="212"/>
        <v>1.5115583943900206</v>
      </c>
      <c r="M488" s="328">
        <f t="shared" si="196"/>
        <v>1.035888038122599</v>
      </c>
      <c r="N488" s="331">
        <f t="shared" si="197"/>
        <v>0.26399476931596377</v>
      </c>
      <c r="O488" s="332">
        <f t="shared" si="198"/>
        <v>1.0138727009667956</v>
      </c>
      <c r="P488" s="333">
        <f t="shared" si="199"/>
        <v>0.41980782665829686</v>
      </c>
      <c r="Q488" s="334">
        <f t="shared" si="200"/>
        <v>-4.5864137573286907</v>
      </c>
      <c r="R488" s="335">
        <f t="shared" si="201"/>
        <v>-126.89602939347159</v>
      </c>
      <c r="S488" s="337">
        <f t="shared" si="202"/>
        <v>53.103970606528407</v>
      </c>
      <c r="U488" s="310">
        <f t="shared" si="208"/>
        <v>59913</v>
      </c>
      <c r="V488" s="310">
        <f t="shared" si="209"/>
        <v>3589567569</v>
      </c>
      <c r="X488" s="336">
        <f t="shared" si="203"/>
        <v>2.5442779617005988</v>
      </c>
      <c r="Y488" s="337">
        <f t="shared" si="204"/>
        <v>-18.519432071807021</v>
      </c>
      <c r="AA488" s="336">
        <f t="shared" si="205"/>
        <v>-7.1306917190292882</v>
      </c>
      <c r="AB488" s="337">
        <f t="shared" si="206"/>
        <v>-108.37659732166455</v>
      </c>
      <c r="AD488">
        <f t="shared" si="210"/>
        <v>0</v>
      </c>
      <c r="AE488">
        <f t="shared" si="213"/>
        <v>0</v>
      </c>
    </row>
    <row r="489" spans="1:31" x14ac:dyDescent="0.25">
      <c r="A489" s="338">
        <v>60256</v>
      </c>
      <c r="B489" s="355">
        <f t="shared" si="207"/>
        <v>60.256</v>
      </c>
      <c r="C489" s="328">
        <f t="shared" si="188"/>
        <v>13.559795701436395</v>
      </c>
      <c r="D489" s="329">
        <f t="shared" si="189"/>
        <v>1.4969818907386598</v>
      </c>
      <c r="E489" s="329">
        <f t="shared" si="190"/>
        <v>1.0003121407234519</v>
      </c>
      <c r="F489" s="330">
        <f t="shared" si="191"/>
        <v>2.4982375862989632E-2</v>
      </c>
      <c r="G489" s="329">
        <f t="shared" si="192"/>
        <v>1</v>
      </c>
      <c r="H489" s="330">
        <f t="shared" si="193"/>
        <v>0</v>
      </c>
      <c r="I489" s="328">
        <f t="shared" si="194"/>
        <v>131693.90341240118</v>
      </c>
      <c r="J489" s="331">
        <f t="shared" si="195"/>
        <v>1.5707887334289616</v>
      </c>
      <c r="K489" s="339">
        <f t="shared" si="211"/>
        <v>16.987314557698252</v>
      </c>
      <c r="L489" s="340">
        <f t="shared" si="212"/>
        <v>1.511894817552123</v>
      </c>
      <c r="M489" s="328">
        <f t="shared" si="196"/>
        <v>1.0362929125676092</v>
      </c>
      <c r="N489" s="331">
        <f t="shared" si="197"/>
        <v>0.26543631915571819</v>
      </c>
      <c r="O489" s="332">
        <f t="shared" si="198"/>
        <v>1.0140623948775183</v>
      </c>
      <c r="P489" s="333">
        <f t="shared" si="199"/>
        <v>0.42228051544141865</v>
      </c>
      <c r="Q489" s="334">
        <f t="shared" si="200"/>
        <v>-4.6408883907580609</v>
      </c>
      <c r="R489" s="335">
        <f t="shared" si="201"/>
        <v>-127.11700473418669</v>
      </c>
      <c r="S489" s="337">
        <f t="shared" si="202"/>
        <v>52.882995265813307</v>
      </c>
      <c r="U489" s="310">
        <f t="shared" si="208"/>
        <v>60256</v>
      </c>
      <c r="V489" s="310">
        <f t="shared" si="209"/>
        <v>3630785536</v>
      </c>
      <c r="X489" s="336">
        <f t="shared" si="203"/>
        <v>2.5407109543743491</v>
      </c>
      <c r="Y489" s="337">
        <f t="shared" si="204"/>
        <v>-18.582753657085444</v>
      </c>
      <c r="AA489" s="336">
        <f t="shared" si="205"/>
        <v>-7.1815993451324065</v>
      </c>
      <c r="AB489" s="337">
        <f t="shared" si="206"/>
        <v>-108.53425107710127</v>
      </c>
      <c r="AD489">
        <f t="shared" si="210"/>
        <v>0</v>
      </c>
      <c r="AE489">
        <f t="shared" si="213"/>
        <v>0</v>
      </c>
    </row>
    <row r="490" spans="1:31" x14ac:dyDescent="0.25">
      <c r="A490" s="338">
        <v>60607</v>
      </c>
      <c r="B490" s="355">
        <f t="shared" si="207"/>
        <v>60.606999999999999</v>
      </c>
      <c r="C490" s="328">
        <f t="shared" si="188"/>
        <v>13.638355139441998</v>
      </c>
      <c r="D490" s="329">
        <f t="shared" si="189"/>
        <v>1.497407842695706</v>
      </c>
      <c r="E490" s="329">
        <f t="shared" si="190"/>
        <v>1.0003157872700366</v>
      </c>
      <c r="F490" s="330">
        <f t="shared" si="191"/>
        <v>2.5127840778331863E-2</v>
      </c>
      <c r="G490" s="329">
        <f t="shared" si="192"/>
        <v>1</v>
      </c>
      <c r="H490" s="330">
        <f t="shared" si="193"/>
        <v>0</v>
      </c>
      <c r="I490" s="328">
        <f t="shared" si="194"/>
        <v>132461.03963277917</v>
      </c>
      <c r="J490" s="331">
        <f t="shared" si="195"/>
        <v>1.5707887774052589</v>
      </c>
      <c r="K490" s="339">
        <f t="shared" si="211"/>
        <v>17.085926223902955</v>
      </c>
      <c r="L490" s="340">
        <f t="shared" si="212"/>
        <v>1.5122351587285658</v>
      </c>
      <c r="M490" s="328">
        <f t="shared" si="196"/>
        <v>1.0367094577952611</v>
      </c>
      <c r="N490" s="331">
        <f t="shared" si="197"/>
        <v>0.26691032234416945</v>
      </c>
      <c r="O490" s="332">
        <f t="shared" si="198"/>
        <v>1.0142583438654389</v>
      </c>
      <c r="P490" s="333">
        <f t="shared" si="199"/>
        <v>0.42481194800334349</v>
      </c>
      <c r="Q490" s="334">
        <f t="shared" si="200"/>
        <v>-4.6963764044615628</v>
      </c>
      <c r="R490" s="335">
        <f t="shared" si="201"/>
        <v>-127.34307242840167</v>
      </c>
      <c r="S490" s="337">
        <f t="shared" si="202"/>
        <v>52.656927571598331</v>
      </c>
      <c r="U490" s="310">
        <f t="shared" si="208"/>
        <v>60607</v>
      </c>
      <c r="V490" s="310">
        <f t="shared" si="209"/>
        <v>3673208449</v>
      </c>
      <c r="X490" s="336">
        <f t="shared" si="203"/>
        <v>2.5370464819377929</v>
      </c>
      <c r="Y490" s="337">
        <f t="shared" si="204"/>
        <v>-18.647710225498287</v>
      </c>
      <c r="AA490" s="336">
        <f t="shared" si="205"/>
        <v>-7.2334228863993566</v>
      </c>
      <c r="AB490" s="337">
        <f t="shared" si="206"/>
        <v>-108.6953622029034</v>
      </c>
      <c r="AD490">
        <f t="shared" si="210"/>
        <v>0</v>
      </c>
      <c r="AE490">
        <f t="shared" si="213"/>
        <v>0</v>
      </c>
    </row>
    <row r="491" spans="1:31" x14ac:dyDescent="0.25">
      <c r="A491" s="338">
        <v>60958</v>
      </c>
      <c r="B491" s="355">
        <f t="shared" si="207"/>
        <v>60.957999999999998</v>
      </c>
      <c r="C491" s="328">
        <f t="shared" si="188"/>
        <v>13.716917023579654</v>
      </c>
      <c r="D491" s="329">
        <f t="shared" si="189"/>
        <v>1.4978289155579438</v>
      </c>
      <c r="E491" s="329">
        <f t="shared" si="190"/>
        <v>1.0003194549831904</v>
      </c>
      <c r="F491" s="330">
        <f t="shared" si="191"/>
        <v>2.5273304630045689E-2</v>
      </c>
      <c r="G491" s="329">
        <f t="shared" si="192"/>
        <v>1</v>
      </c>
      <c r="H491" s="330">
        <f t="shared" si="193"/>
        <v>0</v>
      </c>
      <c r="I491" s="328">
        <f t="shared" si="194"/>
        <v>133228.17585315742</v>
      </c>
      <c r="J491" s="331">
        <f t="shared" si="195"/>
        <v>1.5707888208751195</v>
      </c>
      <c r="K491" s="339">
        <f t="shared" si="211"/>
        <v>17.184539846492818</v>
      </c>
      <c r="L491" s="340">
        <f t="shared" si="212"/>
        <v>1.5125715938423523</v>
      </c>
      <c r="M491" s="328">
        <f t="shared" si="196"/>
        <v>1.0371282536542494</v>
      </c>
      <c r="N491" s="331">
        <f t="shared" si="197"/>
        <v>0.26838313831559962</v>
      </c>
      <c r="O491" s="332">
        <f t="shared" si="198"/>
        <v>1.0144561567174764</v>
      </c>
      <c r="P491" s="333">
        <f t="shared" si="199"/>
        <v>0.42734446632483192</v>
      </c>
      <c r="Q491" s="334">
        <f t="shared" si="200"/>
        <v>-4.7516076772156675</v>
      </c>
      <c r="R491" s="335">
        <f t="shared" si="201"/>
        <v>-127.56907859082156</v>
      </c>
      <c r="S491" s="337">
        <f t="shared" si="202"/>
        <v>52.430921409178438</v>
      </c>
      <c r="U491" s="310">
        <f t="shared" si="208"/>
        <v>60958</v>
      </c>
      <c r="V491" s="310">
        <f t="shared" si="209"/>
        <v>3715877764</v>
      </c>
      <c r="X491" s="336">
        <f t="shared" si="203"/>
        <v>2.5333675499787258</v>
      </c>
      <c r="Y491" s="337">
        <f t="shared" si="204"/>
        <v>-18.712822543274676</v>
      </c>
      <c r="AA491" s="336">
        <f t="shared" si="205"/>
        <v>-7.2849752271943915</v>
      </c>
      <c r="AB491" s="337">
        <f t="shared" si="206"/>
        <v>-108.85625604754688</v>
      </c>
      <c r="AD491">
        <f t="shared" si="210"/>
        <v>0</v>
      </c>
      <c r="AE491">
        <f t="shared" si="213"/>
        <v>0</v>
      </c>
    </row>
    <row r="492" spans="1:31" x14ac:dyDescent="0.25">
      <c r="A492" s="338">
        <v>61309</v>
      </c>
      <c r="B492" s="355">
        <f t="shared" si="207"/>
        <v>61.308999999999997</v>
      </c>
      <c r="C492" s="328">
        <f t="shared" si="188"/>
        <v>13.795481312058993</v>
      </c>
      <c r="D492" s="329">
        <f t="shared" si="189"/>
        <v>1.4982451925330658</v>
      </c>
      <c r="E492" s="329">
        <f t="shared" si="190"/>
        <v>1.0003231438626805</v>
      </c>
      <c r="F492" s="330">
        <f t="shared" si="191"/>
        <v>2.5418767411986901E-2</v>
      </c>
      <c r="G492" s="329">
        <f t="shared" si="192"/>
        <v>1</v>
      </c>
      <c r="H492" s="330">
        <f t="shared" si="193"/>
        <v>0</v>
      </c>
      <c r="I492" s="328">
        <f t="shared" si="194"/>
        <v>133995.31207353587</v>
      </c>
      <c r="J492" s="331">
        <f t="shared" si="195"/>
        <v>1.5707888638472416</v>
      </c>
      <c r="K492" s="339">
        <f t="shared" si="211"/>
        <v>17.283155391979822</v>
      </c>
      <c r="L492" s="340">
        <f t="shared" si="212"/>
        <v>1.5129041896791919</v>
      </c>
      <c r="M492" s="328">
        <f t="shared" si="196"/>
        <v>1.0375492974192433</v>
      </c>
      <c r="N492" s="331">
        <f t="shared" si="197"/>
        <v>0.26985476212188836</v>
      </c>
      <c r="O492" s="332">
        <f t="shared" si="198"/>
        <v>1.0146558456135415</v>
      </c>
      <c r="P492" s="333">
        <f t="shared" si="199"/>
        <v>0.42987807200692141</v>
      </c>
      <c r="Q492" s="334">
        <f t="shared" si="200"/>
        <v>-4.8065855665703214</v>
      </c>
      <c r="R492" s="335">
        <f t="shared" si="201"/>
        <v>-127.79502397143332</v>
      </c>
      <c r="S492" s="337">
        <f t="shared" si="202"/>
        <v>52.204976028566676</v>
      </c>
      <c r="U492" s="310">
        <f t="shared" si="208"/>
        <v>61309</v>
      </c>
      <c r="V492" s="310">
        <f t="shared" si="209"/>
        <v>3758793481</v>
      </c>
      <c r="X492" s="336">
        <f t="shared" si="203"/>
        <v>2.5296741349911982</v>
      </c>
      <c r="Y492" s="337">
        <f t="shared" si="204"/>
        <v>-18.778086500867268</v>
      </c>
      <c r="AA492" s="336">
        <f t="shared" si="205"/>
        <v>-7.3362597015615201</v>
      </c>
      <c r="AB492" s="337">
        <f t="shared" si="206"/>
        <v>-109.01693747056608</v>
      </c>
      <c r="AD492">
        <f t="shared" si="210"/>
        <v>0</v>
      </c>
      <c r="AE492">
        <f t="shared" si="213"/>
        <v>0</v>
      </c>
    </row>
    <row r="493" spans="1:31" x14ac:dyDescent="0.25">
      <c r="A493" s="338">
        <v>61660</v>
      </c>
      <c r="B493" s="355">
        <f t="shared" si="207"/>
        <v>61.66</v>
      </c>
      <c r="C493" s="328">
        <f t="shared" si="188"/>
        <v>13.874047964034967</v>
      </c>
      <c r="D493" s="329">
        <f t="shared" si="189"/>
        <v>1.4986567549507293</v>
      </c>
      <c r="E493" s="329">
        <f t="shared" si="190"/>
        <v>1.0003268539082728</v>
      </c>
      <c r="F493" s="330">
        <f t="shared" si="191"/>
        <v>2.5564229118011546E-2</v>
      </c>
      <c r="G493" s="329">
        <f t="shared" si="192"/>
        <v>1</v>
      </c>
      <c r="H493" s="330">
        <f t="shared" si="193"/>
        <v>0</v>
      </c>
      <c r="I493" s="328">
        <f t="shared" si="194"/>
        <v>134762.44829391461</v>
      </c>
      <c r="J493" s="331">
        <f t="shared" si="195"/>
        <v>1.5707889063301257</v>
      </c>
      <c r="K493" s="339">
        <f t="shared" si="211"/>
        <v>17.381772827635274</v>
      </c>
      <c r="L493" s="340">
        <f t="shared" si="212"/>
        <v>1.5132330115125716</v>
      </c>
      <c r="M493" s="328">
        <f t="shared" si="196"/>
        <v>1.0379725863547173</v>
      </c>
      <c r="N493" s="331">
        <f t="shared" si="197"/>
        <v>0.27132518884357709</v>
      </c>
      <c r="O493" s="332">
        <f t="shared" si="198"/>
        <v>1.0148574227902141</v>
      </c>
      <c r="P493" s="333">
        <f t="shared" si="199"/>
        <v>0.43241276657002581</v>
      </c>
      <c r="Q493" s="334">
        <f t="shared" si="200"/>
        <v>-4.8613133740477457</v>
      </c>
      <c r="R493" s="335">
        <f t="shared" si="201"/>
        <v>-128.02090929627602</v>
      </c>
      <c r="S493" s="337">
        <f t="shared" si="202"/>
        <v>51.979090703723983</v>
      </c>
      <c r="U493" s="310">
        <f t="shared" si="208"/>
        <v>61660</v>
      </c>
      <c r="V493" s="310">
        <f t="shared" si="209"/>
        <v>3801955600</v>
      </c>
      <c r="X493" s="336">
        <f t="shared" si="203"/>
        <v>2.5259662155284381</v>
      </c>
      <c r="Y493" s="337">
        <f t="shared" si="204"/>
        <v>-18.843498077003584</v>
      </c>
      <c r="AA493" s="336">
        <f t="shared" si="205"/>
        <v>-7.3872795895761829</v>
      </c>
      <c r="AB493" s="337">
        <f t="shared" si="206"/>
        <v>-109.17741121927241</v>
      </c>
      <c r="AD493">
        <f t="shared" si="210"/>
        <v>0</v>
      </c>
      <c r="AE493">
        <f t="shared" si="213"/>
        <v>0</v>
      </c>
    </row>
    <row r="494" spans="1:31" x14ac:dyDescent="0.25">
      <c r="A494" s="338">
        <v>62019</v>
      </c>
      <c r="B494" s="355">
        <f t="shared" si="207"/>
        <v>62.018999999999998</v>
      </c>
      <c r="C494" s="328">
        <f t="shared" si="188"/>
        <v>13.954407712237197</v>
      </c>
      <c r="D494" s="329">
        <f t="shared" si="189"/>
        <v>1.4990729036021284</v>
      </c>
      <c r="E494" s="329">
        <f t="shared" si="190"/>
        <v>1.0003306704082904</v>
      </c>
      <c r="F494" s="330">
        <f t="shared" si="191"/>
        <v>2.5713005071172183E-2</v>
      </c>
      <c r="G494" s="329">
        <f t="shared" si="192"/>
        <v>1</v>
      </c>
      <c r="H494" s="330">
        <f t="shared" si="193"/>
        <v>0</v>
      </c>
      <c r="I494" s="328">
        <f t="shared" si="194"/>
        <v>135547.06910051304</v>
      </c>
      <c r="J494" s="331">
        <f t="shared" si="195"/>
        <v>1.5707889492838472</v>
      </c>
      <c r="K494" s="339">
        <f t="shared" si="211"/>
        <v>17.482639876072536</v>
      </c>
      <c r="L494" s="340">
        <f t="shared" si="212"/>
        <v>1.5135654903457816</v>
      </c>
      <c r="M494" s="328">
        <f t="shared" si="196"/>
        <v>1.0384078425509988</v>
      </c>
      <c r="N494" s="331">
        <f t="shared" si="197"/>
        <v>0.27282788614562903</v>
      </c>
      <c r="O494" s="332">
        <f t="shared" si="198"/>
        <v>1.0150655604595371</v>
      </c>
      <c r="P494" s="333">
        <f t="shared" si="199"/>
        <v>0.43500635983972119</v>
      </c>
      <c r="Q494" s="334">
        <f t="shared" si="200"/>
        <v>-4.9170332261165859</v>
      </c>
      <c r="R494" s="335">
        <f t="shared" si="201"/>
        <v>-128.25188161227297</v>
      </c>
      <c r="S494" s="337">
        <f t="shared" si="202"/>
        <v>51.748118387727033</v>
      </c>
      <c r="U494" s="310">
        <f t="shared" si="208"/>
        <v>62019</v>
      </c>
      <c r="V494" s="310">
        <f t="shared" si="209"/>
        <v>3846356361</v>
      </c>
      <c r="X494" s="336">
        <f t="shared" si="203"/>
        <v>2.5221587606929523</v>
      </c>
      <c r="Y494" s="337">
        <f t="shared" si="204"/>
        <v>-18.910549117520066</v>
      </c>
      <c r="AA494" s="336">
        <f t="shared" si="205"/>
        <v>-7.43919198680954</v>
      </c>
      <c r="AB494" s="337">
        <f t="shared" si="206"/>
        <v>-109.3413324947529</v>
      </c>
      <c r="AD494">
        <f t="shared" si="210"/>
        <v>0</v>
      </c>
      <c r="AE494">
        <f t="shared" si="213"/>
        <v>0</v>
      </c>
    </row>
    <row r="495" spans="1:31" x14ac:dyDescent="0.25">
      <c r="A495" s="338">
        <v>62378</v>
      </c>
      <c r="B495" s="355">
        <f t="shared" si="207"/>
        <v>62.378</v>
      </c>
      <c r="C495" s="328">
        <f t="shared" si="188"/>
        <v>14.034769849385347</v>
      </c>
      <c r="D495" s="329">
        <f t="shared" si="189"/>
        <v>1.4994842866463711</v>
      </c>
      <c r="E495" s="329">
        <f t="shared" si="190"/>
        <v>1.000334509049742</v>
      </c>
      <c r="F495" s="330">
        <f t="shared" si="191"/>
        <v>2.5861779885812688E-2</v>
      </c>
      <c r="G495" s="329">
        <f t="shared" si="192"/>
        <v>1</v>
      </c>
      <c r="H495" s="330">
        <f t="shared" si="193"/>
        <v>0</v>
      </c>
      <c r="I495" s="328">
        <f t="shared" si="194"/>
        <v>136331.68990711169</v>
      </c>
      <c r="J495" s="331">
        <f t="shared" si="195"/>
        <v>1.5707889917431512</v>
      </c>
      <c r="K495" s="339">
        <f t="shared" si="211"/>
        <v>17.5835088349065</v>
      </c>
      <c r="L495" s="340">
        <f t="shared" si="212"/>
        <v>1.5138941546414397</v>
      </c>
      <c r="M495" s="328">
        <f t="shared" si="196"/>
        <v>1.0388454416072175</v>
      </c>
      <c r="N495" s="331">
        <f t="shared" si="197"/>
        <v>0.27432932085541611</v>
      </c>
      <c r="O495" s="332">
        <f t="shared" si="198"/>
        <v>1.0152756995393164</v>
      </c>
      <c r="P495" s="333">
        <f t="shared" si="199"/>
        <v>0.43760109514904044</v>
      </c>
      <c r="Q495" s="334">
        <f t="shared" si="200"/>
        <v>-4.9724982788133829</v>
      </c>
      <c r="R495" s="335">
        <f t="shared" si="201"/>
        <v>-128.48279256574233</v>
      </c>
      <c r="S495" s="337">
        <f t="shared" si="202"/>
        <v>51.517207434257671</v>
      </c>
      <c r="U495" s="310">
        <f t="shared" si="208"/>
        <v>62378</v>
      </c>
      <c r="V495" s="310">
        <f t="shared" si="209"/>
        <v>3891014884</v>
      </c>
      <c r="X495" s="336">
        <f t="shared" si="203"/>
        <v>2.5183360936026959</v>
      </c>
      <c r="Y495" s="337">
        <f t="shared" si="204"/>
        <v>-18.977746345403169</v>
      </c>
      <c r="AA495" s="336">
        <f t="shared" si="205"/>
        <v>-7.4908343724160797</v>
      </c>
      <c r="AB495" s="337">
        <f t="shared" si="206"/>
        <v>-109.50504622033914</v>
      </c>
      <c r="AD495">
        <f t="shared" si="210"/>
        <v>0</v>
      </c>
      <c r="AE495">
        <f t="shared" si="213"/>
        <v>0</v>
      </c>
    </row>
    <row r="496" spans="1:31" x14ac:dyDescent="0.25">
      <c r="A496" s="338">
        <v>62737</v>
      </c>
      <c r="B496" s="355">
        <f t="shared" si="207"/>
        <v>62.737000000000002</v>
      </c>
      <c r="C496" s="328">
        <f t="shared" si="188"/>
        <v>14.115134334676231</v>
      </c>
      <c r="D496" s="329">
        <f t="shared" si="189"/>
        <v>1.4998909853419333</v>
      </c>
      <c r="E496" s="329">
        <f t="shared" si="190"/>
        <v>1.0003383698323731</v>
      </c>
      <c r="F496" s="330">
        <f t="shared" si="191"/>
        <v>2.6010553555360263E-2</v>
      </c>
      <c r="G496" s="329">
        <f t="shared" si="192"/>
        <v>1</v>
      </c>
      <c r="H496" s="330">
        <f t="shared" si="193"/>
        <v>0</v>
      </c>
      <c r="I496" s="328">
        <f t="shared" si="194"/>
        <v>137116.31071371061</v>
      </c>
      <c r="J496" s="331">
        <f t="shared" si="195"/>
        <v>1.5707890337165253</v>
      </c>
      <c r="K496" s="339">
        <f t="shared" si="211"/>
        <v>17.684379671447356</v>
      </c>
      <c r="L496" s="340">
        <f t="shared" si="212"/>
        <v>1.5142190696017337</v>
      </c>
      <c r="M496" s="328">
        <f t="shared" si="196"/>
        <v>1.0392853805639357</v>
      </c>
      <c r="N496" s="331">
        <f t="shared" si="197"/>
        <v>0.27582948780271438</v>
      </c>
      <c r="O496" s="332">
        <f t="shared" si="198"/>
        <v>1.0154878533041447</v>
      </c>
      <c r="P496" s="333">
        <f t="shared" si="199"/>
        <v>0.44019697386036571</v>
      </c>
      <c r="Q496" s="334">
        <f t="shared" si="200"/>
        <v>-5.0277118908143335</v>
      </c>
      <c r="R496" s="335">
        <f t="shared" si="201"/>
        <v>-128.71364285933123</v>
      </c>
      <c r="S496" s="337">
        <f t="shared" si="202"/>
        <v>51.28635714066877</v>
      </c>
      <c r="U496" s="310">
        <f t="shared" si="208"/>
        <v>62737</v>
      </c>
      <c r="V496" s="310">
        <f t="shared" si="209"/>
        <v>3935931169</v>
      </c>
      <c r="X496" s="336">
        <f t="shared" si="203"/>
        <v>2.5144981975704046</v>
      </c>
      <c r="Y496" s="337">
        <f t="shared" si="204"/>
        <v>-19.045085729097014</v>
      </c>
      <c r="AA496" s="336">
        <f t="shared" si="205"/>
        <v>-7.5422100883847376</v>
      </c>
      <c r="AB496" s="337">
        <f t="shared" si="206"/>
        <v>-109.66855713023422</v>
      </c>
      <c r="AD496">
        <f t="shared" si="210"/>
        <v>0</v>
      </c>
      <c r="AE496">
        <f t="shared" si="213"/>
        <v>0</v>
      </c>
    </row>
    <row r="497" spans="1:31" x14ac:dyDescent="0.25">
      <c r="A497" s="338">
        <v>63096</v>
      </c>
      <c r="B497" s="355">
        <f t="shared" si="207"/>
        <v>63.095999999999997</v>
      </c>
      <c r="C497" s="328">
        <f t="shared" si="188"/>
        <v>14.195501128229481</v>
      </c>
      <c r="D497" s="329">
        <f t="shared" si="189"/>
        <v>1.5002930791134146</v>
      </c>
      <c r="E497" s="329">
        <f t="shared" si="190"/>
        <v>1.0003422527559269</v>
      </c>
      <c r="F497" s="330">
        <f t="shared" si="191"/>
        <v>2.6159326073242402E-2</v>
      </c>
      <c r="G497" s="329">
        <f t="shared" si="192"/>
        <v>1</v>
      </c>
      <c r="H497" s="330">
        <f t="shared" si="193"/>
        <v>0</v>
      </c>
      <c r="I497" s="328">
        <f t="shared" si="194"/>
        <v>137900.93152030976</v>
      </c>
      <c r="J497" s="331">
        <f t="shared" si="195"/>
        <v>1.5707890752122642</v>
      </c>
      <c r="K497" s="339">
        <f t="shared" si="211"/>
        <v>17.785252353746284</v>
      </c>
      <c r="L497" s="340">
        <f t="shared" si="212"/>
        <v>1.5145402989528285</v>
      </c>
      <c r="M497" s="328">
        <f t="shared" si="196"/>
        <v>1.0397276564509141</v>
      </c>
      <c r="N497" s="331">
        <f t="shared" si="197"/>
        <v>0.27732838184885217</v>
      </c>
      <c r="O497" s="332">
        <f t="shared" si="198"/>
        <v>1.01570203508936</v>
      </c>
      <c r="P497" s="333">
        <f t="shared" si="199"/>
        <v>0.44279399724607671</v>
      </c>
      <c r="Q497" s="334">
        <f t="shared" si="200"/>
        <v>-5.0826773648355985</v>
      </c>
      <c r="R497" s="335">
        <f t="shared" si="201"/>
        <v>-128.94443317182342</v>
      </c>
      <c r="S497" s="337">
        <f t="shared" si="202"/>
        <v>51.05556682817658</v>
      </c>
      <c r="U497" s="310">
        <f t="shared" si="208"/>
        <v>63096</v>
      </c>
      <c r="V497" s="310">
        <f t="shared" si="209"/>
        <v>3981105216</v>
      </c>
      <c r="X497" s="336">
        <f t="shared" si="203"/>
        <v>2.510645057884032</v>
      </c>
      <c r="Y497" s="337">
        <f t="shared" si="204"/>
        <v>-19.112563323412346</v>
      </c>
      <c r="AA497" s="336">
        <f t="shared" si="205"/>
        <v>-7.5933224227196296</v>
      </c>
      <c r="AB497" s="337">
        <f t="shared" si="206"/>
        <v>-109.83186984841105</v>
      </c>
      <c r="AD497">
        <f t="shared" si="210"/>
        <v>0</v>
      </c>
      <c r="AE497">
        <f t="shared" si="213"/>
        <v>0</v>
      </c>
    </row>
    <row r="498" spans="1:31" x14ac:dyDescent="0.25">
      <c r="A498" s="338">
        <v>63463.25</v>
      </c>
      <c r="B498" s="355">
        <f t="shared" si="207"/>
        <v>63.463250000000002</v>
      </c>
      <c r="C498" s="328">
        <f t="shared" si="188"/>
        <v>14.277717138792022</v>
      </c>
      <c r="D498" s="329">
        <f t="shared" si="189"/>
        <v>1.5006997292700934</v>
      </c>
      <c r="E498" s="329">
        <f t="shared" si="190"/>
        <v>1.0003462478207257</v>
      </c>
      <c r="F498" s="330">
        <f t="shared" si="191"/>
        <v>2.6311516259658062E-2</v>
      </c>
      <c r="G498" s="329">
        <f t="shared" si="192"/>
        <v>1</v>
      </c>
      <c r="H498" s="330">
        <f t="shared" si="193"/>
        <v>0</v>
      </c>
      <c r="I498" s="328">
        <f t="shared" si="194"/>
        <v>138703.58330644801</v>
      </c>
      <c r="J498" s="331">
        <f t="shared" si="195"/>
        <v>1.5707891171758215</v>
      </c>
      <c r="K498" s="339">
        <f t="shared" si="211"/>
        <v>17.888445018174711</v>
      </c>
      <c r="L498" s="340">
        <f t="shared" si="212"/>
        <v>1.5148651616280211</v>
      </c>
      <c r="M498" s="328">
        <f t="shared" si="196"/>
        <v>1.0401825110544172</v>
      </c>
      <c r="N498" s="331">
        <f t="shared" si="197"/>
        <v>0.27886039879181174</v>
      </c>
      <c r="O498" s="332">
        <f t="shared" si="198"/>
        <v>1.0159232513102576</v>
      </c>
      <c r="P498" s="333">
        <f t="shared" si="199"/>
        <v>0.44545188719756179</v>
      </c>
      <c r="Q498" s="334">
        <f t="shared" si="200"/>
        <v>-5.1386526022632566</v>
      </c>
      <c r="R498" s="335">
        <f t="shared" si="201"/>
        <v>-129.18046578017351</v>
      </c>
      <c r="S498" s="337">
        <f t="shared" si="202"/>
        <v>50.819534219826494</v>
      </c>
      <c r="U498" s="310">
        <f t="shared" si="208"/>
        <v>63463.25</v>
      </c>
      <c r="V498" s="310">
        <f t="shared" si="209"/>
        <v>4027584100.5625</v>
      </c>
      <c r="X498" s="336">
        <f t="shared" si="203"/>
        <v>2.5066875846408143</v>
      </c>
      <c r="Y498" s="337">
        <f t="shared" si="204"/>
        <v>-19.181730572590361</v>
      </c>
      <c r="AA498" s="336">
        <f t="shared" si="205"/>
        <v>-7.6453401869040691</v>
      </c>
      <c r="AB498" s="337">
        <f t="shared" si="206"/>
        <v>-109.99873520758314</v>
      </c>
      <c r="AD498">
        <f t="shared" si="210"/>
        <v>0</v>
      </c>
      <c r="AE498">
        <f t="shared" si="213"/>
        <v>0</v>
      </c>
    </row>
    <row r="499" spans="1:31" x14ac:dyDescent="0.25">
      <c r="A499" s="338">
        <v>63830.5</v>
      </c>
      <c r="B499" s="355">
        <f t="shared" si="207"/>
        <v>63.830500000000001</v>
      </c>
      <c r="C499" s="328">
        <f t="shared" si="188"/>
        <v>14.359935483344243</v>
      </c>
      <c r="D499" s="329">
        <f t="shared" si="189"/>
        <v>1.5011017229114301</v>
      </c>
      <c r="E499" s="329">
        <f t="shared" si="190"/>
        <v>1.0003502660552117</v>
      </c>
      <c r="F499" s="330">
        <f t="shared" si="191"/>
        <v>2.6463705226955219E-2</v>
      </c>
      <c r="G499" s="329">
        <f t="shared" si="192"/>
        <v>1</v>
      </c>
      <c r="H499" s="330">
        <f t="shared" si="193"/>
        <v>0</v>
      </c>
      <c r="I499" s="328">
        <f t="shared" si="194"/>
        <v>139506.23509258649</v>
      </c>
      <c r="J499" s="331">
        <f t="shared" si="195"/>
        <v>1.5707891586565024</v>
      </c>
      <c r="K499" s="339">
        <f t="shared" si="211"/>
        <v>17.99163954881752</v>
      </c>
      <c r="L499" s="340">
        <f t="shared" si="212"/>
        <v>1.5151862977112902</v>
      </c>
      <c r="M499" s="328">
        <f t="shared" si="196"/>
        <v>1.0406398049076784</v>
      </c>
      <c r="N499" s="331">
        <f t="shared" si="197"/>
        <v>0.28039107288013942</v>
      </c>
      <c r="O499" s="332">
        <f t="shared" si="198"/>
        <v>1.0161466182568741</v>
      </c>
      <c r="P499" s="333">
        <f t="shared" si="199"/>
        <v>0.44811097744173256</v>
      </c>
      <c r="Q499" s="334">
        <f t="shared" si="200"/>
        <v>-5.1943749840279665</v>
      </c>
      <c r="R499" s="335">
        <f t="shared" si="201"/>
        <v>-129.41643698182213</v>
      </c>
      <c r="S499" s="337">
        <f t="shared" si="202"/>
        <v>50.58356301817787</v>
      </c>
      <c r="U499" s="310">
        <f t="shared" si="208"/>
        <v>63830.5</v>
      </c>
      <c r="V499" s="310">
        <f t="shared" si="209"/>
        <v>4074332730.25</v>
      </c>
      <c r="X499" s="336">
        <f t="shared" si="203"/>
        <v>2.5027141339906582</v>
      </c>
      <c r="Y499" s="337">
        <f t="shared" si="204"/>
        <v>-19.251034372188023</v>
      </c>
      <c r="AA499" s="336">
        <f t="shared" si="205"/>
        <v>-7.6970891180186243</v>
      </c>
      <c r="AB499" s="337">
        <f t="shared" si="206"/>
        <v>-110.1654026096341</v>
      </c>
      <c r="AD499">
        <f t="shared" si="210"/>
        <v>0</v>
      </c>
      <c r="AE499">
        <f t="shared" si="213"/>
        <v>0</v>
      </c>
    </row>
    <row r="500" spans="1:31" x14ac:dyDescent="0.25">
      <c r="A500" s="338">
        <v>64197.75</v>
      </c>
      <c r="B500" s="355">
        <f t="shared" si="207"/>
        <v>64.197749999999999</v>
      </c>
      <c r="C500" s="328">
        <f t="shared" si="188"/>
        <v>14.442156122024342</v>
      </c>
      <c r="D500" s="329">
        <f t="shared" si="189"/>
        <v>1.5014991394364006</v>
      </c>
      <c r="E500" s="329">
        <f t="shared" si="190"/>
        <v>1.0003543074591057</v>
      </c>
      <c r="F500" s="330">
        <f t="shared" si="191"/>
        <v>2.661589296809876E-2</v>
      </c>
      <c r="G500" s="329">
        <f t="shared" si="192"/>
        <v>1</v>
      </c>
      <c r="H500" s="330">
        <f t="shared" si="193"/>
        <v>0</v>
      </c>
      <c r="I500" s="328">
        <f t="shared" si="194"/>
        <v>140308.8868787252</v>
      </c>
      <c r="J500" s="331">
        <f t="shared" si="195"/>
        <v>1.570789199662594</v>
      </c>
      <c r="K500" s="339">
        <f t="shared" si="211"/>
        <v>18.094835913745751</v>
      </c>
      <c r="L500" s="340">
        <f t="shared" si="212"/>
        <v>1.5155037708950236</v>
      </c>
      <c r="M500" s="328">
        <f t="shared" si="196"/>
        <v>1.0410995347964405</v>
      </c>
      <c r="N500" s="331">
        <f t="shared" si="197"/>
        <v>0.28192039871546326</v>
      </c>
      <c r="O500" s="332">
        <f t="shared" si="198"/>
        <v>1.0163721504003578</v>
      </c>
      <c r="P500" s="333">
        <f t="shared" si="199"/>
        <v>0.45077126904547243</v>
      </c>
      <c r="Q500" s="334">
        <f t="shared" si="200"/>
        <v>-5.2498478721321433</v>
      </c>
      <c r="R500" s="335">
        <f t="shared" si="201"/>
        <v>-129.65234742939234</v>
      </c>
      <c r="S500" s="337">
        <f t="shared" si="202"/>
        <v>50.347652570607664</v>
      </c>
      <c r="U500" s="310">
        <f t="shared" si="208"/>
        <v>64197.75</v>
      </c>
      <c r="V500" s="310">
        <f t="shared" si="209"/>
        <v>4121351105.0625</v>
      </c>
      <c r="X500" s="336">
        <f t="shared" si="203"/>
        <v>2.4987246961927907</v>
      </c>
      <c r="Y500" s="337">
        <f t="shared" si="204"/>
        <v>-19.320470764071224</v>
      </c>
      <c r="AA500" s="336">
        <f t="shared" si="205"/>
        <v>-7.7485725683249331</v>
      </c>
      <c r="AB500" s="337">
        <f t="shared" si="206"/>
        <v>-110.3318766653211</v>
      </c>
      <c r="AD500">
        <f t="shared" si="210"/>
        <v>0</v>
      </c>
      <c r="AE500">
        <f t="shared" si="213"/>
        <v>0</v>
      </c>
    </row>
    <row r="501" spans="1:31" x14ac:dyDescent="0.25">
      <c r="A501" s="338">
        <v>64565</v>
      </c>
      <c r="B501" s="355">
        <f t="shared" si="207"/>
        <v>64.564999999999998</v>
      </c>
      <c r="C501" s="328">
        <f t="shared" si="188"/>
        <v>14.524379015872034</v>
      </c>
      <c r="D501" s="329">
        <f t="shared" si="189"/>
        <v>1.5018920564519214</v>
      </c>
      <c r="E501" s="329">
        <f t="shared" si="190"/>
        <v>1.0003583720321267</v>
      </c>
      <c r="F501" s="330">
        <f t="shared" si="191"/>
        <v>2.6768079476053912E-2</v>
      </c>
      <c r="G501" s="329">
        <f t="shared" si="192"/>
        <v>1</v>
      </c>
      <c r="H501" s="330">
        <f t="shared" si="193"/>
        <v>0</v>
      </c>
      <c r="I501" s="328">
        <f t="shared" si="194"/>
        <v>141111.53866486417</v>
      </c>
      <c r="J501" s="331">
        <f t="shared" si="195"/>
        <v>1.570789240202195</v>
      </c>
      <c r="K501" s="339">
        <f t="shared" si="211"/>
        <v>18.198034081754116</v>
      </c>
      <c r="L501" s="340">
        <f t="shared" si="212"/>
        <v>1.5158176434298438</v>
      </c>
      <c r="M501" s="328">
        <f t="shared" si="196"/>
        <v>1.0415616974950135</v>
      </c>
      <c r="N501" s="331">
        <f t="shared" si="197"/>
        <v>0.28344837093414366</v>
      </c>
      <c r="O501" s="332">
        <f t="shared" si="198"/>
        <v>1.0165998622769028</v>
      </c>
      <c r="P501" s="333">
        <f t="shared" si="199"/>
        <v>0.45343276297517127</v>
      </c>
      <c r="Q501" s="334">
        <f t="shared" si="200"/>
        <v>-5.3050745726425843</v>
      </c>
      <c r="R501" s="335">
        <f t="shared" si="201"/>
        <v>-129.88819775165825</v>
      </c>
      <c r="S501" s="337">
        <f t="shared" si="202"/>
        <v>50.111802248341746</v>
      </c>
      <c r="U501" s="310">
        <f t="shared" si="208"/>
        <v>64565</v>
      </c>
      <c r="V501" s="310">
        <f t="shared" si="209"/>
        <v>4168639225</v>
      </c>
      <c r="X501" s="336">
        <f t="shared" si="203"/>
        <v>2.4947192634029411</v>
      </c>
      <c r="Y501" s="337">
        <f t="shared" si="204"/>
        <v>-19.390035874692121</v>
      </c>
      <c r="AA501" s="336">
        <f t="shared" si="205"/>
        <v>-7.799793836045521</v>
      </c>
      <c r="AB501" s="337">
        <f t="shared" si="206"/>
        <v>-110.49816187696611</v>
      </c>
      <c r="AD501">
        <f t="shared" si="210"/>
        <v>0</v>
      </c>
      <c r="AE501">
        <f t="shared" si="213"/>
        <v>0</v>
      </c>
    </row>
    <row r="502" spans="1:31" x14ac:dyDescent="0.25">
      <c r="A502" s="338">
        <v>64941</v>
      </c>
      <c r="B502" s="355">
        <f t="shared" si="207"/>
        <v>64.941000000000003</v>
      </c>
      <c r="C502" s="328">
        <f t="shared" si="188"/>
        <v>14.608563226975775</v>
      </c>
      <c r="D502" s="329">
        <f t="shared" si="189"/>
        <v>1.5022897526216767</v>
      </c>
      <c r="E502" s="329">
        <f t="shared" si="190"/>
        <v>1.000362557450015</v>
      </c>
      <c r="F502" s="330">
        <f t="shared" si="191"/>
        <v>2.692389065397318E-2</v>
      </c>
      <c r="G502" s="329">
        <f t="shared" si="192"/>
        <v>1</v>
      </c>
      <c r="H502" s="330">
        <f t="shared" si="193"/>
        <v>0</v>
      </c>
      <c r="I502" s="328">
        <f t="shared" si="194"/>
        <v>141933.31421718094</v>
      </c>
      <c r="J502" s="331">
        <f t="shared" si="195"/>
        <v>1.5707892812326512</v>
      </c>
      <c r="K502" s="339">
        <f t="shared" si="211"/>
        <v>18.303692857818749</v>
      </c>
      <c r="L502" s="340">
        <f t="shared" si="212"/>
        <v>1.516135327387931</v>
      </c>
      <c r="M502" s="328">
        <f t="shared" si="196"/>
        <v>1.0420373886232881</v>
      </c>
      <c r="N502" s="331">
        <f t="shared" si="197"/>
        <v>0.28501134026742952</v>
      </c>
      <c r="O502" s="332">
        <f t="shared" si="198"/>
        <v>1.0168352730552412</v>
      </c>
      <c r="P502" s="333">
        <f t="shared" si="199"/>
        <v>0.45615891548514625</v>
      </c>
      <c r="Q502" s="334">
        <f t="shared" si="200"/>
        <v>-5.3613654287691883</v>
      </c>
      <c r="R502" s="335">
        <f t="shared" si="201"/>
        <v>-130.12960572138465</v>
      </c>
      <c r="S502" s="337">
        <f t="shared" si="202"/>
        <v>49.87039427861535</v>
      </c>
      <c r="U502" s="310">
        <f t="shared" si="208"/>
        <v>64941</v>
      </c>
      <c r="V502" s="310">
        <f t="shared" si="209"/>
        <v>4217333481</v>
      </c>
      <c r="X502" s="336">
        <f t="shared" si="203"/>
        <v>2.490601820811571</v>
      </c>
      <c r="Y502" s="337">
        <f t="shared" si="204"/>
        <v>-19.461387821933862</v>
      </c>
      <c r="AA502" s="336">
        <f t="shared" si="205"/>
        <v>-7.8519672495807589</v>
      </c>
      <c r="AB502" s="337">
        <f t="shared" si="206"/>
        <v>-110.66821789945074</v>
      </c>
      <c r="AD502">
        <f t="shared" si="210"/>
        <v>0</v>
      </c>
      <c r="AE502">
        <f t="shared" si="213"/>
        <v>0</v>
      </c>
    </row>
    <row r="503" spans="1:31" x14ac:dyDescent="0.25">
      <c r="A503" s="338">
        <v>65317</v>
      </c>
      <c r="B503" s="355">
        <f t="shared" si="207"/>
        <v>65.316999999999993</v>
      </c>
      <c r="C503" s="328">
        <f t="shared" si="188"/>
        <v>14.692749722125493</v>
      </c>
      <c r="D503" s="329">
        <f t="shared" si="189"/>
        <v>1.5026828914151948</v>
      </c>
      <c r="E503" s="329">
        <f t="shared" si="190"/>
        <v>1.0003667671536247</v>
      </c>
      <c r="F503" s="330">
        <f t="shared" si="191"/>
        <v>2.7079700524318247E-2</v>
      </c>
      <c r="G503" s="329">
        <f t="shared" si="192"/>
        <v>1</v>
      </c>
      <c r="H503" s="330">
        <f t="shared" si="193"/>
        <v>0</v>
      </c>
      <c r="I503" s="328">
        <f t="shared" si="194"/>
        <v>142755.08976949792</v>
      </c>
      <c r="J503" s="331">
        <f t="shared" si="195"/>
        <v>1.5707893217907205</v>
      </c>
      <c r="K503" s="339">
        <f t="shared" si="211"/>
        <v>18.409353459944231</v>
      </c>
      <c r="L503" s="340">
        <f t="shared" si="212"/>
        <v>1.5164493646791839</v>
      </c>
      <c r="M503" s="328">
        <f t="shared" si="196"/>
        <v>1.0425156229900414</v>
      </c>
      <c r="N503" s="331">
        <f t="shared" si="197"/>
        <v>0.28657287944708076</v>
      </c>
      <c r="O503" s="332">
        <f t="shared" si="198"/>
        <v>1.0170729997159906</v>
      </c>
      <c r="P503" s="333">
        <f t="shared" si="199"/>
        <v>0.45888633002150081</v>
      </c>
      <c r="Q503" s="334">
        <f t="shared" si="200"/>
        <v>-5.4174050656319377</v>
      </c>
      <c r="R503" s="335">
        <f t="shared" si="201"/>
        <v>-130.37095192617639</v>
      </c>
      <c r="S503" s="337">
        <f t="shared" si="202"/>
        <v>49.629048073823611</v>
      </c>
      <c r="U503" s="310">
        <f t="shared" si="208"/>
        <v>65317</v>
      </c>
      <c r="V503" s="310">
        <f t="shared" si="209"/>
        <v>4266310489</v>
      </c>
      <c r="X503" s="336">
        <f t="shared" si="203"/>
        <v>2.4864676011522571</v>
      </c>
      <c r="Y503" s="337">
        <f t="shared" si="204"/>
        <v>-19.532866738961566</v>
      </c>
      <c r="AA503" s="336">
        <f t="shared" si="205"/>
        <v>-7.9038726667841921</v>
      </c>
      <c r="AB503" s="337">
        <f t="shared" si="206"/>
        <v>-110.8380851872148</v>
      </c>
      <c r="AD503">
        <f t="shared" si="210"/>
        <v>0</v>
      </c>
      <c r="AE503">
        <f t="shared" si="213"/>
        <v>0</v>
      </c>
    </row>
    <row r="504" spans="1:31" x14ac:dyDescent="0.25">
      <c r="A504" s="338">
        <v>65693</v>
      </c>
      <c r="B504" s="355">
        <f t="shared" si="207"/>
        <v>65.692999999999998</v>
      </c>
      <c r="C504" s="328">
        <f t="shared" si="188"/>
        <v>14.776938462283502</v>
      </c>
      <c r="D504" s="329">
        <f t="shared" si="189"/>
        <v>1.5030715506042001</v>
      </c>
      <c r="E504" s="329">
        <f t="shared" si="190"/>
        <v>1.0003710011426494</v>
      </c>
      <c r="F504" s="330">
        <f t="shared" si="191"/>
        <v>2.7235509079540556E-2</v>
      </c>
      <c r="G504" s="329">
        <f t="shared" si="192"/>
        <v>1</v>
      </c>
      <c r="H504" s="330">
        <f t="shared" si="193"/>
        <v>0</v>
      </c>
      <c r="I504" s="328">
        <f t="shared" si="194"/>
        <v>143576.86532181516</v>
      </c>
      <c r="J504" s="331">
        <f t="shared" si="195"/>
        <v>1.5707893618845139</v>
      </c>
      <c r="K504" s="339">
        <f t="shared" si="211"/>
        <v>18.515015856867937</v>
      </c>
      <c r="L504" s="340">
        <f t="shared" si="212"/>
        <v>1.5167598176740549</v>
      </c>
      <c r="M504" s="328">
        <f t="shared" si="196"/>
        <v>1.0429963970968987</v>
      </c>
      <c r="N504" s="331">
        <f t="shared" si="197"/>
        <v>0.28813298283028554</v>
      </c>
      <c r="O504" s="332">
        <f t="shared" si="198"/>
        <v>1.0173130580686873</v>
      </c>
      <c r="P504" s="333">
        <f t="shared" si="199"/>
        <v>0.46161500729083177</v>
      </c>
      <c r="Q504" s="334">
        <f t="shared" si="200"/>
        <v>-5.473196857172451</v>
      </c>
      <c r="R504" s="335">
        <f t="shared" si="201"/>
        <v>-130.61223696653425</v>
      </c>
      <c r="S504" s="337">
        <f t="shared" si="202"/>
        <v>49.387763033465745</v>
      </c>
      <c r="U504" s="310">
        <f t="shared" si="208"/>
        <v>65693</v>
      </c>
      <c r="V504" s="310">
        <f t="shared" si="209"/>
        <v>4315570249</v>
      </c>
      <c r="X504" s="336">
        <f t="shared" si="203"/>
        <v>2.4823166017931193</v>
      </c>
      <c r="Y504" s="337">
        <f t="shared" si="204"/>
        <v>-19.604468729366946</v>
      </c>
      <c r="AA504" s="336">
        <f t="shared" si="205"/>
        <v>-7.9555134589655694</v>
      </c>
      <c r="AB504" s="337">
        <f t="shared" si="206"/>
        <v>-111.00776823716734</v>
      </c>
      <c r="AD504">
        <f t="shared" si="210"/>
        <v>0</v>
      </c>
      <c r="AE504">
        <f t="shared" si="213"/>
        <v>0</v>
      </c>
    </row>
    <row r="505" spans="1:31" x14ac:dyDescent="0.25">
      <c r="A505" s="338">
        <v>66069</v>
      </c>
      <c r="B505" s="355">
        <f t="shared" si="207"/>
        <v>66.069000000000003</v>
      </c>
      <c r="C505" s="328">
        <f t="shared" si="188"/>
        <v>14.861129409295684</v>
      </c>
      <c r="D505" s="329">
        <f t="shared" si="189"/>
        <v>1.503455806203539</v>
      </c>
      <c r="E505" s="329">
        <f t="shared" si="190"/>
        <v>1.0003752594167805</v>
      </c>
      <c r="F505" s="330">
        <f t="shared" si="191"/>
        <v>2.7391316312091952E-2</v>
      </c>
      <c r="G505" s="329">
        <f t="shared" si="192"/>
        <v>1</v>
      </c>
      <c r="H505" s="330">
        <f t="shared" si="193"/>
        <v>0</v>
      </c>
      <c r="I505" s="328">
        <f t="shared" si="194"/>
        <v>144398.64087413263</v>
      </c>
      <c r="J505" s="331">
        <f t="shared" si="195"/>
        <v>1.5707894015219581</v>
      </c>
      <c r="K505" s="339">
        <f t="shared" si="211"/>
        <v>18.620680018036296</v>
      </c>
      <c r="L505" s="340">
        <f t="shared" si="212"/>
        <v>1.5170667473300969</v>
      </c>
      <c r="M505" s="328">
        <f t="shared" si="196"/>
        <v>1.043479707433371</v>
      </c>
      <c r="N505" s="331">
        <f t="shared" si="197"/>
        <v>0.28969164481256071</v>
      </c>
      <c r="O505" s="332">
        <f t="shared" si="198"/>
        <v>1.0175554639926121</v>
      </c>
      <c r="P505" s="333">
        <f t="shared" si="199"/>
        <v>0.46434494788722092</v>
      </c>
      <c r="Q505" s="334">
        <f t="shared" si="200"/>
        <v>-5.5287441212361186</v>
      </c>
      <c r="R505" s="335">
        <f t="shared" si="201"/>
        <v>-130.85346141898953</v>
      </c>
      <c r="S505" s="337">
        <f t="shared" si="202"/>
        <v>49.146538581010475</v>
      </c>
      <c r="U505" s="310">
        <f t="shared" si="208"/>
        <v>66069</v>
      </c>
      <c r="V505" s="310">
        <f t="shared" si="209"/>
        <v>4365112761</v>
      </c>
      <c r="X505" s="336">
        <f t="shared" si="203"/>
        <v>2.4781488219293442</v>
      </c>
      <c r="Y505" s="337">
        <f t="shared" si="204"/>
        <v>-19.676189979880412</v>
      </c>
      <c r="AA505" s="336">
        <f t="shared" si="205"/>
        <v>-8.0068929431654663</v>
      </c>
      <c r="AB505" s="337">
        <f t="shared" si="206"/>
        <v>-111.17727143910915</v>
      </c>
      <c r="AD505">
        <f t="shared" si="210"/>
        <v>0</v>
      </c>
      <c r="AE505">
        <f t="shared" si="213"/>
        <v>0</v>
      </c>
    </row>
    <row r="506" spans="1:31" x14ac:dyDescent="0.25">
      <c r="A506" s="338">
        <v>66453.75</v>
      </c>
      <c r="B506" s="355">
        <f t="shared" si="207"/>
        <v>66.453749999999999</v>
      </c>
      <c r="C506" s="328">
        <f t="shared" si="188"/>
        <v>14.947281832707127</v>
      </c>
      <c r="D506" s="329">
        <f t="shared" si="189"/>
        <v>1.5038445229311657</v>
      </c>
      <c r="E506" s="329">
        <f t="shared" si="190"/>
        <v>1.0003796419254636</v>
      </c>
      <c r="F506" s="330">
        <f t="shared" si="191"/>
        <v>2.7550748000774339E-2</v>
      </c>
      <c r="G506" s="329">
        <f t="shared" si="192"/>
        <v>1</v>
      </c>
      <c r="H506" s="330">
        <f t="shared" si="193"/>
        <v>0</v>
      </c>
      <c r="I506" s="328">
        <f t="shared" si="194"/>
        <v>145239.54019262793</v>
      </c>
      <c r="J506" s="331">
        <f t="shared" si="195"/>
        <v>1.5707894416174946</v>
      </c>
      <c r="K506" s="339">
        <f t="shared" si="211"/>
        <v>18.728804914281437</v>
      </c>
      <c r="L506" s="340">
        <f t="shared" si="212"/>
        <v>1.5173772345000625</v>
      </c>
      <c r="M506" s="328">
        <f t="shared" si="196"/>
        <v>1.0439768867919217</v>
      </c>
      <c r="N506" s="331">
        <f t="shared" si="197"/>
        <v>0.29128508093647482</v>
      </c>
      <c r="O506" s="332">
        <f t="shared" si="198"/>
        <v>1.0178059578033007</v>
      </c>
      <c r="P506" s="333">
        <f t="shared" si="199"/>
        <v>0.46713972595545111</v>
      </c>
      <c r="Q506" s="334">
        <f t="shared" si="200"/>
        <v>-5.5853343153292343</v>
      </c>
      <c r="R506" s="335">
        <f t="shared" si="201"/>
        <v>-131.10023732999082</v>
      </c>
      <c r="S506" s="337">
        <f t="shared" si="202"/>
        <v>48.899762670009181</v>
      </c>
      <c r="U506" s="310">
        <f t="shared" si="208"/>
        <v>66453.75</v>
      </c>
      <c r="V506" s="310">
        <f t="shared" si="209"/>
        <v>4416100889.0625</v>
      </c>
      <c r="X506" s="336">
        <f t="shared" si="203"/>
        <v>2.4738666827189486</v>
      </c>
      <c r="Y506" s="337">
        <f t="shared" si="204"/>
        <v>-19.749699837661399</v>
      </c>
      <c r="AA506" s="336">
        <f t="shared" si="205"/>
        <v>-8.0592009980481798</v>
      </c>
      <c r="AB506" s="337">
        <f t="shared" si="206"/>
        <v>-111.35053749232944</v>
      </c>
      <c r="AD506">
        <f t="shared" si="210"/>
        <v>0</v>
      </c>
      <c r="AE506">
        <f t="shared" si="213"/>
        <v>0</v>
      </c>
    </row>
    <row r="507" spans="1:31" x14ac:dyDescent="0.25">
      <c r="A507" s="338">
        <v>66838.5</v>
      </c>
      <c r="B507" s="355">
        <f t="shared" si="207"/>
        <v>66.838499999999996</v>
      </c>
      <c r="C507" s="328">
        <f t="shared" si="188"/>
        <v>15.033436488776855</v>
      </c>
      <c r="D507" s="329">
        <f t="shared" si="189"/>
        <v>1.5042287843469648</v>
      </c>
      <c r="E507" s="329">
        <f t="shared" si="190"/>
        <v>1.0003840498620371</v>
      </c>
      <c r="F507" s="330">
        <f t="shared" si="191"/>
        <v>2.771017828851921E-2</v>
      </c>
      <c r="G507" s="329">
        <f t="shared" si="192"/>
        <v>1</v>
      </c>
      <c r="H507" s="330">
        <f t="shared" si="193"/>
        <v>0</v>
      </c>
      <c r="I507" s="328">
        <f t="shared" si="194"/>
        <v>146080.43951112346</v>
      </c>
      <c r="J507" s="331">
        <f t="shared" si="195"/>
        <v>1.5707894812514183</v>
      </c>
      <c r="K507" s="339">
        <f t="shared" si="211"/>
        <v>18.836931595298708</v>
      </c>
      <c r="L507" s="340">
        <f t="shared" si="212"/>
        <v>1.5176841572178237</v>
      </c>
      <c r="M507" s="328">
        <f t="shared" si="196"/>
        <v>1.044476714320739</v>
      </c>
      <c r="N507" s="331">
        <f t="shared" si="197"/>
        <v>0.29287699604214984</v>
      </c>
      <c r="O507" s="332">
        <f t="shared" si="198"/>
        <v>1.0180589435810314</v>
      </c>
      <c r="P507" s="333">
        <f t="shared" si="199"/>
        <v>0.469935827728935</v>
      </c>
      <c r="Q507" s="334">
        <f t="shared" si="200"/>
        <v>-5.6416753230833807</v>
      </c>
      <c r="R507" s="335">
        <f t="shared" si="201"/>
        <v>-131.34695094711356</v>
      </c>
      <c r="S507" s="337">
        <f t="shared" si="202"/>
        <v>48.653049052886445</v>
      </c>
      <c r="U507" s="310">
        <f t="shared" si="208"/>
        <v>66838.5</v>
      </c>
      <c r="V507" s="310">
        <f t="shared" si="209"/>
        <v>4467385082.25</v>
      </c>
      <c r="X507" s="336">
        <f t="shared" si="203"/>
        <v>2.4695669768111297</v>
      </c>
      <c r="Y507" s="337">
        <f t="shared" si="204"/>
        <v>-19.823326749135976</v>
      </c>
      <c r="AA507" s="336">
        <f t="shared" si="205"/>
        <v>-8.11124229989451</v>
      </c>
      <c r="AB507" s="337">
        <f t="shared" si="206"/>
        <v>-111.52362419797757</v>
      </c>
      <c r="AD507">
        <f t="shared" si="210"/>
        <v>0</v>
      </c>
      <c r="AE507">
        <f t="shared" si="213"/>
        <v>0</v>
      </c>
    </row>
    <row r="508" spans="1:31" x14ac:dyDescent="0.25">
      <c r="A508" s="338">
        <v>67223.25</v>
      </c>
      <c r="B508" s="355">
        <f t="shared" si="207"/>
        <v>67.223249999999993</v>
      </c>
      <c r="C508" s="328">
        <f t="shared" si="188"/>
        <v>15.11959333933839</v>
      </c>
      <c r="D508" s="329">
        <f t="shared" si="189"/>
        <v>1.5046086665003582</v>
      </c>
      <c r="E508" s="329">
        <f t="shared" si="190"/>
        <v>1.0003884832261642</v>
      </c>
      <c r="F508" s="330">
        <f t="shared" si="191"/>
        <v>2.7869607167240337E-2</v>
      </c>
      <c r="G508" s="329">
        <f t="shared" si="192"/>
        <v>1</v>
      </c>
      <c r="H508" s="330">
        <f t="shared" si="193"/>
        <v>0</v>
      </c>
      <c r="I508" s="328">
        <f t="shared" si="194"/>
        <v>146921.3388296192</v>
      </c>
      <c r="J508" s="331">
        <f t="shared" si="195"/>
        <v>1.5707895204316551</v>
      </c>
      <c r="K508" s="339">
        <f t="shared" si="211"/>
        <v>18.945060030528989</v>
      </c>
      <c r="L508" s="340">
        <f t="shared" si="212"/>
        <v>1.517987576457108</v>
      </c>
      <c r="M508" s="328">
        <f t="shared" si="196"/>
        <v>1.0449791862198574</v>
      </c>
      <c r="N508" s="331">
        <f t="shared" si="197"/>
        <v>0.2944673842495224</v>
      </c>
      <c r="O508" s="332">
        <f t="shared" si="198"/>
        <v>1.0183144385635117</v>
      </c>
      <c r="P508" s="333">
        <f t="shared" si="199"/>
        <v>0.4727332534749521</v>
      </c>
      <c r="Q508" s="334">
        <f t="shared" si="200"/>
        <v>-5.6977705251307755</v>
      </c>
      <c r="R508" s="335">
        <f t="shared" si="201"/>
        <v>-131.59360281345994</v>
      </c>
      <c r="S508" s="337">
        <f t="shared" si="202"/>
        <v>48.406397186540062</v>
      </c>
      <c r="U508" s="310">
        <f t="shared" si="208"/>
        <v>67223.25</v>
      </c>
      <c r="V508" s="310">
        <f t="shared" si="209"/>
        <v>4518965340.5625</v>
      </c>
      <c r="X508" s="336">
        <f t="shared" si="203"/>
        <v>2.4652497089076197</v>
      </c>
      <c r="Y508" s="337">
        <f t="shared" si="204"/>
        <v>-19.897066884318217</v>
      </c>
      <c r="AA508" s="336">
        <f t="shared" si="205"/>
        <v>-8.1630202340383988</v>
      </c>
      <c r="AB508" s="337">
        <f t="shared" si="206"/>
        <v>-111.6965359291417</v>
      </c>
      <c r="AD508">
        <f t="shared" si="210"/>
        <v>0</v>
      </c>
      <c r="AE508">
        <f t="shared" si="213"/>
        <v>0</v>
      </c>
    </row>
    <row r="509" spans="1:31" x14ac:dyDescent="0.25">
      <c r="A509" s="338">
        <v>67608</v>
      </c>
      <c r="B509" s="355">
        <f t="shared" si="207"/>
        <v>67.608000000000004</v>
      </c>
      <c r="C509" s="328">
        <f t="shared" si="188"/>
        <v>15.205752347089303</v>
      </c>
      <c r="D509" s="329">
        <f t="shared" si="189"/>
        <v>1.5049842437222416</v>
      </c>
      <c r="E509" s="329">
        <f t="shared" si="190"/>
        <v>1.0003929420175075</v>
      </c>
      <c r="F509" s="330">
        <f t="shared" si="191"/>
        <v>2.8029034628851923E-2</v>
      </c>
      <c r="G509" s="329">
        <f t="shared" si="192"/>
        <v>1</v>
      </c>
      <c r="H509" s="330">
        <f t="shared" si="193"/>
        <v>0</v>
      </c>
      <c r="I509" s="328">
        <f t="shared" si="194"/>
        <v>147762.2381481152</v>
      </c>
      <c r="J509" s="331">
        <f t="shared" si="195"/>
        <v>1.5707895591659506</v>
      </c>
      <c r="K509" s="339">
        <f t="shared" si="211"/>
        <v>19.05319019010637</v>
      </c>
      <c r="L509" s="340">
        <f t="shared" si="212"/>
        <v>1.5182875518101115</v>
      </c>
      <c r="M509" s="328">
        <f t="shared" si="196"/>
        <v>1.0454842986765314</v>
      </c>
      <c r="N509" s="331">
        <f t="shared" si="197"/>
        <v>0.29605623972069933</v>
      </c>
      <c r="O509" s="332">
        <f t="shared" si="198"/>
        <v>1.018572460062902</v>
      </c>
      <c r="P509" s="333">
        <f t="shared" si="199"/>
        <v>0.47553200333515855</v>
      </c>
      <c r="Q509" s="334">
        <f t="shared" si="200"/>
        <v>-5.7536232459678507</v>
      </c>
      <c r="R509" s="335">
        <f t="shared" si="201"/>
        <v>-131.84019344803201</v>
      </c>
      <c r="S509" s="337">
        <f t="shared" si="202"/>
        <v>48.159806551967989</v>
      </c>
      <c r="U509" s="310">
        <f t="shared" si="208"/>
        <v>67608</v>
      </c>
      <c r="V509" s="310">
        <f t="shared" si="209"/>
        <v>4570841664</v>
      </c>
      <c r="X509" s="336">
        <f t="shared" si="203"/>
        <v>2.4609148854664404</v>
      </c>
      <c r="Y509" s="337">
        <f t="shared" si="204"/>
        <v>-19.970916494783918</v>
      </c>
      <c r="AA509" s="336">
        <f t="shared" si="205"/>
        <v>-8.214538131434292</v>
      </c>
      <c r="AB509" s="337">
        <f t="shared" si="206"/>
        <v>-111.8692769532481</v>
      </c>
      <c r="AD509">
        <f t="shared" si="210"/>
        <v>0</v>
      </c>
      <c r="AE509">
        <f t="shared" si="213"/>
        <v>0</v>
      </c>
    </row>
    <row r="510" spans="1:31" x14ac:dyDescent="0.25">
      <c r="A510" s="338">
        <v>68001.75</v>
      </c>
      <c r="B510" s="355">
        <f t="shared" si="207"/>
        <v>68.001750000000001</v>
      </c>
      <c r="C510" s="328">
        <f t="shared" si="188"/>
        <v>15.293928965655228</v>
      </c>
      <c r="D510" s="329">
        <f t="shared" si="189"/>
        <v>1.5053642250232657</v>
      </c>
      <c r="E510" s="329">
        <f t="shared" si="190"/>
        <v>1.0003975314340641</v>
      </c>
      <c r="F510" s="330">
        <f t="shared" si="191"/>
        <v>2.8192189912154202E-2</v>
      </c>
      <c r="G510" s="329">
        <f t="shared" si="192"/>
        <v>1</v>
      </c>
      <c r="H510" s="330">
        <f t="shared" si="193"/>
        <v>0</v>
      </c>
      <c r="I510" s="328">
        <f t="shared" si="194"/>
        <v>148622.80762610838</v>
      </c>
      <c r="J510" s="331">
        <f t="shared" si="195"/>
        <v>1.5707895983524995</v>
      </c>
      <c r="K510" s="339">
        <f t="shared" si="211"/>
        <v>19.163851465007809</v>
      </c>
      <c r="L510" s="340">
        <f t="shared" si="212"/>
        <v>1.5185910392353896</v>
      </c>
      <c r="M510" s="328">
        <f t="shared" si="196"/>
        <v>1.046003956568764</v>
      </c>
      <c r="N510" s="331">
        <f t="shared" si="197"/>
        <v>0.29768066841881086</v>
      </c>
      <c r="O510" s="332">
        <f t="shared" si="198"/>
        <v>1.0188391511524681</v>
      </c>
      <c r="P510" s="333">
        <f t="shared" si="199"/>
        <v>0.47839759198032655</v>
      </c>
      <c r="Q510" s="334">
        <f t="shared" si="200"/>
        <v>-5.8105348188445083</v>
      </c>
      <c r="R510" s="335">
        <f t="shared" si="201"/>
        <v>-132.09248940435504</v>
      </c>
      <c r="S510" s="337">
        <f t="shared" si="202"/>
        <v>47.907510595644965</v>
      </c>
      <c r="U510" s="310">
        <f t="shared" si="208"/>
        <v>68001.75</v>
      </c>
      <c r="V510" s="310">
        <f t="shared" si="209"/>
        <v>4624238003.0625</v>
      </c>
      <c r="X510" s="336">
        <f t="shared" si="203"/>
        <v>2.4564604948441442</v>
      </c>
      <c r="Y510" s="337">
        <f t="shared" si="204"/>
        <v>-20.046603100012263</v>
      </c>
      <c r="AA510" s="336">
        <f t="shared" si="205"/>
        <v>-8.266995313688648</v>
      </c>
      <c r="AB510" s="337">
        <f t="shared" si="206"/>
        <v>-112.04588630434273</v>
      </c>
      <c r="AD510">
        <f t="shared" si="210"/>
        <v>0</v>
      </c>
      <c r="AE510">
        <f t="shared" si="213"/>
        <v>0</v>
      </c>
    </row>
    <row r="511" spans="1:31" x14ac:dyDescent="0.25">
      <c r="A511" s="338">
        <v>68395.5</v>
      </c>
      <c r="B511" s="355">
        <f t="shared" si="207"/>
        <v>68.395499999999998</v>
      </c>
      <c r="C511" s="328">
        <f t="shared" si="188"/>
        <v>15.382107767130035</v>
      </c>
      <c r="D511" s="329">
        <f t="shared" si="189"/>
        <v>1.5057398498494727</v>
      </c>
      <c r="E511" s="329">
        <f t="shared" si="190"/>
        <v>1.0004021474806046</v>
      </c>
      <c r="F511" s="330">
        <f t="shared" si="191"/>
        <v>2.8355343694140278E-2</v>
      </c>
      <c r="G511" s="329">
        <f t="shared" si="192"/>
        <v>1</v>
      </c>
      <c r="H511" s="330">
        <f t="shared" si="193"/>
        <v>0</v>
      </c>
      <c r="I511" s="328">
        <f t="shared" si="194"/>
        <v>149483.37710410179</v>
      </c>
      <c r="J511" s="331">
        <f t="shared" si="195"/>
        <v>1.5707896370878578</v>
      </c>
      <c r="K511" s="339">
        <f t="shared" si="211"/>
        <v>19.274514484720569</v>
      </c>
      <c r="L511" s="340">
        <f t="shared" si="212"/>
        <v>1.5188910417924804</v>
      </c>
      <c r="M511" s="328">
        <f t="shared" si="196"/>
        <v>1.0465263718779969</v>
      </c>
      <c r="N511" s="331">
        <f t="shared" si="197"/>
        <v>0.29930347959905929</v>
      </c>
      <c r="O511" s="332">
        <f t="shared" si="198"/>
        <v>1.0191085252648358</v>
      </c>
      <c r="P511" s="333">
        <f t="shared" si="199"/>
        <v>0.48126456730591383</v>
      </c>
      <c r="Q511" s="334">
        <f t="shared" si="200"/>
        <v>-5.8671993041607777</v>
      </c>
      <c r="R511" s="335">
        <f t="shared" si="201"/>
        <v>-132.34472225545306</v>
      </c>
      <c r="S511" s="337">
        <f t="shared" si="202"/>
        <v>47.655277744546936</v>
      </c>
      <c r="U511" s="310">
        <f t="shared" si="208"/>
        <v>68395.5</v>
      </c>
      <c r="V511" s="310">
        <f t="shared" si="209"/>
        <v>4677944420.25</v>
      </c>
      <c r="X511" s="336">
        <f t="shared" si="203"/>
        <v>2.4519877368437921</v>
      </c>
      <c r="Y511" s="337">
        <f t="shared" si="204"/>
        <v>-20.122396670681859</v>
      </c>
      <c r="AA511" s="336">
        <f t="shared" si="205"/>
        <v>-8.3191870410045681</v>
      </c>
      <c r="AB511" s="337">
        <f t="shared" si="206"/>
        <v>-112.22232558477124</v>
      </c>
      <c r="AD511">
        <f t="shared" si="210"/>
        <v>0</v>
      </c>
      <c r="AE511">
        <f t="shared" si="213"/>
        <v>0</v>
      </c>
    </row>
    <row r="512" spans="1:31" x14ac:dyDescent="0.25">
      <c r="A512" s="338">
        <v>68789.25</v>
      </c>
      <c r="B512" s="355">
        <f t="shared" si="207"/>
        <v>68.789249999999996</v>
      </c>
      <c r="C512" s="328">
        <f t="shared" si="188"/>
        <v>15.470288714186767</v>
      </c>
      <c r="D512" s="329">
        <f t="shared" si="189"/>
        <v>1.5061111925899233</v>
      </c>
      <c r="E512" s="329">
        <f t="shared" si="190"/>
        <v>1.0004067901567604</v>
      </c>
      <c r="F512" s="330">
        <f t="shared" si="191"/>
        <v>2.8518495966144961E-2</v>
      </c>
      <c r="G512" s="329">
        <f t="shared" si="192"/>
        <v>1</v>
      </c>
      <c r="H512" s="330">
        <f t="shared" si="193"/>
        <v>0</v>
      </c>
      <c r="I512" s="328">
        <f t="shared" si="194"/>
        <v>150343.94658209541</v>
      </c>
      <c r="J512" s="331">
        <f t="shared" si="195"/>
        <v>1.5707896753797732</v>
      </c>
      <c r="K512" s="339">
        <f t="shared" si="211"/>
        <v>19.385179219363145</v>
      </c>
      <c r="L512" s="340">
        <f t="shared" si="212"/>
        <v>1.5191876191094191</v>
      </c>
      <c r="M512" s="328">
        <f t="shared" si="196"/>
        <v>1.0470515404768774</v>
      </c>
      <c r="N512" s="331">
        <f t="shared" si="197"/>
        <v>0.30092466714159477</v>
      </c>
      <c r="O512" s="332">
        <f t="shared" si="198"/>
        <v>1.0193806011944522</v>
      </c>
      <c r="P512" s="333">
        <f t="shared" si="199"/>
        <v>0.48413292905145572</v>
      </c>
      <c r="Q512" s="334">
        <f t="shared" si="200"/>
        <v>-5.9236200907360095</v>
      </c>
      <c r="R512" s="335">
        <f t="shared" si="201"/>
        <v>-132.59689248244607</v>
      </c>
      <c r="S512" s="337">
        <f t="shared" si="202"/>
        <v>47.403107517553934</v>
      </c>
      <c r="U512" s="310">
        <f t="shared" si="208"/>
        <v>68789.25</v>
      </c>
      <c r="V512" s="310">
        <f t="shared" si="209"/>
        <v>4731960915.5625</v>
      </c>
      <c r="X512" s="336">
        <f t="shared" si="203"/>
        <v>2.4474966237376892</v>
      </c>
      <c r="Y512" s="337">
        <f t="shared" si="204"/>
        <v>-20.198293440160295</v>
      </c>
      <c r="AA512" s="336">
        <f t="shared" si="205"/>
        <v>-8.3711167144736987</v>
      </c>
      <c r="AB512" s="337">
        <f t="shared" si="206"/>
        <v>-112.39859904228581</v>
      </c>
      <c r="AD512">
        <f t="shared" si="210"/>
        <v>0</v>
      </c>
      <c r="AE512">
        <f t="shared" si="213"/>
        <v>0</v>
      </c>
    </row>
    <row r="513" spans="1:31" x14ac:dyDescent="0.25">
      <c r="A513" s="338">
        <v>69183</v>
      </c>
      <c r="B513" s="355">
        <f t="shared" si="207"/>
        <v>69.183000000000007</v>
      </c>
      <c r="C513" s="328">
        <f t="shared" si="188"/>
        <v>15.558471770343797</v>
      </c>
      <c r="D513" s="329">
        <f t="shared" si="189"/>
        <v>1.5064783259519594</v>
      </c>
      <c r="E513" s="329">
        <f t="shared" si="190"/>
        <v>1.0004114594621607</v>
      </c>
      <c r="F513" s="330">
        <f t="shared" si="191"/>
        <v>2.8681646719503549E-2</v>
      </c>
      <c r="G513" s="329">
        <f t="shared" si="192"/>
        <v>1</v>
      </c>
      <c r="H513" s="330">
        <f t="shared" si="193"/>
        <v>0</v>
      </c>
      <c r="I513" s="328">
        <f t="shared" si="194"/>
        <v>151204.51606008926</v>
      </c>
      <c r="J513" s="331">
        <f t="shared" si="195"/>
        <v>1.5707897132358175</v>
      </c>
      <c r="K513" s="339">
        <f t="shared" si="211"/>
        <v>19.49584563973205</v>
      </c>
      <c r="L513" s="340">
        <f t="shared" si="212"/>
        <v>1.5194808294627897</v>
      </c>
      <c r="M513" s="328">
        <f t="shared" si="196"/>
        <v>1.0475794582245994</v>
      </c>
      <c r="N513" s="331">
        <f t="shared" si="197"/>
        <v>0.30254422497294581</v>
      </c>
      <c r="O513" s="332">
        <f t="shared" si="198"/>
        <v>1.0196553978150857</v>
      </c>
      <c r="P513" s="333">
        <f t="shared" si="199"/>
        <v>0.4870026768162613</v>
      </c>
      <c r="Q513" s="334">
        <f t="shared" si="200"/>
        <v>-5.9798005111854753</v>
      </c>
      <c r="R513" s="335">
        <f t="shared" si="201"/>
        <v>-132.84900054214356</v>
      </c>
      <c r="S513" s="337">
        <f t="shared" si="202"/>
        <v>47.150999457856443</v>
      </c>
      <c r="U513" s="310">
        <f t="shared" si="208"/>
        <v>69183</v>
      </c>
      <c r="V513" s="310">
        <f t="shared" si="209"/>
        <v>4786287489</v>
      </c>
      <c r="X513" s="336">
        <f t="shared" si="203"/>
        <v>2.4429871694869458</v>
      </c>
      <c r="Y513" s="337">
        <f t="shared" si="204"/>
        <v>-20.274289721894792</v>
      </c>
      <c r="AA513" s="336">
        <f t="shared" si="205"/>
        <v>-8.4227876806724193</v>
      </c>
      <c r="AB513" s="337">
        <f t="shared" si="206"/>
        <v>-112.5747108202488</v>
      </c>
      <c r="AD513">
        <f t="shared" si="210"/>
        <v>0</v>
      </c>
      <c r="AE513">
        <f t="shared" si="213"/>
        <v>0</v>
      </c>
    </row>
    <row r="514" spans="1:31" x14ac:dyDescent="0.25">
      <c r="A514" s="338">
        <v>69586</v>
      </c>
      <c r="B514" s="355">
        <f t="shared" si="207"/>
        <v>69.585999999999999</v>
      </c>
      <c r="C514" s="328">
        <f t="shared" si="188"/>
        <v>15.648728575247215</v>
      </c>
      <c r="D514" s="329">
        <f t="shared" si="189"/>
        <v>1.5068497993272452</v>
      </c>
      <c r="E514" s="329">
        <f t="shared" si="190"/>
        <v>1.0004162660337472</v>
      </c>
      <c r="F514" s="330">
        <f t="shared" si="191"/>
        <v>2.884862863909728E-2</v>
      </c>
      <c r="G514" s="329">
        <f t="shared" si="192"/>
        <v>1</v>
      </c>
      <c r="H514" s="330">
        <f t="shared" si="193"/>
        <v>0</v>
      </c>
      <c r="I514" s="328">
        <f t="shared" si="194"/>
        <v>152085.3020908997</v>
      </c>
      <c r="J514" s="331">
        <f t="shared" si="195"/>
        <v>1.5707897515375493</v>
      </c>
      <c r="K514" s="339">
        <f t="shared" si="211"/>
        <v>19.609113558482125</v>
      </c>
      <c r="L514" s="340">
        <f t="shared" si="212"/>
        <v>1.5197775008345702</v>
      </c>
      <c r="M514" s="328">
        <f t="shared" si="196"/>
        <v>1.0481226202963621</v>
      </c>
      <c r="N514" s="331">
        <f t="shared" si="197"/>
        <v>0.30420013568119431</v>
      </c>
      <c r="O514" s="332">
        <f t="shared" si="198"/>
        <v>1.0199394870688305</v>
      </c>
      <c r="P514" s="333">
        <f t="shared" si="199"/>
        <v>0.48994127555416184</v>
      </c>
      <c r="Q514" s="334">
        <f t="shared" si="200"/>
        <v>-6.0370552434686235</v>
      </c>
      <c r="R514" s="335">
        <f t="shared" si="201"/>
        <v>-133.10696721701549</v>
      </c>
      <c r="S514" s="337">
        <f t="shared" si="202"/>
        <v>46.893032782984506</v>
      </c>
      <c r="U514" s="310">
        <f t="shared" si="208"/>
        <v>69586</v>
      </c>
      <c r="V514" s="310">
        <f t="shared" si="209"/>
        <v>4842211396</v>
      </c>
      <c r="X514" s="336">
        <f t="shared" si="203"/>
        <v>2.4383528026233319</v>
      </c>
      <c r="Y514" s="337">
        <f t="shared" si="204"/>
        <v>-20.352170593839148</v>
      </c>
      <c r="AA514" s="336">
        <f t="shared" si="205"/>
        <v>-8.475408046091955</v>
      </c>
      <c r="AB514" s="337">
        <f t="shared" si="206"/>
        <v>-112.75479662317638</v>
      </c>
      <c r="AD514">
        <f t="shared" si="210"/>
        <v>0</v>
      </c>
      <c r="AE514">
        <f t="shared" si="213"/>
        <v>0</v>
      </c>
    </row>
    <row r="515" spans="1:31" x14ac:dyDescent="0.25">
      <c r="A515" s="338">
        <v>69989</v>
      </c>
      <c r="B515" s="355">
        <f t="shared" si="207"/>
        <v>69.989000000000004</v>
      </c>
      <c r="C515" s="328">
        <f t="shared" si="188"/>
        <v>15.738987514790479</v>
      </c>
      <c r="D515" s="329">
        <f t="shared" si="189"/>
        <v>1.5072170121491852</v>
      </c>
      <c r="E515" s="329">
        <f t="shared" si="190"/>
        <v>1.0004211004996333</v>
      </c>
      <c r="F515" s="330">
        <f t="shared" si="191"/>
        <v>2.9015608949489693E-2</v>
      </c>
      <c r="G515" s="329">
        <f t="shared" si="192"/>
        <v>1</v>
      </c>
      <c r="H515" s="330">
        <f t="shared" si="193"/>
        <v>0</v>
      </c>
      <c r="I515" s="328">
        <f t="shared" si="194"/>
        <v>152966.08812171037</v>
      </c>
      <c r="J515" s="331">
        <f t="shared" si="195"/>
        <v>1.5707897893981946</v>
      </c>
      <c r="K515" s="339">
        <f t="shared" si="211"/>
        <v>19.72238318328294</v>
      </c>
      <c r="L515" s="340">
        <f t="shared" si="212"/>
        <v>1.5200707645448568</v>
      </c>
      <c r="M515" s="328">
        <f t="shared" si="196"/>
        <v>1.0486686533807734</v>
      </c>
      <c r="N515" s="331">
        <f t="shared" si="197"/>
        <v>0.30585432648338606</v>
      </c>
      <c r="O515" s="332">
        <f t="shared" si="198"/>
        <v>1.020226466602618</v>
      </c>
      <c r="P515" s="333">
        <f t="shared" si="199"/>
        <v>0.49288132489532338</v>
      </c>
      <c r="Q515" s="334">
        <f t="shared" si="200"/>
        <v>-6.0940650727351233</v>
      </c>
      <c r="R515" s="335">
        <f t="shared" si="201"/>
        <v>-133.36486966179834</v>
      </c>
      <c r="S515" s="337">
        <f t="shared" si="202"/>
        <v>46.635130338201662</v>
      </c>
      <c r="U515" s="310">
        <f t="shared" si="208"/>
        <v>69989</v>
      </c>
      <c r="V515" s="310">
        <f t="shared" si="209"/>
        <v>4898460121</v>
      </c>
      <c r="X515" s="336">
        <f t="shared" si="203"/>
        <v>2.4336992575290077</v>
      </c>
      <c r="Y515" s="337">
        <f t="shared" si="204"/>
        <v>-20.430148141774609</v>
      </c>
      <c r="AA515" s="336">
        <f t="shared" si="205"/>
        <v>-8.5277643302641302</v>
      </c>
      <c r="AB515" s="337">
        <f t="shared" si="206"/>
        <v>-112.93472152002373</v>
      </c>
      <c r="AD515">
        <f t="shared" si="210"/>
        <v>0</v>
      </c>
      <c r="AE515">
        <f t="shared" si="213"/>
        <v>0</v>
      </c>
    </row>
    <row r="516" spans="1:31" x14ac:dyDescent="0.25">
      <c r="A516" s="338">
        <v>70392</v>
      </c>
      <c r="B516" s="355">
        <f t="shared" si="207"/>
        <v>70.391999999999996</v>
      </c>
      <c r="C516" s="328">
        <f t="shared" si="188"/>
        <v>15.82924855245821</v>
      </c>
      <c r="D516" s="329">
        <f t="shared" si="189"/>
        <v>1.5075800372010641</v>
      </c>
      <c r="E516" s="329">
        <f t="shared" si="190"/>
        <v>1.0004259628594148</v>
      </c>
      <c r="F516" s="330">
        <f t="shared" si="191"/>
        <v>2.9182587641392546E-2</v>
      </c>
      <c r="G516" s="329">
        <f t="shared" si="192"/>
        <v>1</v>
      </c>
      <c r="H516" s="330">
        <f t="shared" si="193"/>
        <v>0</v>
      </c>
      <c r="I516" s="328">
        <f t="shared" si="194"/>
        <v>153846.87415252125</v>
      </c>
      <c r="J516" s="331">
        <f t="shared" si="195"/>
        <v>1.5707898268253293</v>
      </c>
      <c r="K516" s="339">
        <f t="shared" si="211"/>
        <v>19.83565448490776</v>
      </c>
      <c r="L516" s="340">
        <f t="shared" si="212"/>
        <v>1.5203606789210169</v>
      </c>
      <c r="M516" s="328">
        <f t="shared" si="196"/>
        <v>1.0492175529954422</v>
      </c>
      <c r="N516" s="331">
        <f t="shared" si="197"/>
        <v>0.30750679101894784</v>
      </c>
      <c r="O516" s="332">
        <f t="shared" si="198"/>
        <v>1.0205163569059705</v>
      </c>
      <c r="P516" s="333">
        <f t="shared" si="199"/>
        <v>0.49582282394994265</v>
      </c>
      <c r="Q516" s="334">
        <f t="shared" si="200"/>
        <v>-6.150833397279813</v>
      </c>
      <c r="R516" s="335">
        <f t="shared" si="201"/>
        <v>-133.62270829030533</v>
      </c>
      <c r="S516" s="337">
        <f t="shared" si="202"/>
        <v>46.377291709694674</v>
      </c>
      <c r="U516" s="310">
        <f t="shared" si="208"/>
        <v>70392</v>
      </c>
      <c r="V516" s="310">
        <f t="shared" si="209"/>
        <v>4955033664</v>
      </c>
      <c r="X516" s="336">
        <f t="shared" si="203"/>
        <v>2.4290265543181566</v>
      </c>
      <c r="Y516" s="337">
        <f t="shared" si="204"/>
        <v>-20.508218659789282</v>
      </c>
      <c r="AA516" s="336">
        <f t="shared" si="205"/>
        <v>-8.5798599515979674</v>
      </c>
      <c r="AB516" s="337">
        <f t="shared" si="206"/>
        <v>-113.11448963051609</v>
      </c>
      <c r="AD516">
        <f t="shared" si="210"/>
        <v>0</v>
      </c>
      <c r="AE516">
        <f t="shared" si="213"/>
        <v>0</v>
      </c>
    </row>
    <row r="517" spans="1:31" x14ac:dyDescent="0.25">
      <c r="A517" s="338">
        <v>70795</v>
      </c>
      <c r="B517" s="355">
        <f t="shared" si="207"/>
        <v>70.795000000000002</v>
      </c>
      <c r="C517" s="328">
        <f t="shared" si="188"/>
        <v>15.919511652562333</v>
      </c>
      <c r="D517" s="329">
        <f t="shared" si="189"/>
        <v>1.5079389456199246</v>
      </c>
      <c r="E517" s="329">
        <f t="shared" si="190"/>
        <v>1.0004308531126849</v>
      </c>
      <c r="F517" s="330">
        <f t="shared" si="191"/>
        <v>2.9349564705518149E-2</v>
      </c>
      <c r="G517" s="329">
        <f t="shared" si="192"/>
        <v>1</v>
      </c>
      <c r="H517" s="330">
        <f t="shared" si="193"/>
        <v>0</v>
      </c>
      <c r="I517" s="328">
        <f t="shared" si="194"/>
        <v>154727.66018333234</v>
      </c>
      <c r="J517" s="331">
        <f t="shared" si="195"/>
        <v>1.5707898638263569</v>
      </c>
      <c r="K517" s="339">
        <f t="shared" si="211"/>
        <v>19.948927434793251</v>
      </c>
      <c r="L517" s="340">
        <f t="shared" si="212"/>
        <v>1.520647300967934</v>
      </c>
      <c r="M517" s="328">
        <f t="shared" si="196"/>
        <v>1.0497693146438454</v>
      </c>
      <c r="N517" s="331">
        <f t="shared" si="197"/>
        <v>0.30915752297828514</v>
      </c>
      <c r="O517" s="332">
        <f t="shared" si="198"/>
        <v>1.0208091785527158</v>
      </c>
      <c r="P517" s="333">
        <f t="shared" si="199"/>
        <v>0.49876577167175012</v>
      </c>
      <c r="Q517" s="334">
        <f t="shared" si="200"/>
        <v>-6.207363559100151</v>
      </c>
      <c r="R517" s="335">
        <f t="shared" si="201"/>
        <v>-133.88048349174599</v>
      </c>
      <c r="S517" s="337">
        <f t="shared" si="202"/>
        <v>46.119516508254009</v>
      </c>
      <c r="U517" s="310">
        <f t="shared" si="208"/>
        <v>70795</v>
      </c>
      <c r="V517" s="310">
        <f t="shared" si="209"/>
        <v>5011932025</v>
      </c>
      <c r="X517" s="336">
        <f t="shared" si="203"/>
        <v>2.4243347147289969</v>
      </c>
      <c r="Y517" s="337">
        <f t="shared" si="204"/>
        <v>-20.586378520654947</v>
      </c>
      <c r="AA517" s="336">
        <f t="shared" si="205"/>
        <v>-8.6316982738291497</v>
      </c>
      <c r="AB517" s="337">
        <f t="shared" si="206"/>
        <v>-113.29410497109104</v>
      </c>
      <c r="AD517">
        <f t="shared" si="210"/>
        <v>0</v>
      </c>
      <c r="AE517">
        <f t="shared" si="213"/>
        <v>0</v>
      </c>
    </row>
    <row r="518" spans="1:31" x14ac:dyDescent="0.25">
      <c r="A518" s="338">
        <v>71207.25</v>
      </c>
      <c r="B518" s="355">
        <f t="shared" si="207"/>
        <v>71.207250000000002</v>
      </c>
      <c r="C518" s="328">
        <f t="shared" si="188"/>
        <v>16.011848646010613</v>
      </c>
      <c r="D518" s="329">
        <f t="shared" si="189"/>
        <v>1.5083019050516309</v>
      </c>
      <c r="E518" s="329">
        <f t="shared" si="190"/>
        <v>1.0004358844719847</v>
      </c>
      <c r="F518" s="330">
        <f t="shared" si="191"/>
        <v>2.9520372675818751E-2</v>
      </c>
      <c r="G518" s="329">
        <f t="shared" si="192"/>
        <v>1</v>
      </c>
      <c r="H518" s="330">
        <f t="shared" si="193"/>
        <v>0</v>
      </c>
      <c r="I518" s="328">
        <f t="shared" si="194"/>
        <v>155628.66276696001</v>
      </c>
      <c r="J518" s="331">
        <f t="shared" si="195"/>
        <v>1.5707899012433162</v>
      </c>
      <c r="K518" s="339">
        <f t="shared" si="211"/>
        <v>20.064801998452857</v>
      </c>
      <c r="L518" s="340">
        <f t="shared" si="212"/>
        <v>1.5209371533459941</v>
      </c>
      <c r="M518" s="328">
        <f t="shared" si="196"/>
        <v>1.0503366974192228</v>
      </c>
      <c r="N518" s="331">
        <f t="shared" si="197"/>
        <v>0.31084434473767791</v>
      </c>
      <c r="O518" s="332">
        <f t="shared" si="198"/>
        <v>1.0211117758695647</v>
      </c>
      <c r="P518" s="333">
        <f t="shared" si="199"/>
        <v>0.50177776611153846</v>
      </c>
      <c r="Q518" s="334">
        <f t="shared" si="200"/>
        <v>-6.2649482509135801</v>
      </c>
      <c r="R518" s="335">
        <f t="shared" si="201"/>
        <v>-134.144110122623</v>
      </c>
      <c r="S518" s="337">
        <f t="shared" si="202"/>
        <v>45.855889877376995</v>
      </c>
      <c r="U518" s="310">
        <f t="shared" si="208"/>
        <v>71207.25</v>
      </c>
      <c r="V518" s="310">
        <f t="shared" si="209"/>
        <v>5070472452.5625</v>
      </c>
      <c r="X518" s="336">
        <f t="shared" si="203"/>
        <v>2.4195154080736749</v>
      </c>
      <c r="Y518" s="337">
        <f t="shared" si="204"/>
        <v>-20.666421114239615</v>
      </c>
      <c r="AA518" s="336">
        <f t="shared" si="205"/>
        <v>-8.6844636589872586</v>
      </c>
      <c r="AB518" s="337">
        <f t="shared" si="206"/>
        <v>-113.47768900838338</v>
      </c>
      <c r="AD518">
        <f t="shared" si="210"/>
        <v>0</v>
      </c>
      <c r="AE518">
        <f t="shared" si="213"/>
        <v>0</v>
      </c>
    </row>
    <row r="519" spans="1:31" x14ac:dyDescent="0.25">
      <c r="A519" s="338">
        <v>71619.5</v>
      </c>
      <c r="B519" s="355">
        <f t="shared" si="207"/>
        <v>71.619500000000002</v>
      </c>
      <c r="C519" s="328">
        <f t="shared" si="188"/>
        <v>16.104187724663078</v>
      </c>
      <c r="D519" s="329">
        <f t="shared" si="189"/>
        <v>1.508660702216589</v>
      </c>
      <c r="E519" s="329">
        <f t="shared" si="190"/>
        <v>1.0004409450190703</v>
      </c>
      <c r="F519" s="330">
        <f t="shared" si="191"/>
        <v>2.9691178923101049E-2</v>
      </c>
      <c r="G519" s="329">
        <f t="shared" si="192"/>
        <v>1</v>
      </c>
      <c r="H519" s="330">
        <f t="shared" si="193"/>
        <v>0</v>
      </c>
      <c r="I519" s="328">
        <f t="shared" si="194"/>
        <v>156529.66535058792</v>
      </c>
      <c r="J519" s="331">
        <f t="shared" si="195"/>
        <v>1.570789938229523</v>
      </c>
      <c r="K519" s="339">
        <f t="shared" si="211"/>
        <v>20.180678228486236</v>
      </c>
      <c r="L519" s="340">
        <f t="shared" si="212"/>
        <v>1.5212236771183576</v>
      </c>
      <c r="M519" s="328">
        <f t="shared" si="196"/>
        <v>1.0509070655566282</v>
      </c>
      <c r="N519" s="331">
        <f t="shared" si="197"/>
        <v>0.31252934027962803</v>
      </c>
      <c r="O519" s="332">
        <f t="shared" si="198"/>
        <v>1.0214174844589579</v>
      </c>
      <c r="P519" s="333">
        <f t="shared" si="199"/>
        <v>0.50479127376500865</v>
      </c>
      <c r="Q519" s="334">
        <f t="shared" si="200"/>
        <v>-6.3222906211684746</v>
      </c>
      <c r="R519" s="335">
        <f t="shared" si="201"/>
        <v>-134.40767112848707</v>
      </c>
      <c r="S519" s="337">
        <f t="shared" si="202"/>
        <v>45.592328871512933</v>
      </c>
      <c r="U519" s="310">
        <f t="shared" si="208"/>
        <v>71619.5</v>
      </c>
      <c r="V519" s="310">
        <f t="shared" si="209"/>
        <v>5129352780.25</v>
      </c>
      <c r="X519" s="336">
        <f t="shared" si="203"/>
        <v>2.4146761274849817</v>
      </c>
      <c r="Y519" s="337">
        <f t="shared" si="204"/>
        <v>-20.746549763650233</v>
      </c>
      <c r="AA519" s="336">
        <f t="shared" si="205"/>
        <v>-8.7369667486534563</v>
      </c>
      <c r="AB519" s="337">
        <f t="shared" si="206"/>
        <v>-113.66112136483682</v>
      </c>
      <c r="AD519">
        <f t="shared" si="210"/>
        <v>0</v>
      </c>
      <c r="AE519">
        <f t="shared" si="213"/>
        <v>0</v>
      </c>
    </row>
    <row r="520" spans="1:31" x14ac:dyDescent="0.25">
      <c r="A520" s="338">
        <v>72031.75</v>
      </c>
      <c r="B520" s="355">
        <f t="shared" si="207"/>
        <v>72.031750000000002</v>
      </c>
      <c r="C520" s="328">
        <f t="shared" si="188"/>
        <v>16.196528852855455</v>
      </c>
      <c r="D520" s="329">
        <f t="shared" si="189"/>
        <v>1.5090154082125049</v>
      </c>
      <c r="E520" s="329">
        <f t="shared" si="190"/>
        <v>1.0004460347534987</v>
      </c>
      <c r="F520" s="330">
        <f t="shared" si="191"/>
        <v>2.9861983437424796E-2</v>
      </c>
      <c r="G520" s="329">
        <f t="shared" si="192"/>
        <v>1</v>
      </c>
      <c r="H520" s="330">
        <f t="shared" si="193"/>
        <v>0</v>
      </c>
      <c r="I520" s="328">
        <f t="shared" si="194"/>
        <v>157430.66793421604</v>
      </c>
      <c r="J520" s="331">
        <f t="shared" si="195"/>
        <v>1.570789974792373</v>
      </c>
      <c r="K520" s="339">
        <f t="shared" si="211"/>
        <v>20.296556096352624</v>
      </c>
      <c r="L520" s="340">
        <f t="shared" si="212"/>
        <v>1.5215069292489773</v>
      </c>
      <c r="M520" s="328">
        <f t="shared" si="196"/>
        <v>1.0514804141978962</v>
      </c>
      <c r="N520" s="331">
        <f t="shared" si="197"/>
        <v>0.31421250301569009</v>
      </c>
      <c r="O520" s="332">
        <f t="shared" si="198"/>
        <v>1.0217263266133396</v>
      </c>
      <c r="P520" s="333">
        <f t="shared" si="199"/>
        <v>0.50780629299984381</v>
      </c>
      <c r="Q520" s="334">
        <f t="shared" si="200"/>
        <v>-6.3793940725841312</v>
      </c>
      <c r="R520" s="335">
        <f t="shared" si="201"/>
        <v>-134.67116684912085</v>
      </c>
      <c r="S520" s="337">
        <f t="shared" si="202"/>
        <v>45.328833150879149</v>
      </c>
      <c r="U520" s="310">
        <f t="shared" si="208"/>
        <v>72031.75</v>
      </c>
      <c r="V520" s="310">
        <f t="shared" si="209"/>
        <v>5188573008.0625</v>
      </c>
      <c r="X520" s="336">
        <f t="shared" si="203"/>
        <v>2.4098169011708506</v>
      </c>
      <c r="Y520" s="337">
        <f t="shared" si="204"/>
        <v>-20.826760828026334</v>
      </c>
      <c r="AA520" s="336">
        <f t="shared" si="205"/>
        <v>-8.7892109737549813</v>
      </c>
      <c r="AB520" s="337">
        <f t="shared" si="206"/>
        <v>-113.84440602109451</v>
      </c>
      <c r="AD520">
        <f t="shared" si="210"/>
        <v>0</v>
      </c>
      <c r="AE520">
        <f t="shared" si="213"/>
        <v>0</v>
      </c>
    </row>
    <row r="521" spans="1:31" x14ac:dyDescent="0.25">
      <c r="A521" s="338">
        <v>72444</v>
      </c>
      <c r="B521" s="355">
        <f t="shared" si="207"/>
        <v>72.444000000000003</v>
      </c>
      <c r="C521" s="328">
        <f t="shared" si="188"/>
        <v>16.288871995731409</v>
      </c>
      <c r="D521" s="329">
        <f t="shared" si="189"/>
        <v>1.5093660925290178</v>
      </c>
      <c r="E521" s="329">
        <f t="shared" si="190"/>
        <v>1.0004511536748244</v>
      </c>
      <c r="F521" s="330">
        <f t="shared" si="191"/>
        <v>3.0032786208850352E-2</v>
      </c>
      <c r="G521" s="329">
        <f t="shared" si="192"/>
        <v>1</v>
      </c>
      <c r="H521" s="330">
        <f t="shared" si="193"/>
        <v>0</v>
      </c>
      <c r="I521" s="328">
        <f t="shared" si="194"/>
        <v>158331.67051784435</v>
      </c>
      <c r="J521" s="331">
        <f t="shared" si="195"/>
        <v>1.5707900109390938</v>
      </c>
      <c r="K521" s="339">
        <f t="shared" si="211"/>
        <v>20.412435574158927</v>
      </c>
      <c r="L521" s="340">
        <f t="shared" si="212"/>
        <v>1.5217869654104179</v>
      </c>
      <c r="M521" s="328">
        <f t="shared" si="196"/>
        <v>1.0520567384700921</v>
      </c>
      <c r="N521" s="331">
        <f t="shared" si="197"/>
        <v>0.31589382641328284</v>
      </c>
      <c r="O521" s="332">
        <f t="shared" si="198"/>
        <v>1.0220383247142872</v>
      </c>
      <c r="P521" s="333">
        <f t="shared" si="199"/>
        <v>0.51082282200965956</v>
      </c>
      <c r="Q521" s="334">
        <f t="shared" si="200"/>
        <v>-6.4362619516024147</v>
      </c>
      <c r="R521" s="335">
        <f t="shared" si="201"/>
        <v>-134.93459759938048</v>
      </c>
      <c r="S521" s="337">
        <f t="shared" si="202"/>
        <v>45.065402400619519</v>
      </c>
      <c r="U521" s="310">
        <f t="shared" si="208"/>
        <v>72444</v>
      </c>
      <c r="V521" s="310">
        <f t="shared" si="209"/>
        <v>5248133136</v>
      </c>
      <c r="X521" s="336">
        <f t="shared" si="203"/>
        <v>2.4049377588968888</v>
      </c>
      <c r="Y521" s="337">
        <f t="shared" si="204"/>
        <v>-20.907050743689691</v>
      </c>
      <c r="AA521" s="336">
        <f t="shared" si="205"/>
        <v>-8.8411997104993052</v>
      </c>
      <c r="AB521" s="337">
        <f t="shared" si="206"/>
        <v>-114.0275468556908</v>
      </c>
      <c r="AD521">
        <f t="shared" si="210"/>
        <v>0</v>
      </c>
      <c r="AE521">
        <f t="shared" si="213"/>
        <v>0</v>
      </c>
    </row>
    <row r="522" spans="1:31" x14ac:dyDescent="0.25">
      <c r="A522" s="338">
        <v>72865.75</v>
      </c>
      <c r="B522" s="355">
        <f t="shared" si="207"/>
        <v>72.865750000000006</v>
      </c>
      <c r="C522" s="328">
        <f t="shared" si="188"/>
        <v>16.383345168190314</v>
      </c>
      <c r="D522" s="329">
        <f t="shared" si="189"/>
        <v>1.509720767170627</v>
      </c>
      <c r="E522" s="329">
        <f t="shared" si="190"/>
        <v>1.0004564207610176</v>
      </c>
      <c r="F522" s="330">
        <f t="shared" si="191"/>
        <v>3.0207523191359071E-2</v>
      </c>
      <c r="G522" s="329">
        <f t="shared" si="192"/>
        <v>1</v>
      </c>
      <c r="H522" s="330">
        <f t="shared" si="193"/>
        <v>0</v>
      </c>
      <c r="I522" s="328">
        <f t="shared" si="194"/>
        <v>159253.43604760864</v>
      </c>
      <c r="J522" s="331">
        <f t="shared" si="195"/>
        <v>1.5707900474955305</v>
      </c>
      <c r="K522" s="339">
        <f t="shared" si="211"/>
        <v>20.530987047443716</v>
      </c>
      <c r="L522" s="340">
        <f t="shared" si="212"/>
        <v>1.5220701835511925</v>
      </c>
      <c r="M522" s="328">
        <f t="shared" si="196"/>
        <v>1.0526494178951649</v>
      </c>
      <c r="N522" s="331">
        <f t="shared" si="197"/>
        <v>0.31761198452032757</v>
      </c>
      <c r="O522" s="332">
        <f t="shared" si="198"/>
        <v>1.022360801889431</v>
      </c>
      <c r="P522" s="333">
        <f t="shared" si="199"/>
        <v>0.51391042502261464</v>
      </c>
      <c r="Q522" s="334">
        <f t="shared" si="200"/>
        <v>-6.4941999634127088</v>
      </c>
      <c r="R522" s="335">
        <f t="shared" si="201"/>
        <v>-135.20403198803592</v>
      </c>
      <c r="S522" s="337">
        <f t="shared" si="202"/>
        <v>44.795968011964078</v>
      </c>
      <c r="U522" s="310">
        <f t="shared" si="208"/>
        <v>72865.75</v>
      </c>
      <c r="V522" s="310">
        <f t="shared" si="209"/>
        <v>5309417523.0625</v>
      </c>
      <c r="X522" s="336">
        <f t="shared" si="203"/>
        <v>2.3999256033028464</v>
      </c>
      <c r="Y522" s="337">
        <f t="shared" si="204"/>
        <v>-20.989268842235099</v>
      </c>
      <c r="AA522" s="336">
        <f t="shared" si="205"/>
        <v>-8.8941255667155552</v>
      </c>
      <c r="AB522" s="337">
        <f t="shared" si="206"/>
        <v>-114.21476314580086</v>
      </c>
      <c r="AD522">
        <f t="shared" si="210"/>
        <v>0</v>
      </c>
      <c r="AE522">
        <f t="shared" si="213"/>
        <v>0</v>
      </c>
    </row>
    <row r="523" spans="1:31" x14ac:dyDescent="0.25">
      <c r="A523" s="338">
        <v>73287.5</v>
      </c>
      <c r="B523" s="355">
        <f t="shared" si="207"/>
        <v>73.287499999999994</v>
      </c>
      <c r="C523" s="328">
        <f t="shared" si="188"/>
        <v>16.4778203779452</v>
      </c>
      <c r="D523" s="329">
        <f t="shared" si="189"/>
        <v>1.5100713748178785</v>
      </c>
      <c r="E523" s="329">
        <f t="shared" si="190"/>
        <v>1.0004617183938374</v>
      </c>
      <c r="F523" s="330">
        <f t="shared" si="191"/>
        <v>3.0382258328672612E-2</v>
      </c>
      <c r="G523" s="329">
        <f t="shared" si="192"/>
        <v>1</v>
      </c>
      <c r="H523" s="330">
        <f t="shared" si="193"/>
        <v>0</v>
      </c>
      <c r="I523" s="328">
        <f t="shared" si="194"/>
        <v>160175.20157737317</v>
      </c>
      <c r="J523" s="331">
        <f t="shared" si="195"/>
        <v>1.5707900836312223</v>
      </c>
      <c r="K523" s="339">
        <f t="shared" si="211"/>
        <v>20.64954014866111</v>
      </c>
      <c r="L523" s="340">
        <f t="shared" si="212"/>
        <v>1.5223501496912908</v>
      </c>
      <c r="M523" s="328">
        <f t="shared" si="196"/>
        <v>1.0532452013095153</v>
      </c>
      <c r="N523" s="331">
        <f t="shared" si="197"/>
        <v>0.31932820388692912</v>
      </c>
      <c r="O523" s="332">
        <f t="shared" si="198"/>
        <v>1.0226866298119199</v>
      </c>
      <c r="P523" s="333">
        <f t="shared" si="199"/>
        <v>0.51699960381021837</v>
      </c>
      <c r="Q523" s="334">
        <f t="shared" si="200"/>
        <v>-6.5518983312097205</v>
      </c>
      <c r="R523" s="335">
        <f t="shared" si="201"/>
        <v>-135.47339896619991</v>
      </c>
      <c r="S523" s="337">
        <f t="shared" si="202"/>
        <v>44.526601033800091</v>
      </c>
      <c r="U523" s="310">
        <f t="shared" si="208"/>
        <v>73287.5</v>
      </c>
      <c r="V523" s="310">
        <f t="shared" si="209"/>
        <v>5371057656.25</v>
      </c>
      <c r="X523" s="336">
        <f t="shared" si="203"/>
        <v>2.3948926710749623</v>
      </c>
      <c r="Y523" s="337">
        <f t="shared" si="204"/>
        <v>-21.071562160942449</v>
      </c>
      <c r="AA523" s="336">
        <f t="shared" si="205"/>
        <v>-8.9467910022846837</v>
      </c>
      <c r="AB523" s="337">
        <f t="shared" si="206"/>
        <v>-114.40183680525746</v>
      </c>
      <c r="AD523">
        <f t="shared" si="210"/>
        <v>0</v>
      </c>
      <c r="AE523">
        <f t="shared" si="213"/>
        <v>0</v>
      </c>
    </row>
    <row r="524" spans="1:31" x14ac:dyDescent="0.25">
      <c r="A524" s="338">
        <v>73709.25</v>
      </c>
      <c r="B524" s="355">
        <f t="shared" si="207"/>
        <v>73.709249999999997</v>
      </c>
      <c r="C524" s="328">
        <f t="shared" si="188"/>
        <v>16.572297590153457</v>
      </c>
      <c r="D524" s="329">
        <f t="shared" si="189"/>
        <v>1.510417984940561</v>
      </c>
      <c r="E524" s="329">
        <f t="shared" si="190"/>
        <v>1.0004670465727985</v>
      </c>
      <c r="F524" s="330">
        <f t="shared" si="191"/>
        <v>3.0556991610150217E-2</v>
      </c>
      <c r="G524" s="329">
        <f t="shared" si="192"/>
        <v>1</v>
      </c>
      <c r="H524" s="330">
        <f t="shared" si="193"/>
        <v>0</v>
      </c>
      <c r="I524" s="328">
        <f t="shared" si="194"/>
        <v>161096.96710713787</v>
      </c>
      <c r="J524" s="331">
        <f t="shared" si="195"/>
        <v>1.5707901193533913</v>
      </c>
      <c r="K524" s="339">
        <f t="shared" si="211"/>
        <v>20.768094849932314</v>
      </c>
      <c r="L524" s="340">
        <f t="shared" si="212"/>
        <v>1.5226269194785975</v>
      </c>
      <c r="M524" s="328">
        <f t="shared" si="196"/>
        <v>1.0538440834486866</v>
      </c>
      <c r="N524" s="331">
        <f t="shared" si="197"/>
        <v>0.32104247769991279</v>
      </c>
      <c r="O524" s="332">
        <f t="shared" si="198"/>
        <v>1.0230158327307459</v>
      </c>
      <c r="P524" s="333">
        <f t="shared" si="199"/>
        <v>0.52009035586842434</v>
      </c>
      <c r="Q524" s="334">
        <f t="shared" si="200"/>
        <v>-6.6093604634258964</v>
      </c>
      <c r="R524" s="335">
        <f t="shared" si="201"/>
        <v>-135.74269879299516</v>
      </c>
      <c r="S524" s="337">
        <f t="shared" si="202"/>
        <v>44.257301207004843</v>
      </c>
      <c r="U524" s="310">
        <f t="shared" si="208"/>
        <v>73709.25</v>
      </c>
      <c r="V524" s="310">
        <f t="shared" si="209"/>
        <v>5433053535.5625</v>
      </c>
      <c r="X524" s="336">
        <f t="shared" si="203"/>
        <v>2.3898389988208311</v>
      </c>
      <c r="Y524" s="337">
        <f t="shared" si="204"/>
        <v>-21.153927121470435</v>
      </c>
      <c r="AA524" s="336">
        <f t="shared" si="205"/>
        <v>-8.9991994622467271</v>
      </c>
      <c r="AB524" s="337">
        <f t="shared" si="206"/>
        <v>-114.58877167152471</v>
      </c>
      <c r="AD524">
        <f t="shared" si="210"/>
        <v>0</v>
      </c>
      <c r="AE524">
        <f t="shared" si="213"/>
        <v>0</v>
      </c>
    </row>
    <row r="525" spans="1:31" x14ac:dyDescent="0.25">
      <c r="A525" s="338">
        <v>74131</v>
      </c>
      <c r="B525" s="355">
        <f t="shared" si="207"/>
        <v>74.131</v>
      </c>
      <c r="C525" s="328">
        <f t="shared" ref="C525:C588" si="214">SQRT(1+(A525/pole1)^2)</f>
        <v>16.666776770761796</v>
      </c>
      <c r="D525" s="329">
        <f t="shared" ref="D525:D588" si="215">ATAN(A525/pole1)</f>
        <v>1.5107606654371393</v>
      </c>
      <c r="E525" s="329">
        <f t="shared" ref="E525:E588" si="216">SQRT(1+(A525/Zero1)^2)</f>
        <v>1.0004724052974134</v>
      </c>
      <c r="F525" s="330">
        <f t="shared" ref="F525:F588" si="217">ATAN(A525/Zero1)</f>
        <v>3.07317230251518E-2</v>
      </c>
      <c r="G525" s="329">
        <f t="shared" ref="G525:G588" si="218">IF(VIN_nom&gt;Vout, 1, SQRT(1+(A525/z_RHP)^2))</f>
        <v>1</v>
      </c>
      <c r="H525" s="330">
        <f t="shared" ref="H525:H588" si="219">IF(VIN_nom&gt;Vout, 0, -ATAN(A525/z_RHP))</f>
        <v>0</v>
      </c>
      <c r="I525" s="328">
        <f t="shared" ref="I525:I588" si="220">SQRT(1+(A525/Pole2)^2)</f>
        <v>162018.73263690277</v>
      </c>
      <c r="J525" s="331">
        <f t="shared" ref="J525:J588" si="221">ATAN(A525/Pole2)</f>
        <v>1.5707901546690952</v>
      </c>
      <c r="K525" s="339">
        <f t="shared" si="211"/>
        <v>20.886651124011138</v>
      </c>
      <c r="L525" s="340">
        <f t="shared" si="212"/>
        <v>1.5229005472995125</v>
      </c>
      <c r="M525" s="328">
        <f t="shared" ref="M525:M588" si="222">SQRT(1+(A525/pole4)^2)</f>
        <v>1.0544460590328331</v>
      </c>
      <c r="N525" s="331">
        <f t="shared" ref="N525:N588" si="223">ATAN(A525/pole4)</f>
        <v>0.32275479920728189</v>
      </c>
      <c r="O525" s="332">
        <f t="shared" ref="O525:O588" si="224">SQRT((1-(V525/pterm2))^2+(A525/pterm1)^2)</f>
        <v>1.0233484349888406</v>
      </c>
      <c r="P525" s="333">
        <f t="shared" ref="P525:P588" si="225">IF((ATAN((A525/pterm1)/(1-A525^2/pterm2))&gt;0),ATAN((A525/pterm1)/(1-A525^2/pterm2)),PI()+ATAN((A525/pterm1)/(1-A525^2/pterm2)))</f>
        <v>0.52318267849965316</v>
      </c>
      <c r="Q525" s="334">
        <f t="shared" ref="Q525:Q588" si="226">20*LOG10(((E525*K525*G525)/(C525*I525*O525*M525))*Adc)</f>
        <v>-6.6665897122080464</v>
      </c>
      <c r="R525" s="335">
        <f t="shared" ref="R525:R588" si="227">((F525+L525+H525)-(D525+J525+P525+N525))*radconv</f>
        <v>-136.01193170219918</v>
      </c>
      <c r="S525" s="337">
        <f t="shared" ref="S525:S588" si="228">IF(R525&gt;0,R525,R525+180)</f>
        <v>43.988068297800822</v>
      </c>
      <c r="U525" s="310">
        <f t="shared" si="208"/>
        <v>74131</v>
      </c>
      <c r="V525" s="310">
        <f t="shared" si="209"/>
        <v>5495405161</v>
      </c>
      <c r="X525" s="336">
        <f t="shared" ref="X525:X588" si="229">20*LOG10((K525/(I525*M525))*AEA*Afb)</f>
        <v>2.3847646246415288</v>
      </c>
      <c r="Y525" s="337">
        <f t="shared" ref="Y525:Y588" si="230">(L525-(J525+N525))*radconv</f>
        <v>-21.236360221251353</v>
      </c>
      <c r="AA525" s="336">
        <f t="shared" ref="AA525:AA588" si="231">20*LOG10((E525*G525/(C525*O525))*Am)</f>
        <v>-9.0513543368495739</v>
      </c>
      <c r="AB525" s="337">
        <f t="shared" ref="AB525:AB588" si="232">(F525+H525-(D525+P525))*radconv</f>
        <v>-114.77557148094785</v>
      </c>
      <c r="AD525">
        <f t="shared" si="210"/>
        <v>0</v>
      </c>
      <c r="AE525">
        <f t="shared" si="213"/>
        <v>0</v>
      </c>
    </row>
    <row r="526" spans="1:31" x14ac:dyDescent="0.25">
      <c r="A526" s="338">
        <v>74562.75</v>
      </c>
      <c r="B526" s="355">
        <f t="shared" ref="B526:B589" si="233">A526/1000</f>
        <v>74.562749999999994</v>
      </c>
      <c r="C526" s="328">
        <f t="shared" si="214"/>
        <v>16.763498125842009</v>
      </c>
      <c r="D526" s="329">
        <f t="shared" si="215"/>
        <v>1.5111074699305955</v>
      </c>
      <c r="E526" s="329">
        <f t="shared" si="216"/>
        <v>1.0004779227214129</v>
      </c>
      <c r="F526" s="330">
        <f t="shared" si="217"/>
        <v>3.091059550490878E-2</v>
      </c>
      <c r="G526" s="329">
        <f t="shared" si="218"/>
        <v>1</v>
      </c>
      <c r="H526" s="330">
        <f t="shared" si="219"/>
        <v>0</v>
      </c>
      <c r="I526" s="328">
        <f t="shared" si="220"/>
        <v>162962.35389944242</v>
      </c>
      <c r="J526" s="331">
        <f t="shared" si="221"/>
        <v>1.5707901904083259</v>
      </c>
      <c r="K526" s="339">
        <f t="shared" si="211"/>
        <v>21.008020055176292</v>
      </c>
      <c r="L526" s="340">
        <f t="shared" si="212"/>
        <v>1.5231774639323874</v>
      </c>
      <c r="M526" s="328">
        <f t="shared" si="222"/>
        <v>1.0550655067049848</v>
      </c>
      <c r="N526" s="331">
        <f t="shared" si="223"/>
        <v>0.32450569183068284</v>
      </c>
      <c r="O526" s="332">
        <f t="shared" si="224"/>
        <v>1.0236924701975154</v>
      </c>
      <c r="P526" s="333">
        <f t="shared" si="225"/>
        <v>0.52634994620841102</v>
      </c>
      <c r="Q526" s="334">
        <f t="shared" si="226"/>
        <v>-6.7249381185269588</v>
      </c>
      <c r="R526" s="335">
        <f t="shared" si="227"/>
        <v>-136.28747922151186</v>
      </c>
      <c r="S526" s="337">
        <f t="shared" si="228"/>
        <v>43.712520778488141</v>
      </c>
      <c r="U526" s="310">
        <f t="shared" ref="U526:U589" si="234">IF(Q526&lt;0,A526,1000000000)</f>
        <v>74562.75</v>
      </c>
      <c r="V526" s="310">
        <f t="shared" ref="V526:V589" si="235">A526^2</f>
        <v>5559603687.5625</v>
      </c>
      <c r="X526" s="336">
        <f t="shared" si="229"/>
        <v>2.3795485306152302</v>
      </c>
      <c r="Y526" s="337">
        <f t="shared" si="230"/>
        <v>-21.320814872415692</v>
      </c>
      <c r="AA526" s="336">
        <f t="shared" si="231"/>
        <v>-9.1044866491421885</v>
      </c>
      <c r="AB526" s="337">
        <f t="shared" si="232"/>
        <v>-114.96666434909616</v>
      </c>
      <c r="AD526">
        <f t="shared" ref="AD526:AD589" si="236">SUM((Q527&lt;0)*(Q526&gt;0))*A526</f>
        <v>0</v>
      </c>
      <c r="AE526">
        <f t="shared" si="213"/>
        <v>0</v>
      </c>
    </row>
    <row r="527" spans="1:31" x14ac:dyDescent="0.25">
      <c r="A527" s="338">
        <v>74994.5</v>
      </c>
      <c r="B527" s="355">
        <f t="shared" si="233"/>
        <v>74.994500000000002</v>
      </c>
      <c r="C527" s="328">
        <f t="shared" si="214"/>
        <v>16.860221473991743</v>
      </c>
      <c r="D527" s="329">
        <f t="shared" si="215"/>
        <v>1.5114502953840929</v>
      </c>
      <c r="E527" s="329">
        <f t="shared" si="216"/>
        <v>1.0004834721557139</v>
      </c>
      <c r="F527" s="330">
        <f t="shared" si="217"/>
        <v>3.1089466006065949E-2</v>
      </c>
      <c r="G527" s="329">
        <f t="shared" si="218"/>
        <v>1</v>
      </c>
      <c r="H527" s="330">
        <f t="shared" si="219"/>
        <v>0</v>
      </c>
      <c r="I527" s="328">
        <f t="shared" si="220"/>
        <v>163905.97516198226</v>
      </c>
      <c r="J527" s="331">
        <f t="shared" si="221"/>
        <v>1.5707902257360487</v>
      </c>
      <c r="K527" s="339">
        <f t="shared" si="211"/>
        <v>21.129390578788726</v>
      </c>
      <c r="L527" s="340">
        <f t="shared" si="212"/>
        <v>1.5234511992811681</v>
      </c>
      <c r="M527" s="328">
        <f t="shared" si="222"/>
        <v>1.0556881850107795</v>
      </c>
      <c r="N527" s="331">
        <f t="shared" si="223"/>
        <v>0.32625452434631574</v>
      </c>
      <c r="O527" s="332">
        <f t="shared" si="224"/>
        <v>1.0240401197825253</v>
      </c>
      <c r="P527" s="333">
        <f t="shared" si="225"/>
        <v>0.52951885350666439</v>
      </c>
      <c r="Q527" s="334">
        <f t="shared" si="226"/>
        <v>-6.7830494007893263</v>
      </c>
      <c r="R527" s="335">
        <f t="shared" si="227"/>
        <v>-136.56295702864585</v>
      </c>
      <c r="S527" s="337">
        <f t="shared" si="228"/>
        <v>43.437042971354145</v>
      </c>
      <c r="U527" s="310">
        <f t="shared" si="234"/>
        <v>74994.5</v>
      </c>
      <c r="V527" s="310">
        <f t="shared" si="235"/>
        <v>5624175030.25</v>
      </c>
      <c r="X527" s="336">
        <f t="shared" si="229"/>
        <v>2.3743108267006416</v>
      </c>
      <c r="Y527" s="337">
        <f t="shared" si="230"/>
        <v>-21.40533373867402</v>
      </c>
      <c r="AA527" s="336">
        <f t="shared" si="231"/>
        <v>-9.157360227489967</v>
      </c>
      <c r="AB527" s="337">
        <f t="shared" si="232"/>
        <v>-115.15762328997185</v>
      </c>
      <c r="AD527">
        <f t="shared" si="236"/>
        <v>0</v>
      </c>
      <c r="AE527">
        <f t="shared" si="213"/>
        <v>0</v>
      </c>
    </row>
    <row r="528" spans="1:31" x14ac:dyDescent="0.25">
      <c r="A528" s="338">
        <v>75426.25</v>
      </c>
      <c r="B528" s="355">
        <f t="shared" si="233"/>
        <v>75.426249999999996</v>
      </c>
      <c r="C528" s="328">
        <f t="shared" si="214"/>
        <v>16.956946781105266</v>
      </c>
      <c r="D528" s="329">
        <f t="shared" si="215"/>
        <v>1.511789209807711</v>
      </c>
      <c r="E528" s="329">
        <f t="shared" si="216"/>
        <v>1.0004890535997841</v>
      </c>
      <c r="F528" s="330">
        <f t="shared" si="217"/>
        <v>3.1268334517210526E-2</v>
      </c>
      <c r="G528" s="329">
        <f t="shared" si="218"/>
        <v>1</v>
      </c>
      <c r="H528" s="330">
        <f t="shared" si="219"/>
        <v>0</v>
      </c>
      <c r="I528" s="328">
        <f t="shared" si="220"/>
        <v>164849.59642452229</v>
      </c>
      <c r="J528" s="331">
        <f t="shared" si="221"/>
        <v>1.57079026065933</v>
      </c>
      <c r="K528" s="339">
        <f t="shared" si="211"/>
        <v>21.250762667563368</v>
      </c>
      <c r="L528" s="340">
        <f t="shared" si="212"/>
        <v>1.5237218078134511</v>
      </c>
      <c r="M528" s="328">
        <f t="shared" si="222"/>
        <v>1.0563140882370143</v>
      </c>
      <c r="N528" s="331">
        <f t="shared" si="223"/>
        <v>0.32800128970954756</v>
      </c>
      <c r="O528" s="332">
        <f t="shared" si="224"/>
        <v>1.0243914101593481</v>
      </c>
      <c r="P528" s="333">
        <f t="shared" si="225"/>
        <v>0.53268939686563965</v>
      </c>
      <c r="Q528" s="334">
        <f t="shared" si="226"/>
        <v>-6.8409269801182955</v>
      </c>
      <c r="R528" s="335">
        <f t="shared" si="227"/>
        <v>-136.83836529477554</v>
      </c>
      <c r="S528" s="337">
        <f t="shared" si="228"/>
        <v>43.161634705224458</v>
      </c>
      <c r="U528" s="310">
        <f t="shared" si="234"/>
        <v>75426.25</v>
      </c>
      <c r="V528" s="310">
        <f t="shared" si="235"/>
        <v>5689119189.0625</v>
      </c>
      <c r="X528" s="336">
        <f t="shared" si="229"/>
        <v>2.3690515583231857</v>
      </c>
      <c r="Y528" s="337">
        <f t="shared" si="230"/>
        <v>-21.489913296040076</v>
      </c>
      <c r="AA528" s="336">
        <f t="shared" si="231"/>
        <v>-9.2099785384414794</v>
      </c>
      <c r="AB528" s="337">
        <f t="shared" si="232"/>
        <v>-115.34845199873546</v>
      </c>
      <c r="AD528">
        <f t="shared" si="236"/>
        <v>0</v>
      </c>
      <c r="AE528">
        <f t="shared" si="213"/>
        <v>0</v>
      </c>
    </row>
    <row r="529" spans="1:31" x14ac:dyDescent="0.25">
      <c r="A529" s="338">
        <v>75858</v>
      </c>
      <c r="B529" s="355">
        <f t="shared" si="233"/>
        <v>75.858000000000004</v>
      </c>
      <c r="C529" s="328">
        <f t="shared" si="214"/>
        <v>17.053674013849921</v>
      </c>
      <c r="D529" s="329">
        <f t="shared" si="215"/>
        <v>1.5121242796721768</v>
      </c>
      <c r="E529" s="329">
        <f t="shared" si="216"/>
        <v>1.0004946670530874</v>
      </c>
      <c r="F529" s="330">
        <f t="shared" si="217"/>
        <v>3.1447201026930494E-2</v>
      </c>
      <c r="G529" s="329">
        <f t="shared" si="218"/>
        <v>1</v>
      </c>
      <c r="H529" s="330">
        <f t="shared" si="219"/>
        <v>0</v>
      </c>
      <c r="I529" s="328">
        <f t="shared" si="220"/>
        <v>165793.21768706254</v>
      </c>
      <c r="J529" s="331">
        <f t="shared" si="221"/>
        <v>1.5707902951850758</v>
      </c>
      <c r="K529" s="339">
        <f t="shared" si="211"/>
        <v>21.372136294834615</v>
      </c>
      <c r="L529" s="340">
        <f t="shared" si="212"/>
        <v>1.52398934276139</v>
      </c>
      <c r="M529" s="328">
        <f t="shared" si="222"/>
        <v>1.0569432106544658</v>
      </c>
      <c r="N529" s="331">
        <f t="shared" si="223"/>
        <v>0.32974598094284696</v>
      </c>
      <c r="O529" s="332">
        <f t="shared" si="224"/>
        <v>1.0247463678423223</v>
      </c>
      <c r="P529" s="333">
        <f t="shared" si="225"/>
        <v>0.53586157254105693</v>
      </c>
      <c r="Q529" s="334">
        <f t="shared" si="226"/>
        <v>-6.8985742211883263</v>
      </c>
      <c r="R529" s="335">
        <f t="shared" si="227"/>
        <v>-137.11370416515027</v>
      </c>
      <c r="S529" s="337">
        <f t="shared" si="228"/>
        <v>42.886295834849733</v>
      </c>
      <c r="U529" s="310">
        <f t="shared" si="234"/>
        <v>75858</v>
      </c>
      <c r="V529" s="310">
        <f t="shared" si="235"/>
        <v>5754436164</v>
      </c>
      <c r="X529" s="336">
        <f t="shared" si="229"/>
        <v>2.3637707723424075</v>
      </c>
      <c r="Y529" s="337">
        <f t="shared" si="230"/>
        <v>-21.57455009514868</v>
      </c>
      <c r="AA529" s="336">
        <f t="shared" si="231"/>
        <v>-9.2623449935307338</v>
      </c>
      <c r="AB529" s="337">
        <f t="shared" si="232"/>
        <v>-115.53915407000157</v>
      </c>
      <c r="AD529">
        <f t="shared" si="236"/>
        <v>0</v>
      </c>
      <c r="AE529">
        <f t="shared" si="213"/>
        <v>0</v>
      </c>
    </row>
    <row r="530" spans="1:31" x14ac:dyDescent="0.25">
      <c r="A530" s="338">
        <v>76299.75</v>
      </c>
      <c r="B530" s="355">
        <f t="shared" si="233"/>
        <v>76.299750000000003</v>
      </c>
      <c r="C530" s="328">
        <f t="shared" si="214"/>
        <v>17.152643558479198</v>
      </c>
      <c r="D530" s="329">
        <f t="shared" si="215"/>
        <v>1.5124631988751647</v>
      </c>
      <c r="E530" s="329">
        <f t="shared" si="216"/>
        <v>1.0005004436520128</v>
      </c>
      <c r="F530" s="330">
        <f t="shared" si="217"/>
        <v>3.1630208279187375E-2</v>
      </c>
      <c r="G530" s="329">
        <f t="shared" si="218"/>
        <v>1</v>
      </c>
      <c r="H530" s="330">
        <f t="shared" si="219"/>
        <v>0</v>
      </c>
      <c r="I530" s="328">
        <f t="shared" si="220"/>
        <v>166758.69468237751</v>
      </c>
      <c r="J530" s="331">
        <f t="shared" si="221"/>
        <v>1.5707903301060768</v>
      </c>
      <c r="K530" s="339">
        <f t="shared" si="211"/>
        <v>21.496322688843353</v>
      </c>
      <c r="L530" s="340">
        <f t="shared" si="212"/>
        <v>1.5242599473035039</v>
      </c>
      <c r="M530" s="328">
        <f t="shared" si="222"/>
        <v>1.0575902304281235</v>
      </c>
      <c r="N530" s="331">
        <f t="shared" si="223"/>
        <v>0.33152892797897043</v>
      </c>
      <c r="O530" s="332">
        <f t="shared" si="224"/>
        <v>1.0251133703536732</v>
      </c>
      <c r="P530" s="333">
        <f t="shared" si="225"/>
        <v>0.53910890606041828</v>
      </c>
      <c r="Q530" s="334">
        <f t="shared" si="226"/>
        <v>-6.9573217107640692</v>
      </c>
      <c r="R530" s="335">
        <f t="shared" si="227"/>
        <v>-137.39534861046644</v>
      </c>
      <c r="S530" s="337">
        <f t="shared" si="228"/>
        <v>42.604651389533558</v>
      </c>
      <c r="U530" s="310">
        <f t="shared" si="234"/>
        <v>76299.75</v>
      </c>
      <c r="V530" s="310">
        <f t="shared" si="235"/>
        <v>5821651850.0625</v>
      </c>
      <c r="X530" s="336">
        <f t="shared" si="229"/>
        <v>2.3583454545458502</v>
      </c>
      <c r="Y530" s="337">
        <f t="shared" si="230"/>
        <v>-21.661202938158702</v>
      </c>
      <c r="AA530" s="336">
        <f t="shared" si="231"/>
        <v>-9.3156671653099181</v>
      </c>
      <c r="AB530" s="337">
        <f t="shared" si="232"/>
        <v>-115.73414567230769</v>
      </c>
      <c r="AD530">
        <f t="shared" si="236"/>
        <v>0</v>
      </c>
      <c r="AE530">
        <f t="shared" si="213"/>
        <v>0</v>
      </c>
    </row>
    <row r="531" spans="1:31" x14ac:dyDescent="0.25">
      <c r="A531" s="338">
        <v>76741.5</v>
      </c>
      <c r="B531" s="355">
        <f t="shared" si="233"/>
        <v>76.741500000000002</v>
      </c>
      <c r="C531" s="328">
        <f t="shared" si="214"/>
        <v>17.251615050761707</v>
      </c>
      <c r="D531" s="329">
        <f t="shared" si="215"/>
        <v>1.5127982293975395</v>
      </c>
      <c r="E531" s="329">
        <f t="shared" si="216"/>
        <v>1.0005062537589657</v>
      </c>
      <c r="F531" s="330">
        <f t="shared" si="217"/>
        <v>3.1813213412065965E-2</v>
      </c>
      <c r="G531" s="329">
        <f t="shared" si="218"/>
        <v>1</v>
      </c>
      <c r="H531" s="330">
        <f t="shared" si="219"/>
        <v>0</v>
      </c>
      <c r="I531" s="328">
        <f t="shared" si="220"/>
        <v>167724.17167769268</v>
      </c>
      <c r="J531" s="331">
        <f t="shared" si="221"/>
        <v>1.5707903646250436</v>
      </c>
      <c r="K531" s="339">
        <f t="shared" si="211"/>
        <v>21.620510638876262</v>
      </c>
      <c r="L531" s="340">
        <f t="shared" si="212"/>
        <v>1.5245274431666243</v>
      </c>
      <c r="M531" s="328">
        <f t="shared" si="222"/>
        <v>1.0582406080581819</v>
      </c>
      <c r="N531" s="331">
        <f t="shared" si="223"/>
        <v>0.3333096891291199</v>
      </c>
      <c r="O531" s="332">
        <f t="shared" si="224"/>
        <v>1.0254842684880969</v>
      </c>
      <c r="P531" s="333">
        <f t="shared" si="225"/>
        <v>0.54235793976176416</v>
      </c>
      <c r="Q531" s="334">
        <f t="shared" si="226"/>
        <v>-7.0158350192444026</v>
      </c>
      <c r="R531" s="335">
        <f t="shared" si="227"/>
        <v>-137.67692063458952</v>
      </c>
      <c r="S531" s="337">
        <f t="shared" si="228"/>
        <v>42.323079365410479</v>
      </c>
      <c r="U531" s="310">
        <f t="shared" si="234"/>
        <v>76741.5</v>
      </c>
      <c r="V531" s="310">
        <f t="shared" si="235"/>
        <v>5889257822.25</v>
      </c>
      <c r="X531" s="336">
        <f t="shared" si="229"/>
        <v>2.3528977144819554</v>
      </c>
      <c r="Y531" s="337">
        <f t="shared" si="230"/>
        <v>-21.747908630279312</v>
      </c>
      <c r="AA531" s="336">
        <f t="shared" si="231"/>
        <v>-9.3687327337263575</v>
      </c>
      <c r="AB531" s="337">
        <f t="shared" si="232"/>
        <v>-115.92901200431022</v>
      </c>
      <c r="AD531">
        <f t="shared" si="236"/>
        <v>0</v>
      </c>
      <c r="AE531">
        <f t="shared" si="213"/>
        <v>0</v>
      </c>
    </row>
    <row r="532" spans="1:31" x14ac:dyDescent="0.25">
      <c r="A532" s="338">
        <v>77183.25</v>
      </c>
      <c r="B532" s="355">
        <f t="shared" si="233"/>
        <v>77.183250000000001</v>
      </c>
      <c r="C532" s="328">
        <f t="shared" si="214"/>
        <v>17.350588457367937</v>
      </c>
      <c r="D532" s="329">
        <f t="shared" si="215"/>
        <v>1.5131294377103404</v>
      </c>
      <c r="E532" s="329">
        <f t="shared" si="216"/>
        <v>1.0005120973733623</v>
      </c>
      <c r="F532" s="330">
        <f t="shared" si="217"/>
        <v>3.1996216413345296E-2</v>
      </c>
      <c r="G532" s="329">
        <f t="shared" si="218"/>
        <v>1</v>
      </c>
      <c r="H532" s="330">
        <f t="shared" si="219"/>
        <v>0</v>
      </c>
      <c r="I532" s="328">
        <f t="shared" si="220"/>
        <v>168689.64867300808</v>
      </c>
      <c r="J532" s="331">
        <f t="shared" si="221"/>
        <v>1.5707903987488792</v>
      </c>
      <c r="K532" s="339">
        <f t="shared" si="211"/>
        <v>21.744700118273119</v>
      </c>
      <c r="L532" s="340">
        <f t="shared" si="212"/>
        <v>1.5247918835754932</v>
      </c>
      <c r="M532" s="328">
        <f t="shared" si="222"/>
        <v>1.0588943373574096</v>
      </c>
      <c r="N532" s="331">
        <f t="shared" si="223"/>
        <v>0.33508825713749529</v>
      </c>
      <c r="O532" s="332">
        <f t="shared" si="224"/>
        <v>1.0258590909592644</v>
      </c>
      <c r="P532" s="333">
        <f t="shared" si="225"/>
        <v>0.54560866892951876</v>
      </c>
      <c r="Q532" s="334">
        <f t="shared" si="226"/>
        <v>-7.0741175751948715</v>
      </c>
      <c r="R532" s="335">
        <f t="shared" si="227"/>
        <v>-137.95842031166296</v>
      </c>
      <c r="S532" s="337">
        <f t="shared" si="228"/>
        <v>42.041579688337038</v>
      </c>
      <c r="U532" s="310">
        <f t="shared" si="234"/>
        <v>77183.25</v>
      </c>
      <c r="V532" s="310">
        <f t="shared" si="235"/>
        <v>5957254080.5625</v>
      </c>
      <c r="X532" s="336">
        <f t="shared" si="229"/>
        <v>2.3474276066996023</v>
      </c>
      <c r="Y532" s="337">
        <f t="shared" si="230"/>
        <v>-21.834663706626198</v>
      </c>
      <c r="AA532" s="336">
        <f t="shared" si="231"/>
        <v>-9.4215451818944764</v>
      </c>
      <c r="AB532" s="337">
        <f t="shared" si="232"/>
        <v>-116.12375660503676</v>
      </c>
      <c r="AD532">
        <f t="shared" si="236"/>
        <v>0</v>
      </c>
      <c r="AE532">
        <f t="shared" si="213"/>
        <v>0</v>
      </c>
    </row>
    <row r="533" spans="1:31" x14ac:dyDescent="0.25">
      <c r="A533" s="338">
        <v>77625</v>
      </c>
      <c r="B533" s="355">
        <f t="shared" si="233"/>
        <v>77.625</v>
      </c>
      <c r="C533" s="328">
        <f t="shared" si="214"/>
        <v>17.449563745723928</v>
      </c>
      <c r="D533" s="329">
        <f t="shared" si="215"/>
        <v>1.5134568887798892</v>
      </c>
      <c r="E533" s="329">
        <f t="shared" si="216"/>
        <v>1.0005179744946155</v>
      </c>
      <c r="F533" s="330">
        <f t="shared" si="217"/>
        <v>3.2179217270805249E-2</v>
      </c>
      <c r="G533" s="329">
        <f t="shared" si="218"/>
        <v>1</v>
      </c>
      <c r="H533" s="330">
        <f t="shared" si="219"/>
        <v>0</v>
      </c>
      <c r="I533" s="328">
        <f t="shared" si="220"/>
        <v>169655.12566832363</v>
      </c>
      <c r="J533" s="331">
        <f t="shared" si="221"/>
        <v>1.5707904324843294</v>
      </c>
      <c r="K533" s="339">
        <f t="shared" si="211"/>
        <v>21.868891100978988</v>
      </c>
      <c r="L533" s="340">
        <f t="shared" si="212"/>
        <v>1.5250533205475554</v>
      </c>
      <c r="M533" s="328">
        <f t="shared" si="222"/>
        <v>1.0595514121219993</v>
      </c>
      <c r="N533" s="331">
        <f t="shared" si="223"/>
        <v>0.33686462482165791</v>
      </c>
      <c r="O533" s="332">
        <f t="shared" si="224"/>
        <v>1.0262378665841814</v>
      </c>
      <c r="P533" s="333">
        <f t="shared" si="225"/>
        <v>0.54886108860892835</v>
      </c>
      <c r="Q533" s="334">
        <f t="shared" si="226"/>
        <v>-7.1321727506803132</v>
      </c>
      <c r="R533" s="335">
        <f t="shared" si="227"/>
        <v>-138.23984768927943</v>
      </c>
      <c r="S533" s="337">
        <f t="shared" si="228"/>
        <v>41.760152310720571</v>
      </c>
      <c r="U533" s="310">
        <f t="shared" si="234"/>
        <v>77625</v>
      </c>
      <c r="V533" s="310">
        <f t="shared" si="235"/>
        <v>6025640625</v>
      </c>
      <c r="X533" s="336">
        <f t="shared" si="229"/>
        <v>2.3419351871198204</v>
      </c>
      <c r="Y533" s="337">
        <f t="shared" si="230"/>
        <v>-21.921464775682395</v>
      </c>
      <c r="AA533" s="336">
        <f t="shared" si="231"/>
        <v>-9.4741079378001363</v>
      </c>
      <c r="AB533" s="337">
        <f t="shared" si="232"/>
        <v>-116.31838291359709</v>
      </c>
      <c r="AD533">
        <f t="shared" si="236"/>
        <v>0</v>
      </c>
      <c r="AE533">
        <f t="shared" si="213"/>
        <v>0</v>
      </c>
    </row>
    <row r="534" spans="1:31" x14ac:dyDescent="0.25">
      <c r="A534" s="338">
        <v>78077</v>
      </c>
      <c r="B534" s="355">
        <f t="shared" si="233"/>
        <v>78.076999999999998</v>
      </c>
      <c r="C534" s="328">
        <f t="shared" si="214"/>
        <v>17.550837488986748</v>
      </c>
      <c r="D534" s="329">
        <f t="shared" si="215"/>
        <v>1.5137881149583809</v>
      </c>
      <c r="E534" s="329">
        <f t="shared" si="216"/>
        <v>1.0005240226651662</v>
      </c>
      <c r="F534" s="330">
        <f t="shared" si="217"/>
        <v>3.2366462096369786E-2</v>
      </c>
      <c r="G534" s="329">
        <f t="shared" si="218"/>
        <v>1</v>
      </c>
      <c r="H534" s="330">
        <f t="shared" si="219"/>
        <v>0</v>
      </c>
      <c r="I534" s="328">
        <f t="shared" si="220"/>
        <v>170643.0047897333</v>
      </c>
      <c r="J534" s="331">
        <f t="shared" si="221"/>
        <v>1.5707904666074179</v>
      </c>
      <c r="K534" s="339">
        <f t="shared" si="211"/>
        <v>21.995965237546979</v>
      </c>
      <c r="L534" s="340">
        <f t="shared" si="212"/>
        <v>1.5253177679342977</v>
      </c>
      <c r="M534" s="328">
        <f t="shared" si="222"/>
        <v>1.06022718941938</v>
      </c>
      <c r="N534" s="331">
        <f t="shared" si="223"/>
        <v>0.33867992495256288</v>
      </c>
      <c r="O534" s="332">
        <f t="shared" si="224"/>
        <v>1.0266295529759515</v>
      </c>
      <c r="P534" s="333">
        <f t="shared" si="225"/>
        <v>0.55219071911720796</v>
      </c>
      <c r="Q534" s="334">
        <f t="shared" si="226"/>
        <v>-7.191343094014937</v>
      </c>
      <c r="R534" s="335">
        <f t="shared" si="227"/>
        <v>-138.52773026091793</v>
      </c>
      <c r="S534" s="337">
        <f t="shared" si="228"/>
        <v>41.472269739082066</v>
      </c>
      <c r="U534" s="310">
        <f t="shared" si="234"/>
        <v>78077</v>
      </c>
      <c r="V534" s="310">
        <f t="shared" si="235"/>
        <v>6096017929</v>
      </c>
      <c r="X534" s="336">
        <f t="shared" si="229"/>
        <v>2.3362922913600146</v>
      </c>
      <c r="Y534" s="337">
        <f t="shared" si="230"/>
        <v>-22.010324047779701</v>
      </c>
      <c r="AA534" s="336">
        <f t="shared" si="231"/>
        <v>-9.5276353853749516</v>
      </c>
      <c r="AB534" s="337">
        <f t="shared" si="232"/>
        <v>-116.51740621313823</v>
      </c>
      <c r="AD534">
        <f t="shared" si="236"/>
        <v>0</v>
      </c>
      <c r="AE534">
        <f t="shared" si="213"/>
        <v>0</v>
      </c>
    </row>
    <row r="535" spans="1:31" x14ac:dyDescent="0.25">
      <c r="A535" s="338">
        <v>78529</v>
      </c>
      <c r="B535" s="355">
        <f t="shared" si="233"/>
        <v>78.528999999999996</v>
      </c>
      <c r="C535" s="328">
        <f t="shared" si="214"/>
        <v>17.652113135671389</v>
      </c>
      <c r="D535" s="329">
        <f t="shared" si="215"/>
        <v>1.5141155404778648</v>
      </c>
      <c r="E535" s="329">
        <f t="shared" si="216"/>
        <v>1.000530105914289</v>
      </c>
      <c r="F535" s="330">
        <f t="shared" si="217"/>
        <v>3.2553704651592262E-2</v>
      </c>
      <c r="G535" s="329">
        <f t="shared" si="218"/>
        <v>1</v>
      </c>
      <c r="H535" s="330">
        <f t="shared" si="219"/>
        <v>0</v>
      </c>
      <c r="I535" s="328">
        <f t="shared" si="220"/>
        <v>171630.88391114317</v>
      </c>
      <c r="J535" s="331">
        <f t="shared" si="221"/>
        <v>1.5707905003376925</v>
      </c>
      <c r="K535" s="339">
        <f t="shared" ref="K535:K598" si="237">SQRT(1+(A535/Zero2)^2)</f>
        <v>22.12304089467488</v>
      </c>
      <c r="L535" s="340">
        <f t="shared" ref="L535:L598" si="238">ATAN(A535/Zero2)</f>
        <v>1.5255791773458067</v>
      </c>
      <c r="M535" s="328">
        <f t="shared" si="222"/>
        <v>1.0609064560412036</v>
      </c>
      <c r="N535" s="331">
        <f t="shared" si="223"/>
        <v>0.34049290648686903</v>
      </c>
      <c r="O535" s="332">
        <f t="shared" si="224"/>
        <v>1.0270254394665477</v>
      </c>
      <c r="P535" s="333">
        <f t="shared" si="225"/>
        <v>0.55552210823286929</v>
      </c>
      <c r="Q535" s="334">
        <f t="shared" si="226"/>
        <v>-7.2502823494689226</v>
      </c>
      <c r="R535" s="335">
        <f t="shared" si="227"/>
        <v>-138.81553715655062</v>
      </c>
      <c r="S535" s="337">
        <f t="shared" si="228"/>
        <v>41.184462843449381</v>
      </c>
      <c r="U535" s="310">
        <f t="shared" si="234"/>
        <v>78529</v>
      </c>
      <c r="V535" s="310">
        <f t="shared" si="235"/>
        <v>6166803841</v>
      </c>
      <c r="X535" s="336">
        <f t="shared" si="229"/>
        <v>2.3306261590350479</v>
      </c>
      <c r="Y535" s="337">
        <f t="shared" si="230"/>
        <v>-22.099224514730093</v>
      </c>
      <c r="AA535" s="336">
        <f t="shared" si="231"/>
        <v>-9.5809085085039687</v>
      </c>
      <c r="AB535" s="337">
        <f t="shared" si="232"/>
        <v>-116.71631264182055</v>
      </c>
      <c r="AD535">
        <f t="shared" si="236"/>
        <v>0</v>
      </c>
      <c r="AE535">
        <f t="shared" si="213"/>
        <v>0</v>
      </c>
    </row>
    <row r="536" spans="1:31" x14ac:dyDescent="0.25">
      <c r="A536" s="338">
        <v>78981</v>
      </c>
      <c r="B536" s="355">
        <f t="shared" si="233"/>
        <v>78.980999999999995</v>
      </c>
      <c r="C536" s="328">
        <f t="shared" si="214"/>
        <v>17.75339065320318</v>
      </c>
      <c r="D536" s="329">
        <f t="shared" si="215"/>
        <v>1.5144392303122254</v>
      </c>
      <c r="E536" s="329">
        <f t="shared" si="216"/>
        <v>1.0005362242413447</v>
      </c>
      <c r="F536" s="330">
        <f t="shared" si="217"/>
        <v>3.2740944923384835E-2</v>
      </c>
      <c r="G536" s="329">
        <f t="shared" si="218"/>
        <v>1</v>
      </c>
      <c r="H536" s="330">
        <f t="shared" si="219"/>
        <v>0</v>
      </c>
      <c r="I536" s="328">
        <f t="shared" si="220"/>
        <v>172618.76303255322</v>
      </c>
      <c r="J536" s="331">
        <f t="shared" si="221"/>
        <v>1.5707905336818975</v>
      </c>
      <c r="K536" s="339">
        <f t="shared" si="237"/>
        <v>22.250118046309865</v>
      </c>
      <c r="L536" s="340">
        <f t="shared" si="238"/>
        <v>1.5258376007984313</v>
      </c>
      <c r="M536" s="328">
        <f t="shared" si="222"/>
        <v>1.0615892052894507</v>
      </c>
      <c r="N536" s="331">
        <f t="shared" si="223"/>
        <v>0.34230356196858353</v>
      </c>
      <c r="O536" s="332">
        <f t="shared" si="224"/>
        <v>1.0274255572532116</v>
      </c>
      <c r="P536" s="333">
        <f t="shared" si="225"/>
        <v>0.55885524986608914</v>
      </c>
      <c r="Q536" s="334">
        <f t="shared" si="226"/>
        <v>-7.3089939537575175</v>
      </c>
      <c r="R536" s="335">
        <f t="shared" si="227"/>
        <v>-139.10326834360788</v>
      </c>
      <c r="S536" s="337">
        <f t="shared" si="228"/>
        <v>40.89673165639212</v>
      </c>
      <c r="U536" s="310">
        <f t="shared" si="234"/>
        <v>78981</v>
      </c>
      <c r="V536" s="310">
        <f t="shared" si="235"/>
        <v>6237998361</v>
      </c>
      <c r="X536" s="336">
        <f t="shared" si="229"/>
        <v>2.3249368542154079</v>
      </c>
      <c r="Y536" s="337">
        <f t="shared" si="230"/>
        <v>-22.188162769405803</v>
      </c>
      <c r="AA536" s="336">
        <f t="shared" si="231"/>
        <v>-9.6339308079729271</v>
      </c>
      <c r="AB536" s="337">
        <f t="shared" si="232"/>
        <v>-116.91510557420209</v>
      </c>
      <c r="AD536">
        <f t="shared" si="236"/>
        <v>0</v>
      </c>
      <c r="AE536">
        <f t="shared" si="213"/>
        <v>0</v>
      </c>
    </row>
    <row r="537" spans="1:31" x14ac:dyDescent="0.25">
      <c r="A537" s="338">
        <v>79433</v>
      </c>
      <c r="B537" s="355">
        <f t="shared" si="233"/>
        <v>79.433000000000007</v>
      </c>
      <c r="C537" s="328">
        <f t="shared" si="214"/>
        <v>17.854670009745956</v>
      </c>
      <c r="D537" s="329">
        <f t="shared" si="215"/>
        <v>1.5147592479642813</v>
      </c>
      <c r="E537" s="329">
        <f t="shared" si="216"/>
        <v>1.0005423776456894</v>
      </c>
      <c r="F537" s="330">
        <f t="shared" si="217"/>
        <v>3.2928182898660639E-2</v>
      </c>
      <c r="G537" s="329">
        <f t="shared" si="218"/>
        <v>1</v>
      </c>
      <c r="H537" s="330">
        <f t="shared" si="219"/>
        <v>0</v>
      </c>
      <c r="I537" s="328">
        <f t="shared" si="220"/>
        <v>173606.6421539635</v>
      </c>
      <c r="J537" s="331">
        <f t="shared" si="221"/>
        <v>1.5707905666466235</v>
      </c>
      <c r="K537" s="339">
        <f t="shared" si="237"/>
        <v>22.377196666990613</v>
      </c>
      <c r="L537" s="340">
        <f t="shared" si="238"/>
        <v>1.5260930891285469</v>
      </c>
      <c r="M537" s="328">
        <f t="shared" si="222"/>
        <v>1.0622754304490252</v>
      </c>
      <c r="N537" s="331">
        <f t="shared" si="223"/>
        <v>0.34411188402184029</v>
      </c>
      <c r="O537" s="332">
        <f t="shared" si="224"/>
        <v>1.0278299376406337</v>
      </c>
      <c r="P537" s="333">
        <f t="shared" si="225"/>
        <v>0.56219013766189896</v>
      </c>
      <c r="Q537" s="334">
        <f t="shared" si="226"/>
        <v>-7.3674812870203068</v>
      </c>
      <c r="R537" s="335">
        <f t="shared" si="227"/>
        <v>-139.39092376223203</v>
      </c>
      <c r="S537" s="337">
        <f t="shared" si="228"/>
        <v>40.609076237767965</v>
      </c>
      <c r="U537" s="310">
        <f t="shared" si="234"/>
        <v>79433</v>
      </c>
      <c r="V537" s="310">
        <f t="shared" si="235"/>
        <v>6309601489</v>
      </c>
      <c r="X537" s="336">
        <f t="shared" si="229"/>
        <v>2.3192244422821089</v>
      </c>
      <c r="Y537" s="337">
        <f t="shared" si="230"/>
        <v>-22.277135476868722</v>
      </c>
      <c r="AA537" s="336">
        <f t="shared" si="231"/>
        <v>-9.6867057293024157</v>
      </c>
      <c r="AB537" s="337">
        <f t="shared" si="232"/>
        <v>-117.11378828536331</v>
      </c>
      <c r="AD537">
        <f t="shared" si="236"/>
        <v>0</v>
      </c>
      <c r="AE537">
        <f t="shared" si="213"/>
        <v>0</v>
      </c>
    </row>
    <row r="538" spans="1:31" x14ac:dyDescent="0.25">
      <c r="A538" s="338">
        <v>79895.5</v>
      </c>
      <c r="B538" s="355">
        <f t="shared" si="233"/>
        <v>79.895499999999998</v>
      </c>
      <c r="C538" s="328">
        <f t="shared" si="214"/>
        <v>17.958303965835402</v>
      </c>
      <c r="D538" s="329">
        <f t="shared" si="215"/>
        <v>1.5150829632657752</v>
      </c>
      <c r="E538" s="329">
        <f t="shared" si="216"/>
        <v>1.000548710302513</v>
      </c>
      <c r="F538" s="330">
        <f t="shared" si="217"/>
        <v>3.3119768037862693E-2</v>
      </c>
      <c r="G538" s="329">
        <f t="shared" si="218"/>
        <v>1</v>
      </c>
      <c r="H538" s="330">
        <f t="shared" si="219"/>
        <v>0</v>
      </c>
      <c r="I538" s="328">
        <f t="shared" si="220"/>
        <v>174617.46979478723</v>
      </c>
      <c r="J538" s="331">
        <f t="shared" si="221"/>
        <v>1.5707905999910368</v>
      </c>
      <c r="K538" s="339">
        <f t="shared" si="237"/>
        <v>22.507228829950424</v>
      </c>
      <c r="L538" s="340">
        <f t="shared" si="238"/>
        <v>1.5263515261119749</v>
      </c>
      <c r="M538" s="328">
        <f t="shared" si="222"/>
        <v>1.0629811876252215</v>
      </c>
      <c r="N538" s="331">
        <f t="shared" si="223"/>
        <v>0.34595979057972703</v>
      </c>
      <c r="O538" s="332">
        <f t="shared" si="224"/>
        <v>1.0282481568680373</v>
      </c>
      <c r="P538" s="333">
        <f t="shared" si="225"/>
        <v>0.56560429576735649</v>
      </c>
      <c r="Q538" s="334">
        <f t="shared" si="226"/>
        <v>-7.4270986078125265</v>
      </c>
      <c r="R538" s="335">
        <f t="shared" si="227"/>
        <v>-139.68518292202216</v>
      </c>
      <c r="S538" s="337">
        <f t="shared" si="228"/>
        <v>40.314817077977835</v>
      </c>
      <c r="U538" s="310">
        <f t="shared" si="234"/>
        <v>79895.5</v>
      </c>
      <c r="V538" s="310">
        <f t="shared" si="235"/>
        <v>6383290920.25</v>
      </c>
      <c r="X538" s="336">
        <f t="shared" si="229"/>
        <v>2.3133554815240291</v>
      </c>
      <c r="Y538" s="337">
        <f t="shared" si="230"/>
        <v>-22.368207285747875</v>
      </c>
      <c r="AA538" s="336">
        <f t="shared" si="231"/>
        <v>-9.7404540893365557</v>
      </c>
      <c r="AB538" s="337">
        <f t="shared" si="232"/>
        <v>-117.31697563627428</v>
      </c>
      <c r="AD538">
        <f t="shared" si="236"/>
        <v>0</v>
      </c>
      <c r="AE538">
        <f t="shared" ref="AE538:AE601" si="239">IF(AD538&gt;0,S538,0)</f>
        <v>0</v>
      </c>
    </row>
    <row r="539" spans="1:31" x14ac:dyDescent="0.25">
      <c r="A539" s="338">
        <v>80358</v>
      </c>
      <c r="B539" s="355">
        <f t="shared" si="233"/>
        <v>80.358000000000004</v>
      </c>
      <c r="C539" s="328">
        <f t="shared" si="214"/>
        <v>18.061939782208768</v>
      </c>
      <c r="D539" s="329">
        <f t="shared" si="215"/>
        <v>1.515402963772513</v>
      </c>
      <c r="E539" s="329">
        <f t="shared" si="216"/>
        <v>1.0005550796838767</v>
      </c>
      <c r="F539" s="330">
        <f t="shared" si="217"/>
        <v>3.3311350744893005E-2</v>
      </c>
      <c r="G539" s="329">
        <f t="shared" si="218"/>
        <v>1</v>
      </c>
      <c r="H539" s="330">
        <f t="shared" si="219"/>
        <v>0</v>
      </c>
      <c r="I539" s="328">
        <f t="shared" si="220"/>
        <v>175628.29743561117</v>
      </c>
      <c r="J539" s="331">
        <f t="shared" si="221"/>
        <v>1.570790632951623</v>
      </c>
      <c r="K539" s="339">
        <f t="shared" si="237"/>
        <v>22.637262478890833</v>
      </c>
      <c r="L539" s="340">
        <f t="shared" si="238"/>
        <v>1.5266069940692031</v>
      </c>
      <c r="M539" s="328">
        <f t="shared" si="222"/>
        <v>1.0636905698016283</v>
      </c>
      <c r="N539" s="331">
        <f t="shared" si="223"/>
        <v>0.34780523867052299</v>
      </c>
      <c r="O539" s="332">
        <f t="shared" si="224"/>
        <v>1.0286709056890602</v>
      </c>
      <c r="P539" s="333">
        <f t="shared" si="225"/>
        <v>0.56902026778980164</v>
      </c>
      <c r="Q539" s="334">
        <f t="shared" si="226"/>
        <v>-7.4864881010934861</v>
      </c>
      <c r="R539" s="335">
        <f t="shared" si="227"/>
        <v>-139.97936253978233</v>
      </c>
      <c r="S539" s="337">
        <f t="shared" si="228"/>
        <v>40.020637460217671</v>
      </c>
      <c r="U539" s="310">
        <f t="shared" si="234"/>
        <v>80358</v>
      </c>
      <c r="V539" s="310">
        <f t="shared" si="235"/>
        <v>6457408164</v>
      </c>
      <c r="X539" s="336">
        <f t="shared" si="229"/>
        <v>2.3074624701312834</v>
      </c>
      <c r="Y539" s="337">
        <f t="shared" si="230"/>
        <v>-22.459308325517547</v>
      </c>
      <c r="AA539" s="336">
        <f t="shared" si="231"/>
        <v>-9.7939505712247694</v>
      </c>
      <c r="AB539" s="337">
        <f t="shared" si="232"/>
        <v>-117.52005421426482</v>
      </c>
      <c r="AD539">
        <f t="shared" si="236"/>
        <v>0</v>
      </c>
      <c r="AE539">
        <f t="shared" si="239"/>
        <v>0</v>
      </c>
    </row>
    <row r="540" spans="1:31" x14ac:dyDescent="0.25">
      <c r="A540" s="338">
        <v>80820.5</v>
      </c>
      <c r="B540" s="355">
        <f t="shared" si="233"/>
        <v>80.820499999999996</v>
      </c>
      <c r="C540" s="328">
        <f t="shared" si="214"/>
        <v>18.165577427026921</v>
      </c>
      <c r="D540" s="329">
        <f t="shared" si="215"/>
        <v>1.5157193129989597</v>
      </c>
      <c r="E540" s="329">
        <f t="shared" si="216"/>
        <v>1.0005614857890792</v>
      </c>
      <c r="F540" s="330">
        <f t="shared" si="217"/>
        <v>3.3502931005734496E-2</v>
      </c>
      <c r="G540" s="329">
        <f t="shared" si="218"/>
        <v>1</v>
      </c>
      <c r="H540" s="330">
        <f t="shared" si="219"/>
        <v>0</v>
      </c>
      <c r="I540" s="328">
        <f t="shared" si="220"/>
        <v>176639.12507643527</v>
      </c>
      <c r="J540" s="331">
        <f t="shared" si="221"/>
        <v>1.5707906655349715</v>
      </c>
      <c r="K540" s="339">
        <f t="shared" si="237"/>
        <v>22.767297588350637</v>
      </c>
      <c r="L540" s="340">
        <f t="shared" si="238"/>
        <v>1.5268595438392545</v>
      </c>
      <c r="M540" s="328">
        <f t="shared" si="222"/>
        <v>1.064403569730495</v>
      </c>
      <c r="N540" s="331">
        <f t="shared" si="223"/>
        <v>0.34964822065223294</v>
      </c>
      <c r="O540" s="332">
        <f t="shared" si="224"/>
        <v>1.029098217980527</v>
      </c>
      <c r="P540" s="333">
        <f t="shared" si="225"/>
        <v>0.57243804605453619</v>
      </c>
      <c r="Q540" s="334">
        <f t="shared" si="226"/>
        <v>-7.5456532122406648</v>
      </c>
      <c r="R540" s="335">
        <f t="shared" si="227"/>
        <v>-140.27346246536069</v>
      </c>
      <c r="S540" s="337">
        <f t="shared" si="228"/>
        <v>39.726537534639306</v>
      </c>
      <c r="U540" s="310">
        <f t="shared" si="234"/>
        <v>80820.5</v>
      </c>
      <c r="V540" s="310">
        <f t="shared" si="235"/>
        <v>6531953220.25</v>
      </c>
      <c r="X540" s="336">
        <f t="shared" si="229"/>
        <v>2.3015454821223367</v>
      </c>
      <c r="Y540" s="337">
        <f t="shared" si="230"/>
        <v>-22.550435245839708</v>
      </c>
      <c r="AA540" s="336">
        <f t="shared" si="231"/>
        <v>-9.8471986943630014</v>
      </c>
      <c r="AB540" s="337">
        <f t="shared" si="232"/>
        <v>-117.72302721952097</v>
      </c>
      <c r="AD540">
        <f t="shared" si="236"/>
        <v>0</v>
      </c>
      <c r="AE540">
        <f t="shared" si="239"/>
        <v>0</v>
      </c>
    </row>
    <row r="541" spans="1:31" x14ac:dyDescent="0.25">
      <c r="A541" s="338">
        <v>81283</v>
      </c>
      <c r="B541" s="355">
        <f t="shared" si="233"/>
        <v>81.283000000000001</v>
      </c>
      <c r="C541" s="328">
        <f t="shared" si="214"/>
        <v>18.269216869172652</v>
      </c>
      <c r="D541" s="329">
        <f t="shared" si="215"/>
        <v>1.5160320730212964</v>
      </c>
      <c r="E541" s="329">
        <f t="shared" si="216"/>
        <v>1.0005679286174154</v>
      </c>
      <c r="F541" s="330">
        <f t="shared" si="217"/>
        <v>3.3694508806371128E-2</v>
      </c>
      <c r="G541" s="329">
        <f t="shared" si="218"/>
        <v>1</v>
      </c>
      <c r="H541" s="330">
        <f t="shared" si="219"/>
        <v>0</v>
      </c>
      <c r="I541" s="328">
        <f t="shared" si="220"/>
        <v>177649.95271725956</v>
      </c>
      <c r="J541" s="331">
        <f t="shared" si="221"/>
        <v>1.5707906977475217</v>
      </c>
      <c r="K541" s="339">
        <f t="shared" si="237"/>
        <v>22.897334133446762</v>
      </c>
      <c r="L541" s="340">
        <f t="shared" si="238"/>
        <v>1.5271092251077791</v>
      </c>
      <c r="M541" s="328">
        <f t="shared" si="222"/>
        <v>1.0651201801465646</v>
      </c>
      <c r="N541" s="331">
        <f t="shared" si="223"/>
        <v>0.35148872897028238</v>
      </c>
      <c r="O541" s="332">
        <f t="shared" si="224"/>
        <v>1.0295301277303011</v>
      </c>
      <c r="P541" s="333">
        <f t="shared" si="225"/>
        <v>0.5758576225933244</v>
      </c>
      <c r="Q541" s="334">
        <f t="shared" si="226"/>
        <v>-7.604597329958426</v>
      </c>
      <c r="R541" s="335">
        <f t="shared" si="227"/>
        <v>-140.56748252046279</v>
      </c>
      <c r="S541" s="337">
        <f t="shared" si="228"/>
        <v>39.432517479537211</v>
      </c>
      <c r="U541" s="310">
        <f t="shared" si="234"/>
        <v>81283</v>
      </c>
      <c r="V541" s="310">
        <f t="shared" si="235"/>
        <v>6606926089</v>
      </c>
      <c r="X541" s="336">
        <f t="shared" si="229"/>
        <v>2.295604592764287</v>
      </c>
      <c r="Y541" s="337">
        <f t="shared" si="230"/>
        <v>-22.641584767460056</v>
      </c>
      <c r="AA541" s="336">
        <f t="shared" si="231"/>
        <v>-9.9002019227227152</v>
      </c>
      <c r="AB541" s="337">
        <f t="shared" si="232"/>
        <v>-117.92589775300273</v>
      </c>
      <c r="AD541">
        <f t="shared" si="236"/>
        <v>0</v>
      </c>
      <c r="AE541">
        <f t="shared" si="239"/>
        <v>0</v>
      </c>
    </row>
    <row r="542" spans="1:31" x14ac:dyDescent="0.25">
      <c r="A542" s="338">
        <v>81756.25</v>
      </c>
      <c r="B542" s="355">
        <f t="shared" si="233"/>
        <v>81.756249999999994</v>
      </c>
      <c r="C542" s="328">
        <f t="shared" si="214"/>
        <v>18.375267056834367</v>
      </c>
      <c r="D542" s="329">
        <f t="shared" si="215"/>
        <v>1.5163484505787823</v>
      </c>
      <c r="E542" s="329">
        <f t="shared" si="216"/>
        <v>1.0005745592106381</v>
      </c>
      <c r="F542" s="330">
        <f t="shared" si="217"/>
        <v>3.3890536935164105E-2</v>
      </c>
      <c r="G542" s="329">
        <f t="shared" si="218"/>
        <v>1</v>
      </c>
      <c r="H542" s="330">
        <f t="shared" si="219"/>
        <v>0</v>
      </c>
      <c r="I542" s="328">
        <f t="shared" si="220"/>
        <v>178684.27527081675</v>
      </c>
      <c r="J542" s="331">
        <f t="shared" si="221"/>
        <v>1.570790730331534</v>
      </c>
      <c r="K542" s="339">
        <f t="shared" si="237"/>
        <v>23.030394610300892</v>
      </c>
      <c r="L542" s="340">
        <f t="shared" si="238"/>
        <v>1.5273617911464137</v>
      </c>
      <c r="M542" s="328">
        <f t="shared" si="222"/>
        <v>1.0658571766576419</v>
      </c>
      <c r="N542" s="331">
        <f t="shared" si="223"/>
        <v>0.35336944830605893</v>
      </c>
      <c r="O542" s="332">
        <f t="shared" si="224"/>
        <v>1.0299768710226771</v>
      </c>
      <c r="P542" s="333">
        <f t="shared" si="225"/>
        <v>0.57935853401701054</v>
      </c>
      <c r="Q542" s="334">
        <f t="shared" si="226"/>
        <v>-7.6646862189164802</v>
      </c>
      <c r="R542" s="335">
        <f t="shared" si="227"/>
        <v>-140.86825366341671</v>
      </c>
      <c r="S542" s="337">
        <f t="shared" si="228"/>
        <v>39.131746336583291</v>
      </c>
      <c r="U542" s="310">
        <f t="shared" si="234"/>
        <v>81756.25</v>
      </c>
      <c r="V542" s="310">
        <f t="shared" si="235"/>
        <v>6684084414.0625</v>
      </c>
      <c r="X542" s="336">
        <f t="shared" si="229"/>
        <v>2.2895009565265707</v>
      </c>
      <c r="Y542" s="337">
        <f t="shared" si="230"/>
        <v>-22.734872946819593</v>
      </c>
      <c r="AA542" s="336">
        <f t="shared" si="231"/>
        <v>-9.9541871754430495</v>
      </c>
      <c r="AB542" s="337">
        <f t="shared" si="232"/>
        <v>-118.13338071659706</v>
      </c>
      <c r="AD542">
        <f t="shared" si="236"/>
        <v>0</v>
      </c>
      <c r="AE542">
        <f t="shared" si="239"/>
        <v>0</v>
      </c>
    </row>
    <row r="543" spans="1:31" x14ac:dyDescent="0.25">
      <c r="A543" s="338">
        <v>82229.5</v>
      </c>
      <c r="B543" s="355">
        <f t="shared" si="233"/>
        <v>82.229500000000002</v>
      </c>
      <c r="C543" s="328">
        <f t="shared" si="214"/>
        <v>18.481319062655594</v>
      </c>
      <c r="D543" s="329">
        <f t="shared" si="215"/>
        <v>1.5166611972062529</v>
      </c>
      <c r="E543" s="329">
        <f t="shared" si="216"/>
        <v>1.0005812282524562</v>
      </c>
      <c r="F543" s="330">
        <f t="shared" si="217"/>
        <v>3.408656245836892E-2</v>
      </c>
      <c r="G543" s="329">
        <f t="shared" si="218"/>
        <v>1</v>
      </c>
      <c r="H543" s="330">
        <f t="shared" si="219"/>
        <v>0</v>
      </c>
      <c r="I543" s="328">
        <f t="shared" si="220"/>
        <v>179718.59782437407</v>
      </c>
      <c r="J543" s="331">
        <f t="shared" si="221"/>
        <v>1.5707907625404893</v>
      </c>
      <c r="K543" s="339">
        <f t="shared" si="237"/>
        <v>23.16345653937648</v>
      </c>
      <c r="L543" s="340">
        <f t="shared" si="238"/>
        <v>1.5276114554815332</v>
      </c>
      <c r="M543" s="328">
        <f t="shared" si="222"/>
        <v>1.0665979379998822</v>
      </c>
      <c r="N543" s="331">
        <f t="shared" si="223"/>
        <v>0.35524756192609247</v>
      </c>
      <c r="O543" s="332">
        <f t="shared" si="224"/>
        <v>1.0304285003248601</v>
      </c>
      <c r="P543" s="333">
        <f t="shared" si="225"/>
        <v>0.58286131045794032</v>
      </c>
      <c r="Q543" s="334">
        <f t="shared" si="226"/>
        <v>-7.7245507241019729</v>
      </c>
      <c r="R543" s="335">
        <f t="shared" si="227"/>
        <v>-141.16894071367184</v>
      </c>
      <c r="S543" s="337">
        <f t="shared" si="228"/>
        <v>38.831059286328156</v>
      </c>
      <c r="U543" s="310">
        <f t="shared" si="234"/>
        <v>82229.5</v>
      </c>
      <c r="V543" s="310">
        <f t="shared" si="235"/>
        <v>6761690670.25</v>
      </c>
      <c r="X543" s="336">
        <f t="shared" si="229"/>
        <v>2.2833724582003132</v>
      </c>
      <c r="Y543" s="337">
        <f t="shared" si="230"/>
        <v>-22.828178063540072</v>
      </c>
      <c r="AA543" s="336">
        <f t="shared" si="231"/>
        <v>-10.007923182302287</v>
      </c>
      <c r="AB543" s="337">
        <f t="shared" si="232"/>
        <v>-118.34076265013171</v>
      </c>
      <c r="AD543">
        <f t="shared" si="236"/>
        <v>0</v>
      </c>
      <c r="AE543">
        <f t="shared" si="239"/>
        <v>0</v>
      </c>
    </row>
    <row r="544" spans="1:31" x14ac:dyDescent="0.25">
      <c r="A544" s="338">
        <v>82702.75</v>
      </c>
      <c r="B544" s="355">
        <f t="shared" si="233"/>
        <v>82.702749999999995</v>
      </c>
      <c r="C544" s="328">
        <f t="shared" si="214"/>
        <v>18.587372855515284</v>
      </c>
      <c r="D544" s="329">
        <f t="shared" si="215"/>
        <v>1.5169703749928849</v>
      </c>
      <c r="E544" s="329">
        <f t="shared" si="216"/>
        <v>1.000587935742101</v>
      </c>
      <c r="F544" s="330">
        <f t="shared" si="217"/>
        <v>3.4282585360972874E-2</v>
      </c>
      <c r="G544" s="329">
        <f t="shared" si="218"/>
        <v>1</v>
      </c>
      <c r="H544" s="330">
        <f t="shared" si="219"/>
        <v>0</v>
      </c>
      <c r="I544" s="328">
        <f t="shared" si="220"/>
        <v>180752.92037793162</v>
      </c>
      <c r="J544" s="331">
        <f t="shared" si="221"/>
        <v>1.5707907943808259</v>
      </c>
      <c r="K544" s="339">
        <f t="shared" si="237"/>
        <v>23.296519895789721</v>
      </c>
      <c r="L544" s="340">
        <f t="shared" si="238"/>
        <v>1.5278582678029564</v>
      </c>
      <c r="M544" s="328">
        <f t="shared" si="222"/>
        <v>1.0673424563346356</v>
      </c>
      <c r="N544" s="331">
        <f t="shared" si="223"/>
        <v>0.35712306202012295</v>
      </c>
      <c r="O544" s="332">
        <f t="shared" si="224"/>
        <v>1.0308850523997248</v>
      </c>
      <c r="P544" s="333">
        <f t="shared" si="225"/>
        <v>0.58636594242069129</v>
      </c>
      <c r="Q544" s="334">
        <f t="shared" si="226"/>
        <v>-7.7841942998679716</v>
      </c>
      <c r="R544" s="335">
        <f t="shared" si="227"/>
        <v>-141.46954339134555</v>
      </c>
      <c r="S544" s="337">
        <f t="shared" si="228"/>
        <v>38.530456608654447</v>
      </c>
      <c r="U544" s="310">
        <f t="shared" si="234"/>
        <v>82702.75</v>
      </c>
      <c r="V544" s="310">
        <f t="shared" si="235"/>
        <v>6839744857.5625</v>
      </c>
      <c r="X544" s="336">
        <f t="shared" si="229"/>
        <v>2.2772191822049375</v>
      </c>
      <c r="Y544" s="337">
        <f t="shared" si="230"/>
        <v>-22.92149682347857</v>
      </c>
      <c r="AA544" s="336">
        <f t="shared" si="231"/>
        <v>-10.06141348207291</v>
      </c>
      <c r="AB544" s="337">
        <f t="shared" si="232"/>
        <v>-118.54804656786695</v>
      </c>
      <c r="AD544">
        <f t="shared" si="236"/>
        <v>0</v>
      </c>
      <c r="AE544">
        <f t="shared" si="239"/>
        <v>0</v>
      </c>
    </row>
    <row r="545" spans="1:31" x14ac:dyDescent="0.25">
      <c r="A545" s="338">
        <v>83176</v>
      </c>
      <c r="B545" s="355">
        <f t="shared" si="233"/>
        <v>83.176000000000002</v>
      </c>
      <c r="C545" s="328">
        <f t="shared" si="214"/>
        <v>18.693428404998127</v>
      </c>
      <c r="D545" s="329">
        <f t="shared" si="215"/>
        <v>1.5172760446215896</v>
      </c>
      <c r="E545" s="329">
        <f t="shared" si="216"/>
        <v>1.0005946816787994</v>
      </c>
      <c r="F545" s="330">
        <f t="shared" si="217"/>
        <v>3.4478605627964447E-2</v>
      </c>
      <c r="G545" s="329">
        <f t="shared" si="218"/>
        <v>1</v>
      </c>
      <c r="H545" s="330">
        <f t="shared" si="219"/>
        <v>0</v>
      </c>
      <c r="I545" s="328">
        <f t="shared" si="220"/>
        <v>181787.24293148931</v>
      </c>
      <c r="J545" s="331">
        <f t="shared" si="221"/>
        <v>1.5707908258588359</v>
      </c>
      <c r="K545" s="339">
        <f t="shared" si="237"/>
        <v>23.429584655221831</v>
      </c>
      <c r="L545" s="340">
        <f t="shared" si="238"/>
        <v>1.5281022766730874</v>
      </c>
      <c r="M545" s="328">
        <f t="shared" si="222"/>
        <v>1.0680907238054071</v>
      </c>
      <c r="N545" s="331">
        <f t="shared" si="223"/>
        <v>0.35899594087315573</v>
      </c>
      <c r="O545" s="332">
        <f t="shared" si="224"/>
        <v>1.0313465641240513</v>
      </c>
      <c r="P545" s="333">
        <f t="shared" si="225"/>
        <v>0.58987242008537832</v>
      </c>
      <c r="Q545" s="334">
        <f t="shared" si="226"/>
        <v>-7.8436203437741892</v>
      </c>
      <c r="R545" s="335">
        <f t="shared" si="227"/>
        <v>-141.77006138743775</v>
      </c>
      <c r="S545" s="337">
        <f t="shared" si="228"/>
        <v>38.22993861256225</v>
      </c>
      <c r="U545" s="310">
        <f t="shared" si="234"/>
        <v>83176</v>
      </c>
      <c r="V545" s="310">
        <f t="shared" si="235"/>
        <v>6918246976</v>
      </c>
      <c r="X545" s="336">
        <f t="shared" si="229"/>
        <v>2.2710412141456962</v>
      </c>
      <c r="Y545" s="337">
        <f t="shared" si="230"/>
        <v>-23.014826002538157</v>
      </c>
      <c r="AA545" s="336">
        <f t="shared" si="231"/>
        <v>-10.114661557919884</v>
      </c>
      <c r="AB545" s="337">
        <f t="shared" si="232"/>
        <v>-118.75523538489965</v>
      </c>
      <c r="AD545">
        <f t="shared" si="236"/>
        <v>0</v>
      </c>
      <c r="AE545">
        <f t="shared" si="239"/>
        <v>0</v>
      </c>
    </row>
    <row r="546" spans="1:31" x14ac:dyDescent="0.25">
      <c r="A546" s="338">
        <v>83660.5</v>
      </c>
      <c r="B546" s="355">
        <f t="shared" si="233"/>
        <v>83.660499999999999</v>
      </c>
      <c r="C546" s="328">
        <f t="shared" si="214"/>
        <v>18.802006873536076</v>
      </c>
      <c r="D546" s="329">
        <f t="shared" si="215"/>
        <v>1.5175854082494729</v>
      </c>
      <c r="E546" s="329">
        <f t="shared" si="216"/>
        <v>1.0006016278065313</v>
      </c>
      <c r="F546" s="330">
        <f t="shared" si="217"/>
        <v>3.4679282901727275E-2</v>
      </c>
      <c r="G546" s="329">
        <f t="shared" si="218"/>
        <v>1</v>
      </c>
      <c r="H546" s="330">
        <f t="shared" si="219"/>
        <v>0</v>
      </c>
      <c r="I546" s="328">
        <f t="shared" si="220"/>
        <v>182846.15318441865</v>
      </c>
      <c r="J546" s="331">
        <f t="shared" si="221"/>
        <v>1.5707908577162062</v>
      </c>
      <c r="K546" s="339">
        <f t="shared" si="237"/>
        <v>23.565814030907028</v>
      </c>
      <c r="L546" s="340">
        <f t="shared" si="238"/>
        <v>1.5283492314187712</v>
      </c>
      <c r="M546" s="328">
        <f t="shared" si="222"/>
        <v>1.0688606545930732</v>
      </c>
      <c r="N546" s="331">
        <f t="shared" si="223"/>
        <v>0.36091061800576629</v>
      </c>
      <c r="O546" s="332">
        <f t="shared" si="224"/>
        <v>1.0318242233313357</v>
      </c>
      <c r="P546" s="333">
        <f t="shared" si="225"/>
        <v>0.59346415444564649</v>
      </c>
      <c r="Q546" s="334">
        <f t="shared" si="226"/>
        <v>-7.9042371903869313</v>
      </c>
      <c r="R546" s="335">
        <f t="shared" si="227"/>
        <v>-142.07763515660974</v>
      </c>
      <c r="S546" s="337">
        <f t="shared" si="228"/>
        <v>37.922364843390255</v>
      </c>
      <c r="U546" s="310">
        <f t="shared" si="234"/>
        <v>83660.5</v>
      </c>
      <c r="V546" s="310">
        <f t="shared" si="235"/>
        <v>6999079260.25</v>
      </c>
      <c r="X546" s="336">
        <f t="shared" si="229"/>
        <v>2.2646908958051366</v>
      </c>
      <c r="Y546" s="337">
        <f t="shared" si="230"/>
        <v>-23.110381282110588</v>
      </c>
      <c r="AA546" s="336">
        <f t="shared" si="231"/>
        <v>-10.168928086192071</v>
      </c>
      <c r="AB546" s="337">
        <f t="shared" si="232"/>
        <v>-118.96725387449915</v>
      </c>
      <c r="AD546">
        <f t="shared" si="236"/>
        <v>0</v>
      </c>
      <c r="AE546">
        <f t="shared" si="239"/>
        <v>0</v>
      </c>
    </row>
    <row r="547" spans="1:31" x14ac:dyDescent="0.25">
      <c r="A547" s="338">
        <v>84145</v>
      </c>
      <c r="B547" s="355">
        <f t="shared" si="233"/>
        <v>84.144999999999996</v>
      </c>
      <c r="C547" s="328">
        <f t="shared" si="214"/>
        <v>18.910587120872201</v>
      </c>
      <c r="D547" s="329">
        <f t="shared" si="215"/>
        <v>1.5178912193165688</v>
      </c>
      <c r="E547" s="329">
        <f t="shared" si="216"/>
        <v>1.0006086142292991</v>
      </c>
      <c r="F547" s="330">
        <f t="shared" si="217"/>
        <v>3.4879957381244428E-2</v>
      </c>
      <c r="G547" s="329">
        <f t="shared" si="218"/>
        <v>1</v>
      </c>
      <c r="H547" s="330">
        <f t="shared" si="219"/>
        <v>0</v>
      </c>
      <c r="I547" s="328">
        <f t="shared" si="220"/>
        <v>183905.06343734814</v>
      </c>
      <c r="J547" s="331">
        <f t="shared" si="221"/>
        <v>1.5707908892067122</v>
      </c>
      <c r="K547" s="339">
        <f t="shared" si="237"/>
        <v>23.702044827271308</v>
      </c>
      <c r="L547" s="340">
        <f t="shared" si="238"/>
        <v>1.5285933473657634</v>
      </c>
      <c r="M547" s="328">
        <f t="shared" si="222"/>
        <v>1.0696344981622274</v>
      </c>
      <c r="N547" s="331">
        <f t="shared" si="223"/>
        <v>0.36282253173361739</v>
      </c>
      <c r="O547" s="332">
        <f t="shared" si="224"/>
        <v>1.0323071593678539</v>
      </c>
      <c r="P547" s="333">
        <f t="shared" si="225"/>
        <v>0.59705780142850762</v>
      </c>
      <c r="Q547" s="334">
        <f t="shared" si="226"/>
        <v>-7.9646330696431331</v>
      </c>
      <c r="R547" s="335">
        <f t="shared" si="227"/>
        <v>-142.38511942307721</v>
      </c>
      <c r="S547" s="337">
        <f t="shared" si="228"/>
        <v>37.614880576922786</v>
      </c>
      <c r="U547" s="310">
        <f t="shared" si="234"/>
        <v>84145</v>
      </c>
      <c r="V547" s="310">
        <f t="shared" si="235"/>
        <v>7080381025</v>
      </c>
      <c r="X547" s="336">
        <f t="shared" si="229"/>
        <v>2.2583148827048567</v>
      </c>
      <c r="Y547" s="337">
        <f t="shared" si="230"/>
        <v>-23.205940860417375</v>
      </c>
      <c r="AA547" s="336">
        <f t="shared" si="231"/>
        <v>-10.222947952347992</v>
      </c>
      <c r="AB547" s="337">
        <f t="shared" si="232"/>
        <v>-119.17917856265983</v>
      </c>
      <c r="AD547">
        <f t="shared" si="236"/>
        <v>0</v>
      </c>
      <c r="AE547">
        <f t="shared" si="239"/>
        <v>0</v>
      </c>
    </row>
    <row r="548" spans="1:31" x14ac:dyDescent="0.25">
      <c r="A548" s="338">
        <v>84629.5</v>
      </c>
      <c r="B548" s="355">
        <f t="shared" si="233"/>
        <v>84.629499999999993</v>
      </c>
      <c r="C548" s="328">
        <f t="shared" si="214"/>
        <v>19.019169116541068</v>
      </c>
      <c r="D548" s="329">
        <f t="shared" si="215"/>
        <v>1.5181935386107646</v>
      </c>
      <c r="E548" s="329">
        <f t="shared" si="216"/>
        <v>1.0006156409462594</v>
      </c>
      <c r="F548" s="330">
        <f t="shared" si="217"/>
        <v>3.508062905041219E-2</v>
      </c>
      <c r="G548" s="329">
        <f t="shared" si="218"/>
        <v>1</v>
      </c>
      <c r="H548" s="330">
        <f t="shared" si="219"/>
        <v>0</v>
      </c>
      <c r="I548" s="328">
        <f t="shared" si="220"/>
        <v>184963.97369027784</v>
      </c>
      <c r="J548" s="331">
        <f t="shared" si="221"/>
        <v>1.5707909203366548</v>
      </c>
      <c r="K548" s="339">
        <f t="shared" si="237"/>
        <v>23.838277019958003</v>
      </c>
      <c r="L548" s="340">
        <f t="shared" si="238"/>
        <v>1.5288346731546483</v>
      </c>
      <c r="M548" s="328">
        <f t="shared" si="222"/>
        <v>1.0704122460267538</v>
      </c>
      <c r="N548" s="331">
        <f t="shared" si="223"/>
        <v>0.36473167408756102</v>
      </c>
      <c r="O548" s="332">
        <f t="shared" si="224"/>
        <v>1.0327954121609577</v>
      </c>
      <c r="P548" s="333">
        <f t="shared" si="225"/>
        <v>0.60065334943646209</v>
      </c>
      <c r="Q548" s="334">
        <f t="shared" si="226"/>
        <v>-8.0248114502997083</v>
      </c>
      <c r="R548" s="335">
        <f t="shared" si="227"/>
        <v>-142.69251376302677</v>
      </c>
      <c r="S548" s="337">
        <f t="shared" si="228"/>
        <v>37.307486236973233</v>
      </c>
      <c r="U548" s="310">
        <f t="shared" si="234"/>
        <v>84629.5</v>
      </c>
      <c r="V548" s="310">
        <f t="shared" si="235"/>
        <v>7162152270.25</v>
      </c>
      <c r="X548" s="336">
        <f t="shared" si="229"/>
        <v>2.2519132702915727</v>
      </c>
      <c r="Y548" s="337">
        <f t="shared" si="230"/>
        <v>-23.301501494320771</v>
      </c>
      <c r="AA548" s="336">
        <f t="shared" si="231"/>
        <v>-10.276724720591284</v>
      </c>
      <c r="AB548" s="337">
        <f t="shared" si="232"/>
        <v>-119.39101226870599</v>
      </c>
      <c r="AD548">
        <f t="shared" si="236"/>
        <v>0</v>
      </c>
      <c r="AE548">
        <f t="shared" si="239"/>
        <v>0</v>
      </c>
    </row>
    <row r="549" spans="1:31" x14ac:dyDescent="0.25">
      <c r="A549" s="338">
        <v>85114</v>
      </c>
      <c r="B549" s="355">
        <f t="shared" si="233"/>
        <v>85.114000000000004</v>
      </c>
      <c r="C549" s="328">
        <f t="shared" si="214"/>
        <v>19.12775283076855</v>
      </c>
      <c r="D549" s="329">
        <f t="shared" si="215"/>
        <v>1.5184924255422207</v>
      </c>
      <c r="E549" s="329">
        <f t="shared" si="216"/>
        <v>1.0006227079565628</v>
      </c>
      <c r="F549" s="330">
        <f t="shared" si="217"/>
        <v>3.5281297893128193E-2</v>
      </c>
      <c r="G549" s="329">
        <f t="shared" si="218"/>
        <v>1</v>
      </c>
      <c r="H549" s="330">
        <f t="shared" si="219"/>
        <v>0</v>
      </c>
      <c r="I549" s="328">
        <f t="shared" si="220"/>
        <v>186022.88394320771</v>
      </c>
      <c r="J549" s="331">
        <f t="shared" si="221"/>
        <v>1.5707909511121914</v>
      </c>
      <c r="K549" s="339">
        <f t="shared" si="237"/>
        <v>23.974510585163824</v>
      </c>
      <c r="L549" s="340">
        <f t="shared" si="238"/>
        <v>1.5290732563217397</v>
      </c>
      <c r="M549" s="328">
        <f t="shared" si="222"/>
        <v>1.0711938896824291</v>
      </c>
      <c r="N549" s="331">
        <f t="shared" si="223"/>
        <v>0.36663803720234417</v>
      </c>
      <c r="O549" s="332">
        <f t="shared" si="224"/>
        <v>1.0332890217540474</v>
      </c>
      <c r="P549" s="333">
        <f t="shared" si="225"/>
        <v>0.60425078651326347</v>
      </c>
      <c r="Q549" s="334">
        <f t="shared" si="226"/>
        <v>-8.0847757440598311</v>
      </c>
      <c r="R549" s="335">
        <f t="shared" si="227"/>
        <v>-142.9998177223668</v>
      </c>
      <c r="S549" s="337">
        <f t="shared" si="228"/>
        <v>37.000182277633201</v>
      </c>
      <c r="U549" s="310">
        <f t="shared" si="234"/>
        <v>85114</v>
      </c>
      <c r="V549" s="310">
        <f t="shared" si="235"/>
        <v>7244392996</v>
      </c>
      <c r="X549" s="336">
        <f t="shared" si="229"/>
        <v>2.2454861551357381</v>
      </c>
      <c r="Y549" s="337">
        <f t="shared" si="230"/>
        <v>-23.397060009897597</v>
      </c>
      <c r="AA549" s="336">
        <f t="shared" si="231"/>
        <v>-10.330261899195568</v>
      </c>
      <c r="AB549" s="337">
        <f t="shared" si="232"/>
        <v>-119.60275771246918</v>
      </c>
      <c r="AD549">
        <f t="shared" si="236"/>
        <v>0</v>
      </c>
      <c r="AE549">
        <f t="shared" si="239"/>
        <v>0</v>
      </c>
    </row>
    <row r="550" spans="1:31" x14ac:dyDescent="0.25">
      <c r="A550" s="338">
        <v>85609.5</v>
      </c>
      <c r="B550" s="355">
        <f t="shared" si="233"/>
        <v>85.609499999999997</v>
      </c>
      <c r="C550" s="328">
        <f t="shared" si="214"/>
        <v>19.238803557125173</v>
      </c>
      <c r="D550" s="329">
        <f t="shared" si="215"/>
        <v>1.5187946087199564</v>
      </c>
      <c r="E550" s="329">
        <f t="shared" si="216"/>
        <v>1.000629977090042</v>
      </c>
      <c r="F550" s="330">
        <f t="shared" si="217"/>
        <v>3.548651974458502E-2</v>
      </c>
      <c r="G550" s="329">
        <f t="shared" si="218"/>
        <v>1</v>
      </c>
      <c r="H550" s="330">
        <f t="shared" si="219"/>
        <v>0</v>
      </c>
      <c r="I550" s="328">
        <f t="shared" si="220"/>
        <v>187105.83550218982</v>
      </c>
      <c r="J550" s="331">
        <f t="shared" si="221"/>
        <v>1.5707909822261539</v>
      </c>
      <c r="K550" s="339">
        <f t="shared" si="237"/>
        <v>24.11383856786205</v>
      </c>
      <c r="L550" s="340">
        <f t="shared" si="238"/>
        <v>1.5293144679220787</v>
      </c>
      <c r="M550" s="328">
        <f t="shared" si="222"/>
        <v>1.0719973002217287</v>
      </c>
      <c r="N550" s="331">
        <f t="shared" si="223"/>
        <v>0.36858479934652499</v>
      </c>
      <c r="O550" s="332">
        <f t="shared" si="224"/>
        <v>1.0337994206300405</v>
      </c>
      <c r="P550" s="333">
        <f t="shared" si="225"/>
        <v>0.60793184020080837</v>
      </c>
      <c r="Q550" s="334">
        <f t="shared" si="226"/>
        <v>-8.1458835202959179</v>
      </c>
      <c r="R550" s="335">
        <f t="shared" si="227"/>
        <v>-143.31400466856206</v>
      </c>
      <c r="S550" s="337">
        <f t="shared" si="228"/>
        <v>36.685995331437937</v>
      </c>
      <c r="U550" s="310">
        <f t="shared" si="234"/>
        <v>85609.5</v>
      </c>
      <c r="V550" s="310">
        <f t="shared" si="235"/>
        <v>7328986490.25</v>
      </c>
      <c r="X550" s="336">
        <f t="shared" si="229"/>
        <v>2.2388868438689915</v>
      </c>
      <c r="Y550" s="337">
        <f t="shared" si="230"/>
        <v>-23.494782640616382</v>
      </c>
      <c r="AA550" s="336">
        <f t="shared" si="231"/>
        <v>-10.384770364164906</v>
      </c>
      <c r="AB550" s="337">
        <f t="shared" si="232"/>
        <v>-119.81922202794571</v>
      </c>
      <c r="AD550">
        <f t="shared" si="236"/>
        <v>0</v>
      </c>
      <c r="AE550">
        <f t="shared" si="239"/>
        <v>0</v>
      </c>
    </row>
    <row r="551" spans="1:31" x14ac:dyDescent="0.25">
      <c r="A551" s="338">
        <v>86105</v>
      </c>
      <c r="B551" s="355">
        <f t="shared" si="233"/>
        <v>86.105000000000004</v>
      </c>
      <c r="C551" s="328">
        <f t="shared" si="214"/>
        <v>19.349856020102035</v>
      </c>
      <c r="D551" s="329">
        <f t="shared" si="215"/>
        <v>1.5190933233525268</v>
      </c>
      <c r="E551" s="329">
        <f t="shared" si="216"/>
        <v>1.0006372883654484</v>
      </c>
      <c r="F551" s="330">
        <f t="shared" si="217"/>
        <v>3.5691738605728995E-2</v>
      </c>
      <c r="G551" s="329">
        <f t="shared" si="218"/>
        <v>1</v>
      </c>
      <c r="H551" s="330">
        <f t="shared" si="219"/>
        <v>0</v>
      </c>
      <c r="I551" s="328">
        <f t="shared" si="220"/>
        <v>188188.78706117207</v>
      </c>
      <c r="J551" s="331">
        <f t="shared" si="221"/>
        <v>1.5707910129820195</v>
      </c>
      <c r="K551" s="339">
        <f t="shared" si="237"/>
        <v>24.253167937456659</v>
      </c>
      <c r="L551" s="340">
        <f t="shared" si="238"/>
        <v>1.5295529081159216</v>
      </c>
      <c r="M551" s="328">
        <f t="shared" si="222"/>
        <v>1.0728047674111532</v>
      </c>
      <c r="N551" s="331">
        <f t="shared" si="223"/>
        <v>0.37052863831229604</v>
      </c>
      <c r="O551" s="332">
        <f t="shared" si="224"/>
        <v>1.0343155073838364</v>
      </c>
      <c r="P551" s="333">
        <f t="shared" si="225"/>
        <v>0.61161484326408411</v>
      </c>
      <c r="Q551" s="334">
        <f t="shared" si="226"/>
        <v>-8.2067744185735432</v>
      </c>
      <c r="R551" s="335">
        <f t="shared" si="227"/>
        <v>-143.6280960276851</v>
      </c>
      <c r="S551" s="337">
        <f t="shared" si="228"/>
        <v>36.371903972314897</v>
      </c>
      <c r="U551" s="310">
        <f t="shared" si="234"/>
        <v>86105</v>
      </c>
      <c r="V551" s="310">
        <f t="shared" si="235"/>
        <v>7414071025</v>
      </c>
      <c r="X551" s="336">
        <f t="shared" si="229"/>
        <v>2.2322610664190687</v>
      </c>
      <c r="Y551" s="337">
        <f t="shared" si="230"/>
        <v>-23.592496554927614</v>
      </c>
      <c r="AA551" s="336">
        <f t="shared" si="231"/>
        <v>-10.439035484992608</v>
      </c>
      <c r="AB551" s="337">
        <f t="shared" si="232"/>
        <v>-120.03559947275747</v>
      </c>
      <c r="AD551">
        <f t="shared" si="236"/>
        <v>0</v>
      </c>
      <c r="AE551">
        <f t="shared" si="239"/>
        <v>0</v>
      </c>
    </row>
    <row r="552" spans="1:31" x14ac:dyDescent="0.25">
      <c r="A552" s="338">
        <v>86600.5</v>
      </c>
      <c r="B552" s="355">
        <f t="shared" si="233"/>
        <v>86.600499999999997</v>
      </c>
      <c r="C552" s="328">
        <f t="shared" si="214"/>
        <v>19.460910189969386</v>
      </c>
      <c r="D552" s="329">
        <f t="shared" si="215"/>
        <v>1.5193886287661804</v>
      </c>
      <c r="E552" s="329">
        <f t="shared" si="216"/>
        <v>1.0006446417818582</v>
      </c>
      <c r="F552" s="330">
        <f t="shared" si="217"/>
        <v>3.5896954459340359E-2</v>
      </c>
      <c r="G552" s="329">
        <f t="shared" si="218"/>
        <v>1</v>
      </c>
      <c r="H552" s="330">
        <f t="shared" si="219"/>
        <v>0</v>
      </c>
      <c r="I552" s="328">
        <f t="shared" si="220"/>
        <v>189271.73862015456</v>
      </c>
      <c r="J552" s="331">
        <f t="shared" si="221"/>
        <v>1.5707910433859351</v>
      </c>
      <c r="K552" s="339">
        <f t="shared" si="237"/>
        <v>24.392498670181897</v>
      </c>
      <c r="L552" s="340">
        <f t="shared" si="238"/>
        <v>1.5297886243670085</v>
      </c>
      <c r="M552" s="328">
        <f t="shared" si="222"/>
        <v>1.0736162820976787</v>
      </c>
      <c r="N552" s="331">
        <f t="shared" si="223"/>
        <v>0.37246954602221471</v>
      </c>
      <c r="O552" s="332">
        <f t="shared" si="224"/>
        <v>1.0348373252098486</v>
      </c>
      <c r="P552" s="333">
        <f t="shared" si="225"/>
        <v>0.61529978174669309</v>
      </c>
      <c r="Q552" s="334">
        <f t="shared" si="226"/>
        <v>-8.2674519111780587</v>
      </c>
      <c r="R552" s="335">
        <f t="shared" si="227"/>
        <v>-143.94209121830016</v>
      </c>
      <c r="S552" s="337">
        <f t="shared" si="228"/>
        <v>36.057908781699837</v>
      </c>
      <c r="U552" s="310">
        <f t="shared" si="234"/>
        <v>86600.5</v>
      </c>
      <c r="V552" s="310">
        <f t="shared" si="235"/>
        <v>7499646600.25</v>
      </c>
      <c r="X552" s="336">
        <f t="shared" si="229"/>
        <v>2.2256089294656274</v>
      </c>
      <c r="Y552" s="337">
        <f t="shared" si="230"/>
        <v>-23.690198570908116</v>
      </c>
      <c r="AA552" s="336">
        <f t="shared" si="231"/>
        <v>-10.493060840643686</v>
      </c>
      <c r="AB552" s="337">
        <f t="shared" si="232"/>
        <v>-120.25189264739207</v>
      </c>
      <c r="AD552">
        <f t="shared" si="236"/>
        <v>0</v>
      </c>
      <c r="AE552">
        <f t="shared" si="239"/>
        <v>0</v>
      </c>
    </row>
    <row r="553" spans="1:31" x14ac:dyDescent="0.25">
      <c r="A553" s="338">
        <v>87096</v>
      </c>
      <c r="B553" s="355">
        <f t="shared" si="233"/>
        <v>87.096000000000004</v>
      </c>
      <c r="C553" s="328">
        <f t="shared" si="214"/>
        <v>19.5719660376718</v>
      </c>
      <c r="D553" s="329">
        <f t="shared" si="215"/>
        <v>1.5196805829430513</v>
      </c>
      <c r="E553" s="329">
        <f t="shared" si="216"/>
        <v>1.0006520373383423</v>
      </c>
      <c r="F553" s="330">
        <f t="shared" si="217"/>
        <v>3.6102167288200857E-2</v>
      </c>
      <c r="G553" s="329">
        <f t="shared" si="218"/>
        <v>1</v>
      </c>
      <c r="H553" s="330">
        <f t="shared" si="219"/>
        <v>0</v>
      </c>
      <c r="I553" s="328">
        <f t="shared" si="220"/>
        <v>190354.69017913719</v>
      </c>
      <c r="J553" s="331">
        <f t="shared" si="221"/>
        <v>1.5707910734439072</v>
      </c>
      <c r="K553" s="339">
        <f t="shared" si="237"/>
        <v>24.531830742811692</v>
      </c>
      <c r="L553" s="340">
        <f t="shared" si="238"/>
        <v>1.5300216630619978</v>
      </c>
      <c r="M553" s="328">
        <f t="shared" si="222"/>
        <v>1.0744318351101232</v>
      </c>
      <c r="N553" s="331">
        <f t="shared" si="223"/>
        <v>0.37440751451151955</v>
      </c>
      <c r="O553" s="332">
        <f t="shared" si="224"/>
        <v>1.0353649174189627</v>
      </c>
      <c r="P553" s="333">
        <f t="shared" si="225"/>
        <v>0.6189866412980205</v>
      </c>
      <c r="Q553" s="334">
        <f t="shared" si="226"/>
        <v>-8.3279194132902568</v>
      </c>
      <c r="R553" s="335">
        <f t="shared" si="227"/>
        <v>-144.25598962753304</v>
      </c>
      <c r="S553" s="337">
        <f t="shared" si="228"/>
        <v>35.74401037246696</v>
      </c>
      <c r="U553" s="310">
        <f t="shared" si="234"/>
        <v>87096</v>
      </c>
      <c r="V553" s="310">
        <f t="shared" si="235"/>
        <v>7585713216</v>
      </c>
      <c r="X553" s="336">
        <f t="shared" si="229"/>
        <v>2.2189305407430746</v>
      </c>
      <c r="Y553" s="337">
        <f t="shared" si="230"/>
        <v>-23.787885574795066</v>
      </c>
      <c r="AA553" s="336">
        <f t="shared" si="231"/>
        <v>-10.54684995403333</v>
      </c>
      <c r="AB553" s="337">
        <f t="shared" si="232"/>
        <v>-120.46810405273794</v>
      </c>
      <c r="AD553">
        <f t="shared" si="236"/>
        <v>0</v>
      </c>
      <c r="AE553">
        <f t="shared" si="239"/>
        <v>0</v>
      </c>
    </row>
    <row r="554" spans="1:31" x14ac:dyDescent="0.25">
      <c r="A554" s="338">
        <v>87603.25</v>
      </c>
      <c r="B554" s="355">
        <f t="shared" si="233"/>
        <v>87.603250000000003</v>
      </c>
      <c r="C554" s="328">
        <f t="shared" si="214"/>
        <v>19.685657107762399</v>
      </c>
      <c r="D554" s="329">
        <f t="shared" si="215"/>
        <v>1.5199760481331037</v>
      </c>
      <c r="E554" s="329">
        <f t="shared" si="216"/>
        <v>1.0006596519186444</v>
      </c>
      <c r="F554" s="330">
        <f t="shared" si="217"/>
        <v>3.6312243264056042E-2</v>
      </c>
      <c r="G554" s="329">
        <f t="shared" si="218"/>
        <v>1</v>
      </c>
      <c r="H554" s="330">
        <f t="shared" si="219"/>
        <v>0</v>
      </c>
      <c r="I554" s="328">
        <f t="shared" si="220"/>
        <v>191463.32222413018</v>
      </c>
      <c r="J554" s="331">
        <f t="shared" si="221"/>
        <v>1.5707911038624394</v>
      </c>
      <c r="K554" s="339">
        <f t="shared" si="237"/>
        <v>24.674468219752573</v>
      </c>
      <c r="L554" s="340">
        <f t="shared" si="238"/>
        <v>1.5302575016820124</v>
      </c>
      <c r="M554" s="328">
        <f t="shared" si="222"/>
        <v>1.0752709011857484</v>
      </c>
      <c r="N554" s="331">
        <f t="shared" si="223"/>
        <v>0.37638838607014313</v>
      </c>
      <c r="O554" s="332">
        <f t="shared" si="224"/>
        <v>1.0359110473840794</v>
      </c>
      <c r="P554" s="333">
        <f t="shared" si="225"/>
        <v>0.62276290344584373</v>
      </c>
      <c r="Q554" s="334">
        <f t="shared" si="226"/>
        <v>-8.3896067947256405</v>
      </c>
      <c r="R554" s="335">
        <f t="shared" si="227"/>
        <v>-144.57723071824188</v>
      </c>
      <c r="S554" s="337">
        <f t="shared" si="228"/>
        <v>35.422769281758121</v>
      </c>
      <c r="U554" s="310">
        <f t="shared" si="234"/>
        <v>87603.25</v>
      </c>
      <c r="V554" s="310">
        <f t="shared" si="235"/>
        <v>7674329410.5625</v>
      </c>
      <c r="X554" s="336">
        <f t="shared" si="229"/>
        <v>2.2120667051934424</v>
      </c>
      <c r="Y554" s="337">
        <f t="shared" si="230"/>
        <v>-23.887870340256434</v>
      </c>
      <c r="AA554" s="336">
        <f t="shared" si="231"/>
        <v>-10.60167349991908</v>
      </c>
      <c r="AB554" s="337">
        <f t="shared" si="232"/>
        <v>-120.68936037798549</v>
      </c>
      <c r="AD554">
        <f t="shared" si="236"/>
        <v>0</v>
      </c>
      <c r="AE554">
        <f t="shared" si="239"/>
        <v>0</v>
      </c>
    </row>
    <row r="555" spans="1:31" x14ac:dyDescent="0.25">
      <c r="A555" s="338">
        <v>88110.5</v>
      </c>
      <c r="B555" s="355">
        <f t="shared" si="233"/>
        <v>88.110500000000002</v>
      </c>
      <c r="C555" s="328">
        <f t="shared" si="214"/>
        <v>19.799349876668046</v>
      </c>
      <c r="D555" s="329">
        <f t="shared" si="215"/>
        <v>1.5202681200798656</v>
      </c>
      <c r="E555" s="329">
        <f t="shared" si="216"/>
        <v>1.0006673106593005</v>
      </c>
      <c r="F555" s="330">
        <f t="shared" si="217"/>
        <v>3.6522316033493048E-2</v>
      </c>
      <c r="G555" s="329">
        <f t="shared" si="218"/>
        <v>1</v>
      </c>
      <c r="H555" s="330">
        <f t="shared" si="219"/>
        <v>0</v>
      </c>
      <c r="I555" s="328">
        <f t="shared" si="220"/>
        <v>192571.95426912338</v>
      </c>
      <c r="J555" s="331">
        <f t="shared" si="221"/>
        <v>1.5707911339307343</v>
      </c>
      <c r="K555" s="339">
        <f t="shared" si="237"/>
        <v>24.817107053307993</v>
      </c>
      <c r="L555" s="340">
        <f t="shared" si="238"/>
        <v>1.5304906293022125</v>
      </c>
      <c r="M555" s="328">
        <f t="shared" si="222"/>
        <v>1.0761141798761606</v>
      </c>
      <c r="N555" s="331">
        <f t="shared" si="223"/>
        <v>0.37836616082611357</v>
      </c>
      <c r="O555" s="332">
        <f t="shared" si="224"/>
        <v>1.0364633210574317</v>
      </c>
      <c r="P555" s="333">
        <f t="shared" si="225"/>
        <v>0.62654114715073095</v>
      </c>
      <c r="Q555" s="334">
        <f t="shared" si="226"/>
        <v>-8.451081173414682</v>
      </c>
      <c r="R555" s="335">
        <f t="shared" si="227"/>
        <v>-144.89836898406068</v>
      </c>
      <c r="S555" s="337">
        <f t="shared" si="228"/>
        <v>35.101631015939319</v>
      </c>
      <c r="U555" s="310">
        <f t="shared" si="234"/>
        <v>88110.5</v>
      </c>
      <c r="V555" s="310">
        <f t="shared" si="235"/>
        <v>7763460210.25</v>
      </c>
      <c r="X555" s="336">
        <f t="shared" si="229"/>
        <v>2.2051755897734608</v>
      </c>
      <c r="Y555" s="337">
        <f t="shared" si="230"/>
        <v>-23.987832980776282</v>
      </c>
      <c r="AA555" s="336">
        <f t="shared" si="231"/>
        <v>-10.656256763188146</v>
      </c>
      <c r="AB555" s="337">
        <f t="shared" si="232"/>
        <v>-120.91053600328439</v>
      </c>
      <c r="AD555">
        <f t="shared" si="236"/>
        <v>0</v>
      </c>
      <c r="AE555">
        <f t="shared" si="239"/>
        <v>0</v>
      </c>
    </row>
    <row r="556" spans="1:31" x14ac:dyDescent="0.25">
      <c r="A556" s="338">
        <v>88617.75</v>
      </c>
      <c r="B556" s="355">
        <f t="shared" si="233"/>
        <v>88.617750000000001</v>
      </c>
      <c r="C556" s="328">
        <f t="shared" si="214"/>
        <v>19.913044315290783</v>
      </c>
      <c r="D556" s="329">
        <f t="shared" si="215"/>
        <v>1.5205568568547081</v>
      </c>
      <c r="E556" s="329">
        <f t="shared" si="216"/>
        <v>1.0006750135592968</v>
      </c>
      <c r="F556" s="330">
        <f t="shared" si="217"/>
        <v>3.6732385578044452E-2</v>
      </c>
      <c r="G556" s="329">
        <f t="shared" si="218"/>
        <v>1</v>
      </c>
      <c r="H556" s="330">
        <f t="shared" si="219"/>
        <v>0</v>
      </c>
      <c r="I556" s="328">
        <f t="shared" si="220"/>
        <v>193680.58631411672</v>
      </c>
      <c r="J556" s="331">
        <f t="shared" si="221"/>
        <v>1.5707911636548058</v>
      </c>
      <c r="K556" s="339">
        <f t="shared" si="237"/>
        <v>24.959747220219789</v>
      </c>
      <c r="L556" s="340">
        <f t="shared" si="238"/>
        <v>1.5307210923755694</v>
      </c>
      <c r="M556" s="328">
        <f t="shared" si="222"/>
        <v>1.0769616612857198</v>
      </c>
      <c r="N556" s="331">
        <f t="shared" si="223"/>
        <v>0.38034083059969315</v>
      </c>
      <c r="O556" s="332">
        <f t="shared" si="224"/>
        <v>1.0370217852661683</v>
      </c>
      <c r="P556" s="333">
        <f t="shared" si="225"/>
        <v>0.63032135573114423</v>
      </c>
      <c r="Q556" s="334">
        <f t="shared" si="226"/>
        <v>-8.5123460353702747</v>
      </c>
      <c r="R556" s="335">
        <f t="shared" si="227"/>
        <v>-145.21940366763104</v>
      </c>
      <c r="S556" s="337">
        <f t="shared" si="228"/>
        <v>34.780596332368958</v>
      </c>
      <c r="U556" s="310">
        <f t="shared" si="234"/>
        <v>88617.75</v>
      </c>
      <c r="V556" s="310">
        <f t="shared" si="235"/>
        <v>7853105615.0625</v>
      </c>
      <c r="X556" s="336">
        <f t="shared" si="229"/>
        <v>2.1982573132392309</v>
      </c>
      <c r="Y556" s="337">
        <f t="shared" si="230"/>
        <v>-24.087770366475521</v>
      </c>
      <c r="AA556" s="336">
        <f t="shared" si="231"/>
        <v>-10.710603348609508</v>
      </c>
      <c r="AB556" s="337">
        <f t="shared" si="232"/>
        <v>-121.13163330115552</v>
      </c>
      <c r="AD556">
        <f t="shared" si="236"/>
        <v>0</v>
      </c>
      <c r="AE556">
        <f t="shared" si="239"/>
        <v>0</v>
      </c>
    </row>
    <row r="557" spans="1:31" x14ac:dyDescent="0.25">
      <c r="A557" s="338">
        <v>89125</v>
      </c>
      <c r="B557" s="355">
        <f t="shared" si="233"/>
        <v>89.125</v>
      </c>
      <c r="C557" s="328">
        <f t="shared" si="214"/>
        <v>20.026740395192995</v>
      </c>
      <c r="D557" s="329">
        <f t="shared" si="215"/>
        <v>1.5208423152125221</v>
      </c>
      <c r="E557" s="329">
        <f t="shared" si="216"/>
        <v>1.0006827606176132</v>
      </c>
      <c r="F557" s="330">
        <f t="shared" si="217"/>
        <v>3.6942451879244539E-2</v>
      </c>
      <c r="G557" s="329">
        <f t="shared" si="218"/>
        <v>1</v>
      </c>
      <c r="H557" s="330">
        <f t="shared" si="219"/>
        <v>0</v>
      </c>
      <c r="I557" s="328">
        <f t="shared" si="220"/>
        <v>194789.21835911024</v>
      </c>
      <c r="J557" s="331">
        <f t="shared" si="221"/>
        <v>1.5707911930405316</v>
      </c>
      <c r="K557" s="339">
        <f t="shared" si="237"/>
        <v>25.10238869775824</v>
      </c>
      <c r="L557" s="340">
        <f t="shared" si="238"/>
        <v>1.5309489363003472</v>
      </c>
      <c r="M557" s="328">
        <f t="shared" si="222"/>
        <v>1.0778133355006689</v>
      </c>
      <c r="N557" s="331">
        <f t="shared" si="223"/>
        <v>0.38231238733366502</v>
      </c>
      <c r="O557" s="332">
        <f t="shared" si="224"/>
        <v>1.0375864869532294</v>
      </c>
      <c r="P557" s="333">
        <f t="shared" si="225"/>
        <v>0.63410351207159865</v>
      </c>
      <c r="Q557" s="334">
        <f t="shared" si="226"/>
        <v>-8.5734048091907713</v>
      </c>
      <c r="R557" s="335">
        <f t="shared" si="227"/>
        <v>-145.54033397874497</v>
      </c>
      <c r="S557" s="337">
        <f t="shared" si="228"/>
        <v>34.459666021255032</v>
      </c>
      <c r="U557" s="310">
        <f t="shared" si="234"/>
        <v>89125</v>
      </c>
      <c r="V557" s="310">
        <f t="shared" si="235"/>
        <v>7943265625</v>
      </c>
      <c r="X557" s="336">
        <f t="shared" si="229"/>
        <v>2.1913119953338747</v>
      </c>
      <c r="Y557" s="337">
        <f t="shared" si="230"/>
        <v>-24.187679434917477</v>
      </c>
      <c r="AA557" s="336">
        <f t="shared" si="231"/>
        <v>-10.764716804524646</v>
      </c>
      <c r="AB557" s="337">
        <f t="shared" si="232"/>
        <v>-121.35265454382754</v>
      </c>
      <c r="AD557">
        <f t="shared" si="236"/>
        <v>0</v>
      </c>
      <c r="AE557">
        <f t="shared" si="239"/>
        <v>0</v>
      </c>
    </row>
    <row r="558" spans="1:31" x14ac:dyDescent="0.25">
      <c r="A558" s="338">
        <v>89644</v>
      </c>
      <c r="B558" s="355">
        <f t="shared" si="233"/>
        <v>89.644000000000005</v>
      </c>
      <c r="C558" s="328">
        <f t="shared" si="214"/>
        <v>20.14307181452326</v>
      </c>
      <c r="D558" s="329">
        <f t="shared" si="215"/>
        <v>1.5211310506067168</v>
      </c>
      <c r="E558" s="329">
        <f t="shared" si="216"/>
        <v>1.0006907328331514</v>
      </c>
      <c r="F558" s="330">
        <f t="shared" si="217"/>
        <v>3.715738080533381E-2</v>
      </c>
      <c r="G558" s="329">
        <f t="shared" si="218"/>
        <v>1</v>
      </c>
      <c r="H558" s="330">
        <f t="shared" si="219"/>
        <v>0</v>
      </c>
      <c r="I558" s="328">
        <f t="shared" si="220"/>
        <v>195923.53089011414</v>
      </c>
      <c r="J558" s="331">
        <f t="shared" si="221"/>
        <v>1.5707912227627496</v>
      </c>
      <c r="K558" s="339">
        <f t="shared" si="237"/>
        <v>25.248335672984847</v>
      </c>
      <c r="L558" s="340">
        <f t="shared" si="238"/>
        <v>1.5311793934481046</v>
      </c>
      <c r="M558" s="328">
        <f t="shared" si="222"/>
        <v>1.0786890672551626</v>
      </c>
      <c r="N558" s="331">
        <f t="shared" si="223"/>
        <v>0.38432638312833062</v>
      </c>
      <c r="O558" s="332">
        <f t="shared" si="224"/>
        <v>1.0381707744183515</v>
      </c>
      <c r="P558" s="333">
        <f t="shared" si="225"/>
        <v>0.63797527638929841</v>
      </c>
      <c r="Q558" s="334">
        <f t="shared" si="226"/>
        <v>-8.6356681687200556</v>
      </c>
      <c r="R558" s="335">
        <f t="shared" si="227"/>
        <v>-145.86858947294078</v>
      </c>
      <c r="S558" s="337">
        <f t="shared" si="228"/>
        <v>34.131410527059217</v>
      </c>
      <c r="U558" s="310">
        <f t="shared" si="234"/>
        <v>89644</v>
      </c>
      <c r="V558" s="310">
        <f t="shared" si="235"/>
        <v>8036046736</v>
      </c>
      <c r="X558" s="336">
        <f t="shared" si="229"/>
        <v>2.1841779329252025</v>
      </c>
      <c r="Y558" s="337">
        <f t="shared" si="230"/>
        <v>-24.289870375058204</v>
      </c>
      <c r="AA558" s="336">
        <f t="shared" si="231"/>
        <v>-10.819846101645256</v>
      </c>
      <c r="AB558" s="337">
        <f t="shared" si="232"/>
        <v>-121.57871909788261</v>
      </c>
      <c r="AD558">
        <f t="shared" si="236"/>
        <v>0</v>
      </c>
      <c r="AE558">
        <f t="shared" si="239"/>
        <v>0</v>
      </c>
    </row>
    <row r="559" spans="1:31" x14ac:dyDescent="0.25">
      <c r="A559" s="338">
        <v>90163</v>
      </c>
      <c r="B559" s="355">
        <f t="shared" si="233"/>
        <v>90.162999999999997</v>
      </c>
      <c r="C559" s="328">
        <f t="shared" si="214"/>
        <v>20.259404893858338</v>
      </c>
      <c r="D559" s="329">
        <f t="shared" si="215"/>
        <v>1.5214164700852704</v>
      </c>
      <c r="E559" s="329">
        <f t="shared" si="216"/>
        <v>1.0006987512743026</v>
      </c>
      <c r="F559" s="330">
        <f t="shared" si="217"/>
        <v>3.7372306296968187E-2</v>
      </c>
      <c r="G559" s="329">
        <f t="shared" si="218"/>
        <v>1</v>
      </c>
      <c r="H559" s="330">
        <f t="shared" si="219"/>
        <v>0</v>
      </c>
      <c r="I559" s="328">
        <f t="shared" si="220"/>
        <v>197057.84342111819</v>
      </c>
      <c r="J559" s="331">
        <f t="shared" si="221"/>
        <v>1.5707912521427911</v>
      </c>
      <c r="K559" s="339">
        <f t="shared" si="237"/>
        <v>25.394283973749531</v>
      </c>
      <c r="L559" s="340">
        <f t="shared" si="238"/>
        <v>1.5314072015999705</v>
      </c>
      <c r="M559" s="328">
        <f t="shared" si="222"/>
        <v>1.0795691672568628</v>
      </c>
      <c r="N559" s="331">
        <f t="shared" si="223"/>
        <v>0.38633710331764365</v>
      </c>
      <c r="O559" s="332">
        <f t="shared" si="224"/>
        <v>1.0387616914619739</v>
      </c>
      <c r="P559" s="333">
        <f t="shared" si="225"/>
        <v>0.64184904210686788</v>
      </c>
      <c r="Q559" s="334">
        <f t="shared" si="226"/>
        <v>-8.6977228648056339</v>
      </c>
      <c r="R559" s="335">
        <f t="shared" si="227"/>
        <v>-146.19673392602763</v>
      </c>
      <c r="S559" s="337">
        <f t="shared" si="228"/>
        <v>33.803266073972367</v>
      </c>
      <c r="U559" s="310">
        <f t="shared" si="234"/>
        <v>90163</v>
      </c>
      <c r="V559" s="310">
        <f t="shared" si="235"/>
        <v>8129366569</v>
      </c>
      <c r="X559" s="336">
        <f t="shared" si="229"/>
        <v>2.1770158184637007</v>
      </c>
      <c r="Y559" s="337">
        <f t="shared" si="230"/>
        <v>-24.392025393516114</v>
      </c>
      <c r="AA559" s="336">
        <f t="shared" si="231"/>
        <v>-10.874738683269333</v>
      </c>
      <c r="AB559" s="337">
        <f t="shared" si="232"/>
        <v>-121.80470853251155</v>
      </c>
      <c r="AD559">
        <f t="shared" si="236"/>
        <v>0</v>
      </c>
      <c r="AE559">
        <f t="shared" si="239"/>
        <v>0</v>
      </c>
    </row>
    <row r="560" spans="1:31" x14ac:dyDescent="0.25">
      <c r="A560" s="338">
        <v>90682</v>
      </c>
      <c r="B560" s="355">
        <f t="shared" si="233"/>
        <v>90.682000000000002</v>
      </c>
      <c r="C560" s="328">
        <f t="shared" si="214"/>
        <v>20.375739604765386</v>
      </c>
      <c r="D560" s="329">
        <f t="shared" si="215"/>
        <v>1.5216986303976572</v>
      </c>
      <c r="E560" s="329">
        <f t="shared" si="216"/>
        <v>1.0007068159399566</v>
      </c>
      <c r="F560" s="330">
        <f t="shared" si="217"/>
        <v>3.7587228334374376E-2</v>
      </c>
      <c r="G560" s="329">
        <f t="shared" si="218"/>
        <v>1</v>
      </c>
      <c r="H560" s="330">
        <f t="shared" si="219"/>
        <v>0</v>
      </c>
      <c r="I560" s="328">
        <f t="shared" si="220"/>
        <v>198192.15595212241</v>
      </c>
      <c r="J560" s="331">
        <f t="shared" si="221"/>
        <v>1.5707912811865314</v>
      </c>
      <c r="K560" s="339">
        <f t="shared" si="237"/>
        <v>25.540233577328145</v>
      </c>
      <c r="L560" s="340">
        <f t="shared" si="238"/>
        <v>1.5316324061451367</v>
      </c>
      <c r="M560" s="328">
        <f t="shared" si="222"/>
        <v>1.080453624831103</v>
      </c>
      <c r="N560" s="331">
        <f t="shared" si="223"/>
        <v>0.38834453966743648</v>
      </c>
      <c r="O560" s="332">
        <f t="shared" si="224"/>
        <v>1.0393592887211676</v>
      </c>
      <c r="P560" s="333">
        <f t="shared" si="225"/>
        <v>0.64572478948083889</v>
      </c>
      <c r="Q560" s="334">
        <f t="shared" si="226"/>
        <v>-8.7595723912520427</v>
      </c>
      <c r="R560" s="335">
        <f t="shared" si="227"/>
        <v>-146.52476638737087</v>
      </c>
      <c r="S560" s="337">
        <f t="shared" si="228"/>
        <v>33.475233612629125</v>
      </c>
      <c r="U560" s="310">
        <f t="shared" si="234"/>
        <v>90682</v>
      </c>
      <c r="V560" s="310">
        <f t="shared" si="235"/>
        <v>8223225124</v>
      </c>
      <c r="X560" s="336">
        <f t="shared" si="229"/>
        <v>2.1698257831603422</v>
      </c>
      <c r="Y560" s="337">
        <f t="shared" si="230"/>
        <v>-24.494141418235625</v>
      </c>
      <c r="AA560" s="336">
        <f t="shared" si="231"/>
        <v>-10.92939817441238</v>
      </c>
      <c r="AB560" s="337">
        <f t="shared" si="232"/>
        <v>-122.03062496913526</v>
      </c>
      <c r="AD560">
        <f t="shared" si="236"/>
        <v>0</v>
      </c>
      <c r="AE560">
        <f t="shared" si="239"/>
        <v>0</v>
      </c>
    </row>
    <row r="561" spans="1:31" x14ac:dyDescent="0.25">
      <c r="A561" s="338">
        <v>91201</v>
      </c>
      <c r="B561" s="355">
        <f t="shared" si="233"/>
        <v>91.200999999999993</v>
      </c>
      <c r="C561" s="328">
        <f t="shared" si="214"/>
        <v>20.492075919456809</v>
      </c>
      <c r="D561" s="329">
        <f t="shared" si="215"/>
        <v>1.5219775870067571</v>
      </c>
      <c r="E561" s="329">
        <f t="shared" si="216"/>
        <v>1.000714926828995</v>
      </c>
      <c r="F561" s="330">
        <f t="shared" si="217"/>
        <v>3.7802146897780997E-2</v>
      </c>
      <c r="G561" s="329">
        <f t="shared" si="218"/>
        <v>1</v>
      </c>
      <c r="H561" s="330">
        <f t="shared" si="219"/>
        <v>0</v>
      </c>
      <c r="I561" s="328">
        <f t="shared" si="220"/>
        <v>199326.46848312681</v>
      </c>
      <c r="J561" s="331">
        <f t="shared" si="221"/>
        <v>1.5707913098997115</v>
      </c>
      <c r="K561" s="339">
        <f t="shared" si="237"/>
        <v>25.686184461512816</v>
      </c>
      <c r="L561" s="340">
        <f t="shared" si="238"/>
        <v>1.531855051442246</v>
      </c>
      <c r="M561" s="328">
        <f t="shared" si="222"/>
        <v>1.0813424292853731</v>
      </c>
      <c r="N561" s="331">
        <f t="shared" si="223"/>
        <v>0.3903486840762796</v>
      </c>
      <c r="O561" s="332">
        <f t="shared" si="224"/>
        <v>1.0399636169459181</v>
      </c>
      <c r="P561" s="333">
        <f t="shared" si="225"/>
        <v>0.64960249829225636</v>
      </c>
      <c r="Q561" s="334">
        <f t="shared" si="226"/>
        <v>-8.8212201842238525</v>
      </c>
      <c r="R561" s="335">
        <f t="shared" si="227"/>
        <v>-146.85268587201969</v>
      </c>
      <c r="S561" s="337">
        <f t="shared" si="228"/>
        <v>33.147314127980309</v>
      </c>
      <c r="U561" s="310">
        <f t="shared" si="234"/>
        <v>91201</v>
      </c>
      <c r="V561" s="310">
        <f t="shared" si="235"/>
        <v>8317622401</v>
      </c>
      <c r="X561" s="336">
        <f t="shared" si="229"/>
        <v>2.1626079591394909</v>
      </c>
      <c r="Y561" s="337">
        <f t="shared" si="230"/>
        <v>-24.596215443804944</v>
      </c>
      <c r="AA561" s="336">
        <f t="shared" si="231"/>
        <v>-10.983828143363343</v>
      </c>
      <c r="AB561" s="337">
        <f t="shared" si="232"/>
        <v>-122.25647042821475</v>
      </c>
      <c r="AD561">
        <f t="shared" si="236"/>
        <v>0</v>
      </c>
      <c r="AE561">
        <f t="shared" si="239"/>
        <v>0</v>
      </c>
    </row>
    <row r="562" spans="1:31" x14ac:dyDescent="0.25">
      <c r="A562" s="338">
        <v>91732</v>
      </c>
      <c r="B562" s="355">
        <f t="shared" si="233"/>
        <v>91.731999999999999</v>
      </c>
      <c r="C562" s="328">
        <f t="shared" si="214"/>
        <v>20.611103722648259</v>
      </c>
      <c r="D562" s="329">
        <f t="shared" si="215"/>
        <v>1.5222597343411841</v>
      </c>
      <c r="E562" s="329">
        <f t="shared" si="216"/>
        <v>1.0007232730907314</v>
      </c>
      <c r="F562" s="330">
        <f t="shared" si="217"/>
        <v>3.8022031060494725E-2</v>
      </c>
      <c r="G562" s="329">
        <f t="shared" si="218"/>
        <v>1</v>
      </c>
      <c r="H562" s="330">
        <f t="shared" si="219"/>
        <v>0</v>
      </c>
      <c r="I562" s="328">
        <f t="shared" si="220"/>
        <v>200487.00789346095</v>
      </c>
      <c r="J562" s="331">
        <f t="shared" si="221"/>
        <v>1.5707913389405188</v>
      </c>
      <c r="K562" s="339">
        <f t="shared" si="237"/>
        <v>25.835511235342523</v>
      </c>
      <c r="L562" s="340">
        <f t="shared" si="238"/>
        <v>1.5320802411277112</v>
      </c>
      <c r="M562" s="328">
        <f t="shared" si="222"/>
        <v>1.0822562717627626</v>
      </c>
      <c r="N562" s="331">
        <f t="shared" si="223"/>
        <v>0.39239575178153802</v>
      </c>
      <c r="O562" s="332">
        <f t="shared" si="224"/>
        <v>1.0405889373293602</v>
      </c>
      <c r="P562" s="333">
        <f t="shared" si="225"/>
        <v>0.65357187351393953</v>
      </c>
      <c r="Q562" s="334">
        <f t="shared" si="226"/>
        <v>-8.8840881002670251</v>
      </c>
      <c r="R562" s="335">
        <f t="shared" si="227"/>
        <v>-147.18806932210495</v>
      </c>
      <c r="S562" s="337">
        <f t="shared" si="228"/>
        <v>32.811930677895049</v>
      </c>
      <c r="U562" s="310">
        <f t="shared" si="234"/>
        <v>91732</v>
      </c>
      <c r="V562" s="310">
        <f t="shared" si="235"/>
        <v>8414759824</v>
      </c>
      <c r="X562" s="336">
        <f t="shared" si="229"/>
        <v>2.1551946278108787</v>
      </c>
      <c r="Y562" s="337">
        <f t="shared" si="230"/>
        <v>-24.700603029161716</v>
      </c>
      <c r="AA562" s="336">
        <f t="shared" si="231"/>
        <v>-11.039282728077906</v>
      </c>
      <c r="AB562" s="337">
        <f t="shared" si="232"/>
        <v>-122.48746629294321</v>
      </c>
      <c r="AD562">
        <f t="shared" si="236"/>
        <v>0</v>
      </c>
      <c r="AE562">
        <f t="shared" si="239"/>
        <v>0</v>
      </c>
    </row>
    <row r="563" spans="1:31" x14ac:dyDescent="0.25">
      <c r="A563" s="338">
        <v>92263</v>
      </c>
      <c r="B563" s="355">
        <f t="shared" si="233"/>
        <v>92.263000000000005</v>
      </c>
      <c r="C563" s="328">
        <f t="shared" si="214"/>
        <v>20.730133147788099</v>
      </c>
      <c r="D563" s="329">
        <f t="shared" si="215"/>
        <v>1.5225386415992599</v>
      </c>
      <c r="E563" s="329">
        <f t="shared" si="216"/>
        <v>1.0007316677356739</v>
      </c>
      <c r="F563" s="330">
        <f t="shared" si="217"/>
        <v>3.8241911544839503E-2</v>
      </c>
      <c r="G563" s="329">
        <f t="shared" si="218"/>
        <v>1</v>
      </c>
      <c r="H563" s="330">
        <f t="shared" si="219"/>
        <v>0</v>
      </c>
      <c r="I563" s="328">
        <f t="shared" si="220"/>
        <v>201647.54730379526</v>
      </c>
      <c r="J563" s="331">
        <f t="shared" si="221"/>
        <v>1.57079136764705</v>
      </c>
      <c r="K563" s="339">
        <f t="shared" si="237"/>
        <v>25.984839304243348</v>
      </c>
      <c r="L563" s="340">
        <f t="shared" si="238"/>
        <v>1.5323028426120171</v>
      </c>
      <c r="M563" s="328">
        <f t="shared" si="222"/>
        <v>1.0831746417566428</v>
      </c>
      <c r="N563" s="331">
        <f t="shared" si="223"/>
        <v>0.39443935682430392</v>
      </c>
      <c r="O563" s="332">
        <f t="shared" si="224"/>
        <v>1.041221411357836</v>
      </c>
      <c r="P563" s="333">
        <f t="shared" si="225"/>
        <v>0.65754325758211551</v>
      </c>
      <c r="Q563" s="334">
        <f t="shared" si="226"/>
        <v>-8.9467519437865111</v>
      </c>
      <c r="R563" s="335">
        <f t="shared" si="227"/>
        <v>-147.5233323165742</v>
      </c>
      <c r="S563" s="337">
        <f t="shared" si="228"/>
        <v>32.476667683425802</v>
      </c>
      <c r="U563" s="310">
        <f t="shared" si="234"/>
        <v>92263</v>
      </c>
      <c r="V563" s="310">
        <f t="shared" si="235"/>
        <v>8512461169</v>
      </c>
      <c r="X563" s="336">
        <f t="shared" si="229"/>
        <v>2.1477524904491578</v>
      </c>
      <c r="Y563" s="337">
        <f t="shared" si="230"/>
        <v>-24.804940492422084</v>
      </c>
      <c r="AA563" s="336">
        <f t="shared" si="231"/>
        <v>-11.09450443423567</v>
      </c>
      <c r="AB563" s="337">
        <f t="shared" si="232"/>
        <v>-122.71839182415214</v>
      </c>
      <c r="AD563">
        <f t="shared" si="236"/>
        <v>0</v>
      </c>
      <c r="AE563">
        <f t="shared" si="239"/>
        <v>0</v>
      </c>
    </row>
    <row r="564" spans="1:31" x14ac:dyDescent="0.25">
      <c r="A564" s="338">
        <v>92794</v>
      </c>
      <c r="B564" s="355">
        <f t="shared" si="233"/>
        <v>92.793999999999997</v>
      </c>
      <c r="C564" s="328">
        <f t="shared" si="214"/>
        <v>20.849164167096855</v>
      </c>
      <c r="D564" s="329">
        <f t="shared" si="215"/>
        <v>1.5228143642314689</v>
      </c>
      <c r="E564" s="329">
        <f t="shared" si="216"/>
        <v>1.0007401107626048</v>
      </c>
      <c r="F564" s="330">
        <f t="shared" si="217"/>
        <v>3.8461788329646834E-2</v>
      </c>
      <c r="G564" s="329">
        <f t="shared" si="218"/>
        <v>1</v>
      </c>
      <c r="H564" s="330">
        <f t="shared" si="219"/>
        <v>0</v>
      </c>
      <c r="I564" s="328">
        <f t="shared" si="220"/>
        <v>202808.08671412972</v>
      </c>
      <c r="J564" s="331">
        <f t="shared" si="221"/>
        <v>1.5707913960250433</v>
      </c>
      <c r="K564" s="339">
        <f t="shared" si="237"/>
        <v>26.134168646015571</v>
      </c>
      <c r="L564" s="340">
        <f t="shared" si="238"/>
        <v>1.5325229002394705</v>
      </c>
      <c r="M564" s="328">
        <f t="shared" si="222"/>
        <v>1.0840975277608476</v>
      </c>
      <c r="N564" s="331">
        <f t="shared" si="223"/>
        <v>0.39647949095677698</v>
      </c>
      <c r="O564" s="332">
        <f t="shared" si="224"/>
        <v>1.0418610937268742</v>
      </c>
      <c r="P564" s="333">
        <f t="shared" si="225"/>
        <v>0.66151662729910909</v>
      </c>
      <c r="Q564" s="334">
        <f t="shared" si="226"/>
        <v>-9.0092152154872114</v>
      </c>
      <c r="R564" s="335">
        <f t="shared" si="227"/>
        <v>-147.85847369161323</v>
      </c>
      <c r="S564" s="337">
        <f t="shared" si="228"/>
        <v>32.141526308386773</v>
      </c>
      <c r="U564" s="310">
        <f t="shared" si="234"/>
        <v>92794</v>
      </c>
      <c r="V564" s="310">
        <f t="shared" si="235"/>
        <v>8610726436</v>
      </c>
      <c r="X564" s="336">
        <f t="shared" si="229"/>
        <v>2.1402816912737501</v>
      </c>
      <c r="Y564" s="337">
        <f t="shared" si="230"/>
        <v>-24.909224820609051</v>
      </c>
      <c r="AA564" s="336">
        <f t="shared" si="231"/>
        <v>-11.149496906760959</v>
      </c>
      <c r="AB564" s="337">
        <f t="shared" si="232"/>
        <v>-122.94924887100419</v>
      </c>
      <c r="AD564">
        <f t="shared" si="236"/>
        <v>0</v>
      </c>
      <c r="AE564">
        <f t="shared" si="239"/>
        <v>0</v>
      </c>
    </row>
    <row r="565" spans="1:31" x14ac:dyDescent="0.25">
      <c r="A565" s="338">
        <v>93325</v>
      </c>
      <c r="B565" s="355">
        <f t="shared" si="233"/>
        <v>93.325000000000003</v>
      </c>
      <c r="C565" s="328">
        <f t="shared" si="214"/>
        <v>20.968196753425481</v>
      </c>
      <c r="D565" s="329">
        <f t="shared" si="215"/>
        <v>1.5230869564311285</v>
      </c>
      <c r="E565" s="329">
        <f t="shared" si="216"/>
        <v>1.0007486021703</v>
      </c>
      <c r="F565" s="330">
        <f t="shared" si="217"/>
        <v>3.8681661393750399E-2</v>
      </c>
      <c r="G565" s="329">
        <f t="shared" si="218"/>
        <v>1</v>
      </c>
      <c r="H565" s="330">
        <f t="shared" si="219"/>
        <v>0</v>
      </c>
      <c r="I565" s="328">
        <f t="shared" si="220"/>
        <v>203968.62612446435</v>
      </c>
      <c r="J565" s="331">
        <f t="shared" si="221"/>
        <v>1.5707914240801066</v>
      </c>
      <c r="K565" s="339">
        <f t="shared" si="237"/>
        <v>26.283499238963785</v>
      </c>
      <c r="L565" s="340">
        <f t="shared" si="238"/>
        <v>1.532740457347602</v>
      </c>
      <c r="M565" s="328">
        <f t="shared" si="222"/>
        <v>1.0850249182518741</v>
      </c>
      <c r="N565" s="331">
        <f t="shared" si="223"/>
        <v>0.39851614607471986</v>
      </c>
      <c r="O565" s="332">
        <f t="shared" si="224"/>
        <v>1.0425080392396382</v>
      </c>
      <c r="P565" s="333">
        <f t="shared" si="225"/>
        <v>0.66549195894775659</v>
      </c>
      <c r="Q565" s="334">
        <f t="shared" si="226"/>
        <v>-9.0714813581721749</v>
      </c>
      <c r="R565" s="335">
        <f t="shared" si="227"/>
        <v>-148.19349224751483</v>
      </c>
      <c r="S565" s="337">
        <f t="shared" si="228"/>
        <v>31.806507752485174</v>
      </c>
      <c r="U565" s="310">
        <f t="shared" si="234"/>
        <v>93325</v>
      </c>
      <c r="V565" s="310">
        <f t="shared" si="235"/>
        <v>8709555625</v>
      </c>
      <c r="X565" s="336">
        <f t="shared" si="229"/>
        <v>2.1327823753392887</v>
      </c>
      <c r="Y565" s="337">
        <f t="shared" si="230"/>
        <v>-25.013453066647713</v>
      </c>
      <c r="AA565" s="336">
        <f t="shared" si="231"/>
        <v>-11.204263733511464</v>
      </c>
      <c r="AB565" s="337">
        <f t="shared" si="232"/>
        <v>-123.18003918086714</v>
      </c>
      <c r="AD565">
        <f t="shared" si="236"/>
        <v>0</v>
      </c>
      <c r="AE565">
        <f t="shared" si="239"/>
        <v>0</v>
      </c>
    </row>
    <row r="566" spans="1:31" x14ac:dyDescent="0.25">
      <c r="A566" s="338">
        <v>93868.5</v>
      </c>
      <c r="B566" s="355">
        <f t="shared" si="233"/>
        <v>93.868499999999997</v>
      </c>
      <c r="C566" s="328">
        <f t="shared" si="214"/>
        <v>21.090033020213596</v>
      </c>
      <c r="D566" s="329">
        <f t="shared" si="215"/>
        <v>1.5233627790266573</v>
      </c>
      <c r="E566" s="329">
        <f t="shared" si="216"/>
        <v>1.0007573435711341</v>
      </c>
      <c r="F566" s="330">
        <f t="shared" si="217"/>
        <v>3.8906706502237272E-2</v>
      </c>
      <c r="G566" s="329">
        <f t="shared" si="218"/>
        <v>1</v>
      </c>
      <c r="H566" s="330">
        <f t="shared" si="219"/>
        <v>0</v>
      </c>
      <c r="I566" s="328">
        <f t="shared" si="220"/>
        <v>205156.48520076749</v>
      </c>
      <c r="J566" s="331">
        <f t="shared" si="221"/>
        <v>1.5707914524668976</v>
      </c>
      <c r="K566" s="339">
        <f t="shared" si="237"/>
        <v>26.436346420761815</v>
      </c>
      <c r="L566" s="340">
        <f t="shared" si="238"/>
        <v>1.5329605905542127</v>
      </c>
      <c r="M566" s="328">
        <f t="shared" si="222"/>
        <v>1.0859787927159399</v>
      </c>
      <c r="N566" s="331">
        <f t="shared" si="223"/>
        <v>0.40059713391801399</v>
      </c>
      <c r="O566" s="332">
        <f t="shared" si="224"/>
        <v>1.0431777930971304</v>
      </c>
      <c r="P566" s="333">
        <f t="shared" si="225"/>
        <v>0.66956287830374317</v>
      </c>
      <c r="Q566" s="334">
        <f t="shared" si="226"/>
        <v>-9.1350126657514448</v>
      </c>
      <c r="R566" s="335">
        <f t="shared" si="227"/>
        <v>-148.53626882485707</v>
      </c>
      <c r="S566" s="337">
        <f t="shared" si="228"/>
        <v>31.463731175142925</v>
      </c>
      <c r="U566" s="310">
        <f t="shared" si="234"/>
        <v>93868.5</v>
      </c>
      <c r="V566" s="310">
        <f t="shared" si="235"/>
        <v>8811295292.25</v>
      </c>
      <c r="X566" s="336">
        <f t="shared" si="229"/>
        <v>2.1250771424593005</v>
      </c>
      <c r="Y566" s="337">
        <f t="shared" si="230"/>
        <v>-25.120073810182156</v>
      </c>
      <c r="AA566" s="336">
        <f t="shared" si="231"/>
        <v>-11.260089808210743</v>
      </c>
      <c r="AB566" s="337">
        <f t="shared" si="232"/>
        <v>-123.4161950146749</v>
      </c>
      <c r="AD566">
        <f t="shared" si="236"/>
        <v>0</v>
      </c>
      <c r="AE566">
        <f t="shared" si="239"/>
        <v>0</v>
      </c>
    </row>
    <row r="567" spans="1:31" x14ac:dyDescent="0.25">
      <c r="A567" s="338">
        <v>94412</v>
      </c>
      <c r="B567" s="355">
        <f t="shared" si="233"/>
        <v>94.412000000000006</v>
      </c>
      <c r="C567" s="328">
        <f t="shared" si="214"/>
        <v>21.211870873059709</v>
      </c>
      <c r="D567" s="329">
        <f t="shared" si="215"/>
        <v>1.5236354330742432</v>
      </c>
      <c r="E567" s="329">
        <f t="shared" si="216"/>
        <v>1.0007661356547382</v>
      </c>
      <c r="F567" s="330">
        <f t="shared" si="217"/>
        <v>3.9131747667919894E-2</v>
      </c>
      <c r="G567" s="329">
        <f t="shared" si="218"/>
        <v>1</v>
      </c>
      <c r="H567" s="330">
        <f t="shared" si="219"/>
        <v>0</v>
      </c>
      <c r="I567" s="328">
        <f t="shared" si="220"/>
        <v>206344.34427707078</v>
      </c>
      <c r="J567" s="331">
        <f t="shared" si="221"/>
        <v>1.570791480526861</v>
      </c>
      <c r="K567" s="339">
        <f t="shared" si="237"/>
        <v>26.589194868900535</v>
      </c>
      <c r="L567" s="340">
        <f t="shared" si="238"/>
        <v>1.5331781928921506</v>
      </c>
      <c r="M567" s="328">
        <f t="shared" si="222"/>
        <v>1.0869373617563574</v>
      </c>
      <c r="N567" s="331">
        <f t="shared" si="223"/>
        <v>0.40267446030154641</v>
      </c>
      <c r="O567" s="332">
        <f t="shared" si="224"/>
        <v>1.0438552725857264</v>
      </c>
      <c r="P567" s="333">
        <f t="shared" si="225"/>
        <v>0.67363580110521704</v>
      </c>
      <c r="Q567" s="334">
        <f t="shared" si="226"/>
        <v>-9.1983445720250767</v>
      </c>
      <c r="R567" s="335">
        <f t="shared" si="227"/>
        <v>-148.87891407582822</v>
      </c>
      <c r="S567" s="337">
        <f t="shared" si="228"/>
        <v>31.12108592417178</v>
      </c>
      <c r="U567" s="310">
        <f t="shared" si="234"/>
        <v>94412</v>
      </c>
      <c r="V567" s="310">
        <f t="shared" si="235"/>
        <v>8913625744</v>
      </c>
      <c r="X567" s="336">
        <f t="shared" si="229"/>
        <v>2.1173423444416621</v>
      </c>
      <c r="Y567" s="337">
        <f t="shared" si="230"/>
        <v>-25.226629756892962</v>
      </c>
      <c r="AA567" s="336">
        <f t="shared" si="231"/>
        <v>-11.315686916466737</v>
      </c>
      <c r="AB567" s="337">
        <f t="shared" si="232"/>
        <v>-123.65228431893526</v>
      </c>
      <c r="AD567">
        <f t="shared" si="236"/>
        <v>0</v>
      </c>
      <c r="AE567">
        <f t="shared" si="239"/>
        <v>0</v>
      </c>
    </row>
    <row r="568" spans="1:31" x14ac:dyDescent="0.25">
      <c r="A568" s="338">
        <v>94955.5</v>
      </c>
      <c r="B568" s="355">
        <f t="shared" si="233"/>
        <v>94.955500000000001</v>
      </c>
      <c r="C568" s="328">
        <f t="shared" si="214"/>
        <v>21.333710284789653</v>
      </c>
      <c r="D568" s="329">
        <f t="shared" si="215"/>
        <v>1.5239049728208836</v>
      </c>
      <c r="E568" s="329">
        <f t="shared" si="216"/>
        <v>1.0007749784197764</v>
      </c>
      <c r="F568" s="330">
        <f t="shared" si="217"/>
        <v>3.935678486810873E-2</v>
      </c>
      <c r="G568" s="329">
        <f t="shared" si="218"/>
        <v>1</v>
      </c>
      <c r="H568" s="330">
        <f t="shared" si="219"/>
        <v>0</v>
      </c>
      <c r="I568" s="328">
        <f t="shared" si="220"/>
        <v>207532.20335337424</v>
      </c>
      <c r="J568" s="331">
        <f t="shared" si="221"/>
        <v>1.570791508265609</v>
      </c>
      <c r="K568" s="339">
        <f t="shared" si="237"/>
        <v>26.74204456166602</v>
      </c>
      <c r="L568" s="340">
        <f t="shared" si="238"/>
        <v>1.5333933077377411</v>
      </c>
      <c r="M568" s="328">
        <f t="shared" si="222"/>
        <v>1.0879006129636963</v>
      </c>
      <c r="N568" s="331">
        <f t="shared" si="223"/>
        <v>0.40474811699909391</v>
      </c>
      <c r="O568" s="332">
        <f t="shared" si="224"/>
        <v>1.0445405367937552</v>
      </c>
      <c r="P568" s="333">
        <f t="shared" si="225"/>
        <v>0.67771070023402968</v>
      </c>
      <c r="Q568" s="334">
        <f t="shared" si="226"/>
        <v>-9.261480588189908</v>
      </c>
      <c r="R568" s="335">
        <f t="shared" si="227"/>
        <v>-149.22142659981009</v>
      </c>
      <c r="S568" s="337">
        <f t="shared" si="228"/>
        <v>30.778573400189913</v>
      </c>
      <c r="U568" s="310">
        <f t="shared" si="234"/>
        <v>94955.5</v>
      </c>
      <c r="V568" s="310">
        <f t="shared" si="235"/>
        <v>9016546980.25</v>
      </c>
      <c r="X568" s="336">
        <f t="shared" si="229"/>
        <v>2.1095781392978843</v>
      </c>
      <c r="Y568" s="337">
        <f t="shared" si="230"/>
        <v>-25.333117950493392</v>
      </c>
      <c r="AA568" s="336">
        <f t="shared" si="231"/>
        <v>-11.371058727487792</v>
      </c>
      <c r="AB568" s="337">
        <f t="shared" si="232"/>
        <v>-123.8883086493167</v>
      </c>
      <c r="AD568">
        <f t="shared" si="236"/>
        <v>0</v>
      </c>
      <c r="AE568">
        <f t="shared" si="239"/>
        <v>0</v>
      </c>
    </row>
    <row r="569" spans="1:31" x14ac:dyDescent="0.25">
      <c r="A569" s="338">
        <v>95499</v>
      </c>
      <c r="B569" s="355">
        <f t="shared" si="233"/>
        <v>95.498999999999995</v>
      </c>
      <c r="C569" s="328">
        <f t="shared" si="214"/>
        <v>21.455551228846179</v>
      </c>
      <c r="D569" s="329">
        <f t="shared" si="215"/>
        <v>1.5241714512831868</v>
      </c>
      <c r="E569" s="329">
        <f t="shared" si="216"/>
        <v>1.0007838718649049</v>
      </c>
      <c r="F569" s="330">
        <f t="shared" si="217"/>
        <v>3.9581818080116647E-2</v>
      </c>
      <c r="G569" s="329">
        <f t="shared" si="218"/>
        <v>1</v>
      </c>
      <c r="H569" s="330">
        <f t="shared" si="219"/>
        <v>0</v>
      </c>
      <c r="I569" s="328">
        <f t="shared" si="220"/>
        <v>208720.06242967784</v>
      </c>
      <c r="J569" s="331">
        <f t="shared" si="221"/>
        <v>1.5707915356886255</v>
      </c>
      <c r="K569" s="339">
        <f t="shared" si="237"/>
        <v>26.894895477837789</v>
      </c>
      <c r="L569" s="340">
        <f t="shared" si="238"/>
        <v>1.533605977482166</v>
      </c>
      <c r="M569" s="328">
        <f t="shared" si="222"/>
        <v>1.0888685339119308</v>
      </c>
      <c r="N569" s="331">
        <f t="shared" si="223"/>
        <v>0.40681809593970886</v>
      </c>
      <c r="O569" s="332">
        <f t="shared" si="224"/>
        <v>1.0452336449091673</v>
      </c>
      <c r="P569" s="333">
        <f t="shared" si="225"/>
        <v>0.68178754800528063</v>
      </c>
      <c r="Q569" s="334">
        <f t="shared" si="226"/>
        <v>-9.3244241671313208</v>
      </c>
      <c r="R569" s="335">
        <f t="shared" si="227"/>
        <v>-149.56380495854972</v>
      </c>
      <c r="S569" s="337">
        <f t="shared" si="228"/>
        <v>30.436195041450276</v>
      </c>
      <c r="U569" s="310">
        <f t="shared" si="234"/>
        <v>95499</v>
      </c>
      <c r="V569" s="310">
        <f t="shared" si="235"/>
        <v>9120059001</v>
      </c>
      <c r="X569" s="336">
        <f t="shared" si="229"/>
        <v>2.1017846857925266</v>
      </c>
      <c r="Y569" s="337">
        <f t="shared" si="230"/>
        <v>-25.439535500030622</v>
      </c>
      <c r="AA569" s="336">
        <f t="shared" si="231"/>
        <v>-11.42620885292385</v>
      </c>
      <c r="AB569" s="337">
        <f t="shared" si="232"/>
        <v>-124.12426945851909</v>
      </c>
      <c r="AD569">
        <f t="shared" si="236"/>
        <v>0</v>
      </c>
      <c r="AE569">
        <f t="shared" si="239"/>
        <v>0</v>
      </c>
    </row>
    <row r="570" spans="1:31" x14ac:dyDescent="0.25">
      <c r="A570" s="338">
        <v>96611.5</v>
      </c>
      <c r="B570" s="355">
        <f t="shared" si="233"/>
        <v>96.611500000000007</v>
      </c>
      <c r="C570" s="328">
        <f t="shared" si="214"/>
        <v>21.704954335240203</v>
      </c>
      <c r="D570" s="329">
        <f t="shared" si="215"/>
        <v>1.524707581292466</v>
      </c>
      <c r="E570" s="329">
        <f t="shared" si="216"/>
        <v>1.000802234053815</v>
      </c>
      <c r="F570" s="330">
        <f t="shared" si="217"/>
        <v>4.0042430107963614E-2</v>
      </c>
      <c r="G570" s="329">
        <f t="shared" si="218"/>
        <v>1</v>
      </c>
      <c r="H570" s="330">
        <f t="shared" si="219"/>
        <v>0</v>
      </c>
      <c r="I570" s="328">
        <f t="shared" si="220"/>
        <v>211151.51270086097</v>
      </c>
      <c r="J570" s="331">
        <f t="shared" si="221"/>
        <v>1.5707915908591354</v>
      </c>
      <c r="K570" s="339">
        <f t="shared" si="237"/>
        <v>27.207772516637629</v>
      </c>
      <c r="L570" s="340">
        <f t="shared" si="238"/>
        <v>1.5340338435153551</v>
      </c>
      <c r="M570" s="328">
        <f t="shared" si="222"/>
        <v>1.0908642985880244</v>
      </c>
      <c r="N570" s="331">
        <f t="shared" si="223"/>
        <v>0.41104367151442645</v>
      </c>
      <c r="O570" s="332">
        <f t="shared" si="224"/>
        <v>1.0466770903612233</v>
      </c>
      <c r="P570" s="333">
        <f t="shared" si="225"/>
        <v>0.69013847877197088</v>
      </c>
      <c r="Q570" s="334">
        <f t="shared" si="226"/>
        <v>-9.452678647514464</v>
      </c>
      <c r="R570" s="335">
        <f t="shared" si="227"/>
        <v>-150.2642007984843</v>
      </c>
      <c r="S570" s="337">
        <f t="shared" si="228"/>
        <v>29.735799201515704</v>
      </c>
      <c r="U570" s="310">
        <f t="shared" si="234"/>
        <v>96611.5</v>
      </c>
      <c r="V570" s="310">
        <f t="shared" si="235"/>
        <v>9333781932.25</v>
      </c>
      <c r="X570" s="336">
        <f t="shared" si="229"/>
        <v>2.085741588213621</v>
      </c>
      <c r="Y570" s="337">
        <f t="shared" si="230"/>
        <v>-25.65713138986278</v>
      </c>
      <c r="AA570" s="336">
        <f t="shared" si="231"/>
        <v>-11.538420235728086</v>
      </c>
      <c r="AB570" s="337">
        <f t="shared" si="232"/>
        <v>-124.60706940862148</v>
      </c>
      <c r="AD570">
        <f t="shared" si="236"/>
        <v>0</v>
      </c>
      <c r="AE570">
        <f t="shared" si="239"/>
        <v>0</v>
      </c>
    </row>
    <row r="571" spans="1:31" x14ac:dyDescent="0.25">
      <c r="A571" s="338">
        <v>97724</v>
      </c>
      <c r="B571" s="355">
        <f t="shared" si="233"/>
        <v>97.724000000000004</v>
      </c>
      <c r="C571" s="328">
        <f t="shared" si="214"/>
        <v>21.954363538659372</v>
      </c>
      <c r="D571" s="329">
        <f t="shared" si="215"/>
        <v>1.5252315302028681</v>
      </c>
      <c r="E571" s="329">
        <f t="shared" si="216"/>
        <v>1.0008208085685524</v>
      </c>
      <c r="F571" s="330">
        <f t="shared" si="217"/>
        <v>4.0503025136272776E-2</v>
      </c>
      <c r="G571" s="329">
        <f t="shared" si="218"/>
        <v>1</v>
      </c>
      <c r="H571" s="330">
        <f t="shared" si="219"/>
        <v>0</v>
      </c>
      <c r="I571" s="328">
        <f t="shared" si="220"/>
        <v>213582.96297204474</v>
      </c>
      <c r="J571" s="331">
        <f t="shared" si="221"/>
        <v>1.5707916447735122</v>
      </c>
      <c r="K571" s="339">
        <f t="shared" si="237"/>
        <v>27.520654423091969</v>
      </c>
      <c r="L571" s="340">
        <f t="shared" si="238"/>
        <v>1.534451980818649</v>
      </c>
      <c r="M571" s="328">
        <f t="shared" si="222"/>
        <v>1.0928794698377957</v>
      </c>
      <c r="N571" s="331">
        <f t="shared" si="223"/>
        <v>0.41525373887102063</v>
      </c>
      <c r="O571" s="332">
        <f t="shared" si="224"/>
        <v>1.0481541588565517</v>
      </c>
      <c r="P571" s="333">
        <f t="shared" si="225"/>
        <v>0.69849720546000571</v>
      </c>
      <c r="Q571" s="334">
        <f t="shared" si="226"/>
        <v>-9.580169407095779</v>
      </c>
      <c r="R571" s="335">
        <f t="shared" si="227"/>
        <v>-150.96401514800053</v>
      </c>
      <c r="S571" s="337">
        <f t="shared" si="228"/>
        <v>29.035984851999473</v>
      </c>
      <c r="U571" s="310">
        <f t="shared" si="234"/>
        <v>97724</v>
      </c>
      <c r="V571" s="310">
        <f t="shared" si="235"/>
        <v>9549980176</v>
      </c>
      <c r="X571" s="336">
        <f t="shared" si="229"/>
        <v>2.0695779890028145</v>
      </c>
      <c r="Y571" s="337">
        <f t="shared" si="230"/>
        <v>-25.874396067440216</v>
      </c>
      <c r="AA571" s="336">
        <f t="shared" si="231"/>
        <v>-11.64974739609859</v>
      </c>
      <c r="AB571" s="337">
        <f t="shared" si="232"/>
        <v>-125.08961908056034</v>
      </c>
      <c r="AD571">
        <f t="shared" si="236"/>
        <v>0</v>
      </c>
      <c r="AE571">
        <f t="shared" si="239"/>
        <v>0</v>
      </c>
    </row>
    <row r="572" spans="1:31" x14ac:dyDescent="0.25">
      <c r="A572" s="338">
        <v>98862</v>
      </c>
      <c r="B572" s="355">
        <f t="shared" si="233"/>
        <v>98.861999999999995</v>
      </c>
      <c r="C572" s="328">
        <f t="shared" si="214"/>
        <v>22.209495631411855</v>
      </c>
      <c r="D572" s="329">
        <f t="shared" si="215"/>
        <v>1.5257553131614032</v>
      </c>
      <c r="E572" s="329">
        <f t="shared" si="216"/>
        <v>1.0008400285056818</v>
      </c>
      <c r="F572" s="330">
        <f t="shared" si="217"/>
        <v>4.0974159832424681E-2</v>
      </c>
      <c r="G572" s="329">
        <f t="shared" si="218"/>
        <v>1</v>
      </c>
      <c r="H572" s="330">
        <f t="shared" si="219"/>
        <v>0</v>
      </c>
      <c r="I572" s="328">
        <f t="shared" si="220"/>
        <v>216070.14536180458</v>
      </c>
      <c r="J572" s="331">
        <f t="shared" si="221"/>
        <v>1.5707916986682375</v>
      </c>
      <c r="K572" s="339">
        <f t="shared" si="237"/>
        <v>27.840712869903236</v>
      </c>
      <c r="L572" s="340">
        <f t="shared" si="238"/>
        <v>1.5348699784231572</v>
      </c>
      <c r="M572" s="328">
        <f t="shared" si="222"/>
        <v>1.0949607987254717</v>
      </c>
      <c r="N572" s="331">
        <f t="shared" si="223"/>
        <v>0.41954419527620923</v>
      </c>
      <c r="O572" s="332">
        <f t="shared" si="224"/>
        <v>1.0497004043891189</v>
      </c>
      <c r="P572" s="333">
        <f t="shared" si="225"/>
        <v>0.70705532083744849</v>
      </c>
      <c r="Q572" s="334">
        <f t="shared" si="226"/>
        <v>-9.7098208707387439</v>
      </c>
      <c r="R572" s="335">
        <f t="shared" si="227"/>
        <v>-151.67925419732217</v>
      </c>
      <c r="S572" s="337">
        <f t="shared" si="228"/>
        <v>28.320745802677834</v>
      </c>
      <c r="U572" s="310">
        <f t="shared" si="234"/>
        <v>98862</v>
      </c>
      <c r="V572" s="310">
        <f t="shared" si="235"/>
        <v>9773695044</v>
      </c>
      <c r="X572" s="336">
        <f t="shared" si="229"/>
        <v>2.0529206679976428</v>
      </c>
      <c r="Y572" s="337">
        <f t="shared" si="230"/>
        <v>-26.096274701251332</v>
      </c>
      <c r="AA572" s="336">
        <f t="shared" si="231"/>
        <v>-11.762741538736385</v>
      </c>
      <c r="AB572" s="337">
        <f t="shared" si="232"/>
        <v>-125.58297949607085</v>
      </c>
      <c r="AD572">
        <f t="shared" si="236"/>
        <v>0</v>
      </c>
      <c r="AE572">
        <f t="shared" si="239"/>
        <v>0</v>
      </c>
    </row>
    <row r="573" spans="1:31" x14ac:dyDescent="0.25">
      <c r="A573" s="338">
        <v>100000</v>
      </c>
      <c r="B573" s="355">
        <f t="shared" si="233"/>
        <v>100</v>
      </c>
      <c r="C573" s="328">
        <f t="shared" si="214"/>
        <v>22.46463367890679</v>
      </c>
      <c r="D573" s="329">
        <f t="shared" si="215"/>
        <v>1.5262671987157275</v>
      </c>
      <c r="E573" s="329">
        <f t="shared" si="216"/>
        <v>1.0008594705886116</v>
      </c>
      <c r="F573" s="330">
        <f t="shared" si="217"/>
        <v>4.1445276329197991E-2</v>
      </c>
      <c r="G573" s="329">
        <f t="shared" si="218"/>
        <v>1</v>
      </c>
      <c r="H573" s="330">
        <f t="shared" si="219"/>
        <v>0</v>
      </c>
      <c r="I573" s="328">
        <f t="shared" si="220"/>
        <v>218557.327751565</v>
      </c>
      <c r="J573" s="331">
        <f t="shared" si="221"/>
        <v>1.5707917513363188</v>
      </c>
      <c r="K573" s="339">
        <f t="shared" si="237"/>
        <v>28.160776070527628</v>
      </c>
      <c r="L573" s="340">
        <f t="shared" si="238"/>
        <v>1.5352784745377344</v>
      </c>
      <c r="M573" s="328">
        <f t="shared" si="222"/>
        <v>1.0970622069737754</v>
      </c>
      <c r="N573" s="331">
        <f t="shared" si="223"/>
        <v>0.42381829348337596</v>
      </c>
      <c r="O573" s="332">
        <f t="shared" si="224"/>
        <v>1.0512829149456426</v>
      </c>
      <c r="P573" s="333">
        <f t="shared" si="225"/>
        <v>0.7156210336760388</v>
      </c>
      <c r="Q573" s="334">
        <f t="shared" si="226"/>
        <v>-9.8387303481367887</v>
      </c>
      <c r="R573" s="335">
        <f t="shared" si="227"/>
        <v>-152.39385499008444</v>
      </c>
      <c r="S573" s="337">
        <f t="shared" si="228"/>
        <v>27.606145009915565</v>
      </c>
      <c r="U573" s="310">
        <f t="shared" si="234"/>
        <v>100000</v>
      </c>
      <c r="V573" s="310">
        <f t="shared" si="235"/>
        <v>10000000000</v>
      </c>
      <c r="X573" s="336">
        <f t="shared" si="229"/>
        <v>2.0361402040585808</v>
      </c>
      <c r="Y573" s="337">
        <f t="shared" si="230"/>
        <v>-26.317760404345506</v>
      </c>
      <c r="AA573" s="336">
        <f t="shared" si="231"/>
        <v>-11.874870552195368</v>
      </c>
      <c r="AB573" s="337">
        <f t="shared" si="232"/>
        <v>-126.07609458573893</v>
      </c>
      <c r="AD573">
        <f t="shared" si="236"/>
        <v>0</v>
      </c>
      <c r="AE573">
        <f t="shared" si="239"/>
        <v>0</v>
      </c>
    </row>
    <row r="574" spans="1:31" x14ac:dyDescent="0.25">
      <c r="A574" s="338">
        <v>101165</v>
      </c>
      <c r="B574" s="355">
        <f t="shared" si="233"/>
        <v>101.16500000000001</v>
      </c>
      <c r="C574" s="328">
        <f t="shared" si="214"/>
        <v>22.725831048512585</v>
      </c>
      <c r="D574" s="329">
        <f t="shared" si="215"/>
        <v>1.5267793231053857</v>
      </c>
      <c r="E574" s="329">
        <f t="shared" si="216"/>
        <v>1.0008796040518888</v>
      </c>
      <c r="F574" s="330">
        <f t="shared" si="217"/>
        <v>4.1927551388720119E-2</v>
      </c>
      <c r="G574" s="329">
        <f t="shared" si="218"/>
        <v>1</v>
      </c>
      <c r="H574" s="330">
        <f t="shared" si="219"/>
        <v>0</v>
      </c>
      <c r="I574" s="328">
        <f t="shared" si="220"/>
        <v>221103.52061981772</v>
      </c>
      <c r="J574" s="331">
        <f t="shared" si="221"/>
        <v>1.5707918040265698</v>
      </c>
      <c r="K574" s="339">
        <f t="shared" si="237"/>
        <v>28.488437794823316</v>
      </c>
      <c r="L574" s="340">
        <f t="shared" si="238"/>
        <v>1.5356871544674331</v>
      </c>
      <c r="M574" s="328">
        <f t="shared" si="222"/>
        <v>1.0992341522603342</v>
      </c>
      <c r="N574" s="331">
        <f t="shared" si="223"/>
        <v>0.42817678867152487</v>
      </c>
      <c r="O574" s="332">
        <f t="shared" si="224"/>
        <v>1.0529411113772287</v>
      </c>
      <c r="P574" s="333">
        <f t="shared" si="225"/>
        <v>0.72439753293287679</v>
      </c>
      <c r="Q574" s="334">
        <f t="shared" si="226"/>
        <v>-9.9699583834228456</v>
      </c>
      <c r="R574" s="335">
        <f t="shared" si="227"/>
        <v>-153.12473236096878</v>
      </c>
      <c r="S574" s="337">
        <f t="shared" si="228"/>
        <v>26.875267639031222</v>
      </c>
      <c r="U574" s="310">
        <f t="shared" si="234"/>
        <v>101165</v>
      </c>
      <c r="V574" s="310">
        <f t="shared" si="235"/>
        <v>10234357225</v>
      </c>
      <c r="X574" s="336">
        <f t="shared" si="229"/>
        <v>2.0188356196824988</v>
      </c>
      <c r="Y574" s="337">
        <f t="shared" si="230"/>
        <v>-26.544071167698675</v>
      </c>
      <c r="AA574" s="336">
        <f t="shared" si="231"/>
        <v>-11.988794003105344</v>
      </c>
      <c r="AB574" s="337">
        <f t="shared" si="232"/>
        <v>-126.58066119327009</v>
      </c>
      <c r="AD574">
        <f t="shared" si="236"/>
        <v>0</v>
      </c>
      <c r="AE574">
        <f t="shared" si="239"/>
        <v>0</v>
      </c>
    </row>
    <row r="575" spans="1:31" x14ac:dyDescent="0.25">
      <c r="A575" s="338">
        <v>102330</v>
      </c>
      <c r="B575" s="355">
        <f t="shared" si="233"/>
        <v>102.33</v>
      </c>
      <c r="C575" s="328">
        <f t="shared" si="214"/>
        <v>22.987034243000441</v>
      </c>
      <c r="D575" s="329">
        <f t="shared" si="215"/>
        <v>1.5272798090170299</v>
      </c>
      <c r="E575" s="329">
        <f t="shared" si="216"/>
        <v>1.0008999702995884</v>
      </c>
      <c r="F575" s="330">
        <f t="shared" si="217"/>
        <v>4.2409806933802641E-2</v>
      </c>
      <c r="G575" s="329">
        <f t="shared" si="218"/>
        <v>1</v>
      </c>
      <c r="H575" s="330">
        <f t="shared" si="219"/>
        <v>0</v>
      </c>
      <c r="I575" s="328">
        <f t="shared" si="220"/>
        <v>223649.71348807105</v>
      </c>
      <c r="J575" s="331">
        <f t="shared" si="221"/>
        <v>1.5707918555170917</v>
      </c>
      <c r="K575" s="339">
        <f t="shared" si="237"/>
        <v>28.81610416902997</v>
      </c>
      <c r="L575" s="340">
        <f t="shared" si="238"/>
        <v>1.5360865403074775</v>
      </c>
      <c r="M575" s="328">
        <f t="shared" si="222"/>
        <v>1.1014268965415994</v>
      </c>
      <c r="N575" s="331">
        <f t="shared" si="223"/>
        <v>0.4325180120840485</v>
      </c>
      <c r="O575" s="332">
        <f t="shared" si="224"/>
        <v>1.0546384803785041</v>
      </c>
      <c r="P575" s="333">
        <f t="shared" si="225"/>
        <v>0.73318134875844876</v>
      </c>
      <c r="Q575" s="334">
        <f t="shared" si="226"/>
        <v>-10.100466076796931</v>
      </c>
      <c r="R575" s="335">
        <f t="shared" si="227"/>
        <v>-153.85490606631035</v>
      </c>
      <c r="S575" s="337">
        <f t="shared" si="228"/>
        <v>26.145093933689651</v>
      </c>
      <c r="U575" s="310">
        <f t="shared" si="234"/>
        <v>102330</v>
      </c>
      <c r="V575" s="310">
        <f t="shared" si="235"/>
        <v>10471428900</v>
      </c>
      <c r="X575" s="336">
        <f t="shared" si="229"/>
        <v>2.0014051778343473</v>
      </c>
      <c r="Y575" s="337">
        <f t="shared" si="230"/>
        <v>-26.769924774575486</v>
      </c>
      <c r="AA575" s="336">
        <f t="shared" si="231"/>
        <v>-12.101871254631281</v>
      </c>
      <c r="AB575" s="337">
        <f t="shared" si="232"/>
        <v>-127.08498129173483</v>
      </c>
      <c r="AD575">
        <f t="shared" si="236"/>
        <v>0</v>
      </c>
      <c r="AE575">
        <f t="shared" si="239"/>
        <v>0</v>
      </c>
    </row>
    <row r="576" spans="1:31" x14ac:dyDescent="0.25">
      <c r="A576" s="338">
        <v>103520</v>
      </c>
      <c r="B576" s="355">
        <f t="shared" si="233"/>
        <v>103.52</v>
      </c>
      <c r="C576" s="328">
        <f t="shared" si="214"/>
        <v>23.25384846587329</v>
      </c>
      <c r="D576" s="329">
        <f t="shared" si="215"/>
        <v>1.5277794267316325</v>
      </c>
      <c r="E576" s="329">
        <f t="shared" si="216"/>
        <v>1.0009210139075355</v>
      </c>
      <c r="F576" s="330">
        <f t="shared" si="217"/>
        <v>4.2902390931245357E-2</v>
      </c>
      <c r="G576" s="329">
        <f t="shared" si="218"/>
        <v>1</v>
      </c>
      <c r="H576" s="330">
        <f t="shared" si="219"/>
        <v>0</v>
      </c>
      <c r="I576" s="328">
        <f t="shared" si="220"/>
        <v>226250.54568826177</v>
      </c>
      <c r="J576" s="331">
        <f t="shared" si="221"/>
        <v>1.5707919069160541</v>
      </c>
      <c r="K576" s="339">
        <f t="shared" si="237"/>
        <v>29.150806648109416</v>
      </c>
      <c r="L576" s="340">
        <f t="shared" si="238"/>
        <v>1.5364852270157294</v>
      </c>
      <c r="M576" s="328">
        <f t="shared" si="222"/>
        <v>1.1036880397926794</v>
      </c>
      <c r="N576" s="331">
        <f t="shared" si="223"/>
        <v>0.43693450051403826</v>
      </c>
      <c r="O576" s="332">
        <f t="shared" si="224"/>
        <v>1.0564133309728656</v>
      </c>
      <c r="P576" s="333">
        <f t="shared" si="225"/>
        <v>0.74216085474711357</v>
      </c>
      <c r="Q576" s="334">
        <f t="shared" si="226"/>
        <v>-10.233059288463306</v>
      </c>
      <c r="R576" s="335">
        <f t="shared" si="227"/>
        <v>-154.60000289125179</v>
      </c>
      <c r="S576" s="337">
        <f t="shared" si="228"/>
        <v>25.399997108748209</v>
      </c>
      <c r="U576" s="310">
        <f t="shared" si="234"/>
        <v>103520</v>
      </c>
      <c r="V576" s="310">
        <f t="shared" si="235"/>
        <v>10716390400</v>
      </c>
      <c r="X576" s="336">
        <f t="shared" si="229"/>
        <v>1.9834724488420876</v>
      </c>
      <c r="Y576" s="337">
        <f t="shared" si="230"/>
        <v>-27.000130801358125</v>
      </c>
      <c r="AA576" s="336">
        <f t="shared" si="231"/>
        <v>-12.216531737305393</v>
      </c>
      <c r="AB576" s="337">
        <f t="shared" si="232"/>
        <v>-127.59987208989367</v>
      </c>
      <c r="AD576">
        <f t="shared" si="236"/>
        <v>0</v>
      </c>
      <c r="AE576">
        <f t="shared" si="239"/>
        <v>0</v>
      </c>
    </row>
    <row r="577" spans="1:31" x14ac:dyDescent="0.25">
      <c r="A577" s="338">
        <v>104710</v>
      </c>
      <c r="B577" s="355">
        <f t="shared" si="233"/>
        <v>104.71</v>
      </c>
      <c r="C577" s="328">
        <f t="shared" si="214"/>
        <v>23.520668361629088</v>
      </c>
      <c r="D577" s="329">
        <f t="shared" si="215"/>
        <v>1.5282677091782011</v>
      </c>
      <c r="E577" s="329">
        <f t="shared" si="216"/>
        <v>1.0009423003677049</v>
      </c>
      <c r="F577" s="330">
        <f t="shared" si="217"/>
        <v>4.3394954097201725E-2</v>
      </c>
      <c r="G577" s="329">
        <f t="shared" si="218"/>
        <v>1</v>
      </c>
      <c r="H577" s="330">
        <f t="shared" si="219"/>
        <v>0</v>
      </c>
      <c r="I577" s="328">
        <f t="shared" si="220"/>
        <v>228851.37788845305</v>
      </c>
      <c r="J577" s="331">
        <f t="shared" si="221"/>
        <v>1.5707919571467466</v>
      </c>
      <c r="K577" s="339">
        <f t="shared" si="237"/>
        <v>29.485513655546153</v>
      </c>
      <c r="L577" s="340">
        <f t="shared" si="238"/>
        <v>1.5368748623409387</v>
      </c>
      <c r="M577" s="328">
        <f t="shared" si="222"/>
        <v>1.105970622616212</v>
      </c>
      <c r="N577" s="331">
        <f t="shared" si="223"/>
        <v>0.44133284429994912</v>
      </c>
      <c r="O577" s="332">
        <f t="shared" si="224"/>
        <v>1.0582303012174035</v>
      </c>
      <c r="P577" s="333">
        <f t="shared" si="225"/>
        <v>0.75114725736615107</v>
      </c>
      <c r="Q577" s="334">
        <f t="shared" si="226"/>
        <v>-10.36495797811078</v>
      </c>
      <c r="R577" s="335">
        <f t="shared" si="227"/>
        <v>-155.34432552212752</v>
      </c>
      <c r="S577" s="337">
        <f t="shared" si="228"/>
        <v>24.655674477872481</v>
      </c>
      <c r="U577" s="310">
        <f t="shared" si="234"/>
        <v>104710</v>
      </c>
      <c r="V577" s="310">
        <f t="shared" si="235"/>
        <v>10964184100</v>
      </c>
      <c r="X577" s="336">
        <f t="shared" si="229"/>
        <v>1.9654118462608807</v>
      </c>
      <c r="Y577" s="337">
        <f t="shared" si="230"/>
        <v>-27.229815755723852</v>
      </c>
      <c r="AA577" s="336">
        <f t="shared" si="231"/>
        <v>-12.330369824371664</v>
      </c>
      <c r="AB577" s="337">
        <f t="shared" si="232"/>
        <v>-128.11450976640367</v>
      </c>
      <c r="AD577">
        <f t="shared" si="236"/>
        <v>0</v>
      </c>
      <c r="AE577">
        <f t="shared" si="239"/>
        <v>0</v>
      </c>
    </row>
    <row r="578" spans="1:31" x14ac:dyDescent="0.25">
      <c r="A578" s="338">
        <v>105930</v>
      </c>
      <c r="B578" s="355">
        <f t="shared" si="233"/>
        <v>105.93</v>
      </c>
      <c r="C578" s="328">
        <f t="shared" si="214"/>
        <v>23.794220498801895</v>
      </c>
      <c r="D578" s="329">
        <f t="shared" si="215"/>
        <v>1.5287569327088384</v>
      </c>
      <c r="E578" s="329">
        <f t="shared" si="216"/>
        <v>1.0009643755579851</v>
      </c>
      <c r="F578" s="330">
        <f t="shared" si="217"/>
        <v>4.3899912947303089E-2</v>
      </c>
      <c r="G578" s="329">
        <f t="shared" si="218"/>
        <v>1</v>
      </c>
      <c r="H578" s="330">
        <f t="shared" si="219"/>
        <v>0</v>
      </c>
      <c r="I578" s="328">
        <f t="shared" si="220"/>
        <v>231517.77728696907</v>
      </c>
      <c r="J578" s="331">
        <f t="shared" si="221"/>
        <v>1.5707920074721573</v>
      </c>
      <c r="K578" s="339">
        <f t="shared" si="237"/>
        <v>29.828663196223051</v>
      </c>
      <c r="L578" s="340">
        <f t="shared" si="238"/>
        <v>1.5372652427185907</v>
      </c>
      <c r="M578" s="328">
        <f t="shared" si="222"/>
        <v>1.1083328679923701</v>
      </c>
      <c r="N578" s="331">
        <f t="shared" si="223"/>
        <v>0.44582317393910931</v>
      </c>
      <c r="O578" s="332">
        <f t="shared" si="224"/>
        <v>1.0601374640486909</v>
      </c>
      <c r="P578" s="333">
        <f t="shared" si="225"/>
        <v>0.76036695833561974</v>
      </c>
      <c r="Q578" s="334">
        <f t="shared" si="226"/>
        <v>-10.499489503408586</v>
      </c>
      <c r="R578" s="335">
        <f t="shared" si="227"/>
        <v>-156.10658658186304</v>
      </c>
      <c r="S578" s="337">
        <f t="shared" si="228"/>
        <v>23.893413418136959</v>
      </c>
      <c r="U578" s="310">
        <f t="shared" si="234"/>
        <v>105930</v>
      </c>
      <c r="V578" s="310">
        <f t="shared" si="235"/>
        <v>11221164900</v>
      </c>
      <c r="X578" s="336">
        <f t="shared" si="229"/>
        <v>1.9467650154273768</v>
      </c>
      <c r="Y578" s="337">
        <f t="shared" si="230"/>
        <v>-27.464728428328122</v>
      </c>
      <c r="AA578" s="336">
        <f t="shared" si="231"/>
        <v>-12.446254518835962</v>
      </c>
      <c r="AB578" s="337">
        <f t="shared" si="232"/>
        <v>-128.64185815353491</v>
      </c>
      <c r="AD578">
        <f t="shared" si="236"/>
        <v>0</v>
      </c>
      <c r="AE578">
        <f t="shared" si="239"/>
        <v>0</v>
      </c>
    </row>
    <row r="579" spans="1:31" x14ac:dyDescent="0.25">
      <c r="A579" s="338">
        <v>107150</v>
      </c>
      <c r="B579" s="355">
        <f t="shared" si="233"/>
        <v>107.15</v>
      </c>
      <c r="C579" s="328">
        <f t="shared" si="214"/>
        <v>24.067778201419202</v>
      </c>
      <c r="D579" s="329">
        <f t="shared" si="215"/>
        <v>1.5292350351868442</v>
      </c>
      <c r="E579" s="329">
        <f t="shared" si="216"/>
        <v>1.0009867059663102</v>
      </c>
      <c r="F579" s="330">
        <f t="shared" si="217"/>
        <v>4.440484939650563E-2</v>
      </c>
      <c r="G579" s="329">
        <f t="shared" si="218"/>
        <v>1</v>
      </c>
      <c r="H579" s="330">
        <f t="shared" si="219"/>
        <v>0</v>
      </c>
      <c r="I579" s="328">
        <f t="shared" si="220"/>
        <v>234184.17668548567</v>
      </c>
      <c r="J579" s="331">
        <f t="shared" si="221"/>
        <v>1.570792056651567</v>
      </c>
      <c r="K579" s="339">
        <f t="shared" si="237"/>
        <v>30.171817179293267</v>
      </c>
      <c r="L579" s="340">
        <f t="shared" si="238"/>
        <v>1.5376467433048686</v>
      </c>
      <c r="M579" s="328">
        <f t="shared" si="222"/>
        <v>1.1107173654330593</v>
      </c>
      <c r="N579" s="331">
        <f t="shared" si="223"/>
        <v>0.45029431365384559</v>
      </c>
      <c r="O579" s="332">
        <f t="shared" si="224"/>
        <v>1.0620902407916886</v>
      </c>
      <c r="P579" s="333">
        <f t="shared" si="225"/>
        <v>0.76959306288219531</v>
      </c>
      <c r="Q579" s="334">
        <f t="shared" si="226"/>
        <v>-10.633348333425907</v>
      </c>
      <c r="R579" s="335">
        <f t="shared" si="227"/>
        <v>-156.86798784086605</v>
      </c>
      <c r="S579" s="337">
        <f t="shared" si="228"/>
        <v>23.13201215913395</v>
      </c>
      <c r="U579" s="310">
        <f t="shared" si="234"/>
        <v>107150</v>
      </c>
      <c r="V579" s="310">
        <f t="shared" si="235"/>
        <v>11481122500</v>
      </c>
      <c r="X579" s="336">
        <f t="shared" si="229"/>
        <v>1.9279875097574002</v>
      </c>
      <c r="Y579" s="337">
        <f t="shared" si="230"/>
        <v>-27.6990503081607</v>
      </c>
      <c r="AA579" s="336">
        <f t="shared" si="231"/>
        <v>-12.561335843183306</v>
      </c>
      <c r="AB579" s="337">
        <f t="shared" si="232"/>
        <v>-129.16893753270529</v>
      </c>
      <c r="AD579">
        <f t="shared" si="236"/>
        <v>0</v>
      </c>
      <c r="AE579">
        <f t="shared" si="239"/>
        <v>0</v>
      </c>
    </row>
    <row r="580" spans="1:31" x14ac:dyDescent="0.25">
      <c r="A580" s="338">
        <v>108400</v>
      </c>
      <c r="B580" s="355">
        <f t="shared" si="233"/>
        <v>108.4</v>
      </c>
      <c r="C580" s="328">
        <f t="shared" si="214"/>
        <v>24.348068309040357</v>
      </c>
      <c r="D580" s="329">
        <f t="shared" si="215"/>
        <v>1.5297137514120625</v>
      </c>
      <c r="E580" s="329">
        <f t="shared" si="216"/>
        <v>1.0010098501741622</v>
      </c>
      <c r="F580" s="330">
        <f t="shared" si="217"/>
        <v>4.4922178814171619E-2</v>
      </c>
      <c r="G580" s="329">
        <f t="shared" si="218"/>
        <v>1</v>
      </c>
      <c r="H580" s="330">
        <f t="shared" si="219"/>
        <v>0</v>
      </c>
      <c r="I580" s="328">
        <f t="shared" si="220"/>
        <v>236916.14328232699</v>
      </c>
      <c r="J580" s="331">
        <f t="shared" si="221"/>
        <v>1.5707921058921495</v>
      </c>
      <c r="K580" s="339">
        <f t="shared" si="237"/>
        <v>30.523413825983159</v>
      </c>
      <c r="L580" s="340">
        <f t="shared" si="238"/>
        <v>1.5380287281013549</v>
      </c>
      <c r="M580" s="328">
        <f t="shared" si="222"/>
        <v>1.1131834280845925</v>
      </c>
      <c r="N580" s="331">
        <f t="shared" si="223"/>
        <v>0.45485543852628596</v>
      </c>
      <c r="O580" s="332">
        <f t="shared" si="224"/>
        <v>1.0641390580990309</v>
      </c>
      <c r="P580" s="333">
        <f t="shared" si="225"/>
        <v>0.77905221258475521</v>
      </c>
      <c r="Q580" s="334">
        <f t="shared" si="226"/>
        <v>-10.769829838107565</v>
      </c>
      <c r="R580" s="335">
        <f t="shared" si="227"/>
        <v>-157.64719473415838</v>
      </c>
      <c r="S580" s="337">
        <f t="shared" si="228"/>
        <v>22.352805265841624</v>
      </c>
      <c r="U580" s="310">
        <f t="shared" si="234"/>
        <v>108400</v>
      </c>
      <c r="V580" s="310">
        <f t="shared" si="235"/>
        <v>11750560000</v>
      </c>
      <c r="X580" s="336">
        <f t="shared" si="229"/>
        <v>1.908614707191246</v>
      </c>
      <c r="Y580" s="337">
        <f t="shared" si="230"/>
        <v>-27.938500218058021</v>
      </c>
      <c r="AA580" s="336">
        <f t="shared" si="231"/>
        <v>-12.678444545298813</v>
      </c>
      <c r="AB580" s="337">
        <f t="shared" si="232"/>
        <v>-129.70869451610037</v>
      </c>
      <c r="AD580">
        <f t="shared" si="236"/>
        <v>0</v>
      </c>
      <c r="AE580">
        <f t="shared" si="239"/>
        <v>0</v>
      </c>
    </row>
    <row r="581" spans="1:31" x14ac:dyDescent="0.25">
      <c r="A581" s="338">
        <v>109650</v>
      </c>
      <c r="B581" s="355">
        <f t="shared" si="233"/>
        <v>109.65</v>
      </c>
      <c r="C581" s="328">
        <f t="shared" si="214"/>
        <v>24.628363869483056</v>
      </c>
      <c r="D581" s="329">
        <f t="shared" si="215"/>
        <v>1.5301815711978684</v>
      </c>
      <c r="E581" s="329">
        <f t="shared" si="216"/>
        <v>1.0010332622695768</v>
      </c>
      <c r="F581" s="330">
        <f t="shared" si="217"/>
        <v>4.5439484171750595E-2</v>
      </c>
      <c r="G581" s="329">
        <f t="shared" si="218"/>
        <v>1</v>
      </c>
      <c r="H581" s="330">
        <f t="shared" si="219"/>
        <v>0</v>
      </c>
      <c r="I581" s="328">
        <f t="shared" si="220"/>
        <v>239648.10987916891</v>
      </c>
      <c r="J581" s="331">
        <f t="shared" si="221"/>
        <v>1.570792154010056</v>
      </c>
      <c r="K581" s="339">
        <f t="shared" si="237"/>
        <v>30.875014824980621</v>
      </c>
      <c r="L581" s="340">
        <f t="shared" si="238"/>
        <v>1.5384020129563605</v>
      </c>
      <c r="M581" s="328">
        <f t="shared" si="222"/>
        <v>1.1156725465897865</v>
      </c>
      <c r="N581" s="331">
        <f t="shared" si="223"/>
        <v>0.45939630534381598</v>
      </c>
      <c r="O581" s="332">
        <f t="shared" si="224"/>
        <v>1.0662372054319813</v>
      </c>
      <c r="P581" s="333">
        <f t="shared" si="225"/>
        <v>0.78851711953910664</v>
      </c>
      <c r="Q581" s="334">
        <f t="shared" si="226"/>
        <v>-10.905662625855006</v>
      </c>
      <c r="R581" s="335">
        <f t="shared" si="227"/>
        <v>-158.42544625678715</v>
      </c>
      <c r="S581" s="337">
        <f t="shared" si="228"/>
        <v>21.574553743212846</v>
      </c>
      <c r="U581" s="310">
        <f t="shared" si="234"/>
        <v>109650</v>
      </c>
      <c r="V581" s="310">
        <f t="shared" si="235"/>
        <v>12023122500</v>
      </c>
      <c r="X581" s="336">
        <f t="shared" si="229"/>
        <v>1.8891087498460517</v>
      </c>
      <c r="Y581" s="337">
        <f t="shared" si="230"/>
        <v>-28.17728783251135</v>
      </c>
      <c r="AA581" s="336">
        <f t="shared" si="231"/>
        <v>-12.794771375701057</v>
      </c>
      <c r="AB581" s="337">
        <f t="shared" si="232"/>
        <v>-130.24815842427577</v>
      </c>
      <c r="AD581">
        <f t="shared" si="236"/>
        <v>0</v>
      </c>
      <c r="AE581">
        <f t="shared" si="239"/>
        <v>0</v>
      </c>
    </row>
    <row r="582" spans="1:31" x14ac:dyDescent="0.25">
      <c r="A582" s="338">
        <v>110925</v>
      </c>
      <c r="B582" s="355">
        <f t="shared" si="233"/>
        <v>110.925</v>
      </c>
      <c r="C582" s="328">
        <f t="shared" si="214"/>
        <v>24.914270767770084</v>
      </c>
      <c r="D582" s="329">
        <f t="shared" si="215"/>
        <v>1.5306479030591837</v>
      </c>
      <c r="E582" s="329">
        <f t="shared" si="216"/>
        <v>1.0010574185651733</v>
      </c>
      <c r="F582" s="330">
        <f t="shared" si="217"/>
        <v>4.5967110564411016E-2</v>
      </c>
      <c r="G582" s="329">
        <f t="shared" si="218"/>
        <v>1</v>
      </c>
      <c r="H582" s="330">
        <f t="shared" si="219"/>
        <v>0</v>
      </c>
      <c r="I582" s="328">
        <f t="shared" si="220"/>
        <v>242434.71580794823</v>
      </c>
      <c r="J582" s="331">
        <f t="shared" si="221"/>
        <v>1.5707922019731</v>
      </c>
      <c r="K582" s="339">
        <f t="shared" si="237"/>
        <v>31.233652175273537</v>
      </c>
      <c r="L582" s="340">
        <f t="shared" si="238"/>
        <v>1.5387741054225073</v>
      </c>
      <c r="M582" s="328">
        <f t="shared" si="222"/>
        <v>1.1182350399285665</v>
      </c>
      <c r="N582" s="331">
        <f t="shared" si="223"/>
        <v>0.4640070664179925</v>
      </c>
      <c r="O582" s="332">
        <f t="shared" si="224"/>
        <v>1.0684288929247587</v>
      </c>
      <c r="P582" s="333">
        <f t="shared" si="225"/>
        <v>0.79817672747718671</v>
      </c>
      <c r="Q582" s="334">
        <f t="shared" si="226"/>
        <v>-11.043572357646118</v>
      </c>
      <c r="R582" s="335">
        <f t="shared" si="227"/>
        <v>-159.21824967641746</v>
      </c>
      <c r="S582" s="337">
        <f t="shared" si="228"/>
        <v>20.781750323582543</v>
      </c>
      <c r="U582" s="310">
        <f t="shared" si="234"/>
        <v>110925</v>
      </c>
      <c r="V582" s="310">
        <f t="shared" si="235"/>
        <v>12304355625</v>
      </c>
      <c r="X582" s="336">
        <f t="shared" si="229"/>
        <v>1.8690776129448692</v>
      </c>
      <c r="Y582" s="337">
        <f t="shared" si="230"/>
        <v>-28.420148402863539</v>
      </c>
      <c r="AA582" s="336">
        <f t="shared" si="231"/>
        <v>-12.912649970590987</v>
      </c>
      <c r="AB582" s="337">
        <f t="shared" si="232"/>
        <v>-130.79810127355393</v>
      </c>
      <c r="AD582">
        <f t="shared" si="236"/>
        <v>0</v>
      </c>
      <c r="AE582">
        <f t="shared" si="239"/>
        <v>0</v>
      </c>
    </row>
    <row r="583" spans="1:31" x14ac:dyDescent="0.25">
      <c r="A583" s="338">
        <v>112200</v>
      </c>
      <c r="B583" s="355">
        <f t="shared" si="233"/>
        <v>112.2</v>
      </c>
      <c r="C583" s="328">
        <f t="shared" si="214"/>
        <v>25.200182961109522</v>
      </c>
      <c r="D583" s="329">
        <f t="shared" si="215"/>
        <v>1.5311036533512929</v>
      </c>
      <c r="E583" s="329">
        <f t="shared" si="216"/>
        <v>1.0010818535312596</v>
      </c>
      <c r="F583" s="330">
        <f t="shared" si="217"/>
        <v>4.6494711346743572E-2</v>
      </c>
      <c r="G583" s="329">
        <f t="shared" si="218"/>
        <v>1</v>
      </c>
      <c r="H583" s="330">
        <f t="shared" si="219"/>
        <v>0</v>
      </c>
      <c r="I583" s="328">
        <f t="shared" si="220"/>
        <v>245221.32173672807</v>
      </c>
      <c r="J583" s="331">
        <f t="shared" si="221"/>
        <v>1.570792248846075</v>
      </c>
      <c r="K583" s="339">
        <f t="shared" si="237"/>
        <v>31.592293751771486</v>
      </c>
      <c r="L583" s="340">
        <f t="shared" si="238"/>
        <v>1.5391377498127157</v>
      </c>
      <c r="M583" s="328">
        <f t="shared" si="222"/>
        <v>1.120821196962331</v>
      </c>
      <c r="N583" s="331">
        <f t="shared" si="223"/>
        <v>0.468596647161305</v>
      </c>
      <c r="O583" s="332">
        <f t="shared" si="224"/>
        <v>1.0706734370692024</v>
      </c>
      <c r="P583" s="333">
        <f t="shared" si="225"/>
        <v>0.80784124012382119</v>
      </c>
      <c r="Q583" s="334">
        <f t="shared" si="226"/>
        <v>-11.180864091138492</v>
      </c>
      <c r="R583" s="335">
        <f t="shared" si="227"/>
        <v>-160.00999973632679</v>
      </c>
      <c r="S583" s="337">
        <f t="shared" si="228"/>
        <v>19.99000026367321</v>
      </c>
      <c r="U583" s="310">
        <f t="shared" si="234"/>
        <v>112200</v>
      </c>
      <c r="V583" s="310">
        <f t="shared" si="235"/>
        <v>12588840000</v>
      </c>
      <c r="X583" s="336">
        <f t="shared" si="229"/>
        <v>1.8489122293958462</v>
      </c>
      <c r="Y583" s="337">
        <f t="shared" si="230"/>
        <v>-28.662279406287627</v>
      </c>
      <c r="AA583" s="336">
        <f t="shared" si="231"/>
        <v>-13.029776320534335</v>
      </c>
      <c r="AB583" s="337">
        <f t="shared" si="232"/>
        <v>-131.34772033003915</v>
      </c>
      <c r="AD583">
        <f t="shared" si="236"/>
        <v>0</v>
      </c>
      <c r="AE583">
        <f t="shared" si="239"/>
        <v>0</v>
      </c>
    </row>
    <row r="584" spans="1:31" x14ac:dyDescent="0.25">
      <c r="A584" s="338">
        <v>113510</v>
      </c>
      <c r="B584" s="355">
        <f t="shared" si="233"/>
        <v>113.51</v>
      </c>
      <c r="C584" s="328">
        <f t="shared" si="214"/>
        <v>25.493949052290095</v>
      </c>
      <c r="D584" s="329">
        <f t="shared" si="215"/>
        <v>1.5315612671727992</v>
      </c>
      <c r="E584" s="329">
        <f t="shared" si="216"/>
        <v>1.0011072494898257</v>
      </c>
      <c r="F584" s="330">
        <f t="shared" si="217"/>
        <v>4.7036768306536324E-2</v>
      </c>
      <c r="G584" s="329">
        <f t="shared" si="218"/>
        <v>1</v>
      </c>
      <c r="H584" s="330">
        <f t="shared" si="219"/>
        <v>0</v>
      </c>
      <c r="I584" s="328">
        <f t="shared" si="220"/>
        <v>248084.42273022007</v>
      </c>
      <c r="J584" s="331">
        <f t="shared" si="221"/>
        <v>1.570792295909003</v>
      </c>
      <c r="K584" s="339">
        <f t="shared" si="237"/>
        <v>31.960784643432998</v>
      </c>
      <c r="L584" s="340">
        <f t="shared" si="238"/>
        <v>1.539502876300868</v>
      </c>
      <c r="M584" s="328">
        <f t="shared" si="222"/>
        <v>1.1235028217697958</v>
      </c>
      <c r="N584" s="331">
        <f t="shared" si="223"/>
        <v>0.47329010720103631</v>
      </c>
      <c r="O584" s="332">
        <f t="shared" si="224"/>
        <v>1.0730354608465018</v>
      </c>
      <c r="P584" s="333">
        <f t="shared" si="225"/>
        <v>0.81777556273109753</v>
      </c>
      <c r="Q584" s="334">
        <f t="shared" si="226"/>
        <v>-11.321309558017278</v>
      </c>
      <c r="R584" s="335">
        <f t="shared" si="227"/>
        <v>-160.82235420087824</v>
      </c>
      <c r="S584" s="337">
        <f t="shared" si="228"/>
        <v>19.177645799121763</v>
      </c>
      <c r="U584" s="310">
        <f t="shared" si="234"/>
        <v>113510</v>
      </c>
      <c r="V584" s="310">
        <f t="shared" si="235"/>
        <v>12884520100</v>
      </c>
      <c r="X584" s="336">
        <f t="shared" si="229"/>
        <v>1.8280557359962557</v>
      </c>
      <c r="Y584" s="337">
        <f t="shared" si="230"/>
        <v>-28.910277347908508</v>
      </c>
      <c r="AA584" s="336">
        <f t="shared" si="231"/>
        <v>-13.149365294013535</v>
      </c>
      <c r="AB584" s="337">
        <f t="shared" si="232"/>
        <v>-131.91207685296973</v>
      </c>
      <c r="AD584">
        <f t="shared" si="236"/>
        <v>0</v>
      </c>
      <c r="AE584">
        <f t="shared" si="239"/>
        <v>0</v>
      </c>
    </row>
    <row r="585" spans="1:31" x14ac:dyDescent="0.25">
      <c r="A585" s="338">
        <v>114820</v>
      </c>
      <c r="B585" s="355">
        <f t="shared" si="233"/>
        <v>114.82</v>
      </c>
      <c r="C585" s="328">
        <f t="shared" si="214"/>
        <v>25.787720360534593</v>
      </c>
      <c r="D585" s="329">
        <f t="shared" si="215"/>
        <v>1.5320084548981245</v>
      </c>
      <c r="E585" s="329">
        <f t="shared" si="216"/>
        <v>1.0011329395845039</v>
      </c>
      <c r="F585" s="330">
        <f t="shared" si="217"/>
        <v>4.757879760611302E-2</v>
      </c>
      <c r="G585" s="329">
        <f t="shared" si="218"/>
        <v>1</v>
      </c>
      <c r="H585" s="330">
        <f t="shared" si="219"/>
        <v>0</v>
      </c>
      <c r="I585" s="328">
        <f t="shared" si="220"/>
        <v>250947.5237237126</v>
      </c>
      <c r="J585" s="331">
        <f t="shared" si="221"/>
        <v>1.5707923418980339</v>
      </c>
      <c r="K585" s="339">
        <f t="shared" si="237"/>
        <v>32.329279698888804</v>
      </c>
      <c r="L585" s="340">
        <f t="shared" si="238"/>
        <v>1.5398596792784212</v>
      </c>
      <c r="M585" s="328">
        <f t="shared" si="222"/>
        <v>1.1262090775566538</v>
      </c>
      <c r="N585" s="331">
        <f t="shared" si="223"/>
        <v>0.47796111316263223</v>
      </c>
      <c r="O585" s="332">
        <f t="shared" si="224"/>
        <v>1.0754549336930017</v>
      </c>
      <c r="P585" s="333">
        <f t="shared" si="225"/>
        <v>0.82771382806505411</v>
      </c>
      <c r="Q585" s="334">
        <f t="shared" si="226"/>
        <v>-11.461159855666608</v>
      </c>
      <c r="R585" s="335">
        <f t="shared" si="227"/>
        <v>-161.63352909712074</v>
      </c>
      <c r="S585" s="337">
        <f t="shared" si="228"/>
        <v>18.366470902879257</v>
      </c>
      <c r="U585" s="310">
        <f t="shared" si="234"/>
        <v>114820</v>
      </c>
      <c r="V585" s="310">
        <f t="shared" si="235"/>
        <v>13183632400</v>
      </c>
      <c r="X585" s="336">
        <f t="shared" si="229"/>
        <v>1.8070621540233129</v>
      </c>
      <c r="Y585" s="337">
        <f t="shared" si="230"/>
        <v>-29.157465606116716</v>
      </c>
      <c r="AA585" s="336">
        <f t="shared" si="231"/>
        <v>-13.268222009689921</v>
      </c>
      <c r="AB585" s="337">
        <f t="shared" si="232"/>
        <v>-132.47606349100411</v>
      </c>
      <c r="AD585">
        <f t="shared" si="236"/>
        <v>0</v>
      </c>
      <c r="AE585">
        <f t="shared" si="239"/>
        <v>0</v>
      </c>
    </row>
    <row r="586" spans="1:31" x14ac:dyDescent="0.25">
      <c r="A586" s="338">
        <v>116155</v>
      </c>
      <c r="B586" s="355">
        <f t="shared" si="233"/>
        <v>116.155</v>
      </c>
      <c r="C586" s="328">
        <f t="shared" si="214"/>
        <v>26.087103176331215</v>
      </c>
      <c r="D586" s="329">
        <f t="shared" si="215"/>
        <v>1.5324538147890217</v>
      </c>
      <c r="E586" s="329">
        <f t="shared" si="216"/>
        <v>1.0011594225343206</v>
      </c>
      <c r="F586" s="330">
        <f t="shared" si="217"/>
        <v>4.8131142191705813E-2</v>
      </c>
      <c r="G586" s="329">
        <f t="shared" si="218"/>
        <v>1</v>
      </c>
      <c r="H586" s="330">
        <f t="shared" si="219"/>
        <v>0</v>
      </c>
      <c r="I586" s="328">
        <f t="shared" si="220"/>
        <v>253865.26404914254</v>
      </c>
      <c r="J586" s="331">
        <f t="shared" si="221"/>
        <v>1.5707923876975027</v>
      </c>
      <c r="K586" s="339">
        <f t="shared" si="237"/>
        <v>32.704811240756392</v>
      </c>
      <c r="L586" s="340">
        <f t="shared" si="238"/>
        <v>1.5402150193829822</v>
      </c>
      <c r="M586" s="328">
        <f t="shared" si="222"/>
        <v>1.1289921366010662</v>
      </c>
      <c r="N586" s="331">
        <f t="shared" si="223"/>
        <v>0.48269811645963129</v>
      </c>
      <c r="O586" s="332">
        <f t="shared" si="224"/>
        <v>1.0779805460170961</v>
      </c>
      <c r="P586" s="333">
        <f t="shared" si="225"/>
        <v>0.83784513939406091</v>
      </c>
      <c r="Q586" s="334">
        <f t="shared" si="226"/>
        <v>-11.603095144207142</v>
      </c>
      <c r="R586" s="335">
        <f t="shared" si="227"/>
        <v>-162.45893413896135</v>
      </c>
      <c r="S586" s="337">
        <f t="shared" si="228"/>
        <v>17.541065861038646</v>
      </c>
      <c r="U586" s="310">
        <f t="shared" si="234"/>
        <v>116155</v>
      </c>
      <c r="V586" s="310">
        <f t="shared" si="235"/>
        <v>13491984025</v>
      </c>
      <c r="X586" s="336">
        <f t="shared" si="229"/>
        <v>1.7855293175076583</v>
      </c>
      <c r="Y586" s="337">
        <f t="shared" si="230"/>
        <v>-29.408519038694365</v>
      </c>
      <c r="AA586" s="336">
        <f t="shared" si="231"/>
        <v>-13.388624461714802</v>
      </c>
      <c r="AB586" s="337">
        <f t="shared" si="232"/>
        <v>-133.050415100267</v>
      </c>
      <c r="AD586">
        <f t="shared" si="236"/>
        <v>0</v>
      </c>
      <c r="AE586">
        <f t="shared" si="239"/>
        <v>0</v>
      </c>
    </row>
    <row r="587" spans="1:31" x14ac:dyDescent="0.25">
      <c r="A587" s="338">
        <v>117490</v>
      </c>
      <c r="B587" s="355">
        <f t="shared" si="233"/>
        <v>117.49</v>
      </c>
      <c r="C587" s="328">
        <f t="shared" si="214"/>
        <v>26.386491048970083</v>
      </c>
      <c r="D587" s="329">
        <f t="shared" si="215"/>
        <v>1.5328890684302849</v>
      </c>
      <c r="E587" s="329">
        <f t="shared" si="216"/>
        <v>1.0011862109061873</v>
      </c>
      <c r="F587" s="330">
        <f t="shared" si="217"/>
        <v>4.8683457388031384E-2</v>
      </c>
      <c r="G587" s="329">
        <f t="shared" si="218"/>
        <v>1</v>
      </c>
      <c r="H587" s="330">
        <f t="shared" si="219"/>
        <v>0</v>
      </c>
      <c r="I587" s="328">
        <f t="shared" si="220"/>
        <v>256783.00437457301</v>
      </c>
      <c r="J587" s="331">
        <f t="shared" si="221"/>
        <v>1.5707924324561633</v>
      </c>
      <c r="K587" s="339">
        <f t="shared" si="237"/>
        <v>33.080346818391071</v>
      </c>
      <c r="L587" s="340">
        <f t="shared" si="238"/>
        <v>1.5405622917281243</v>
      </c>
      <c r="M587" s="328">
        <f t="shared" si="222"/>
        <v>1.1318004044061032</v>
      </c>
      <c r="N587" s="331">
        <f t="shared" si="223"/>
        <v>0.48741171781202713</v>
      </c>
      <c r="O587" s="332">
        <f t="shared" si="224"/>
        <v>1.08056756417018</v>
      </c>
      <c r="P587" s="333">
        <f t="shared" si="225"/>
        <v>0.84797916880363422</v>
      </c>
      <c r="Q587" s="334">
        <f t="shared" si="226"/>
        <v>-11.744468801695389</v>
      </c>
      <c r="R587" s="335">
        <f t="shared" si="227"/>
        <v>-163.28303891004828</v>
      </c>
      <c r="S587" s="337">
        <f t="shared" si="228"/>
        <v>16.716961089951724</v>
      </c>
      <c r="U587" s="310">
        <f t="shared" si="234"/>
        <v>117490</v>
      </c>
      <c r="V587" s="310">
        <f t="shared" si="235"/>
        <v>13803900100</v>
      </c>
      <c r="X587" s="336">
        <f t="shared" si="229"/>
        <v>1.7638590146320652</v>
      </c>
      <c r="Y587" s="337">
        <f t="shared" si="230"/>
        <v>-29.658693827543765</v>
      </c>
      <c r="AA587" s="336">
        <f t="shared" si="231"/>
        <v>-13.508327816327455</v>
      </c>
      <c r="AB587" s="337">
        <f t="shared" si="232"/>
        <v>-133.62434508250448</v>
      </c>
      <c r="AD587">
        <f t="shared" si="236"/>
        <v>0</v>
      </c>
      <c r="AE587">
        <f t="shared" si="239"/>
        <v>0</v>
      </c>
    </row>
    <row r="588" spans="1:31" x14ac:dyDescent="0.25">
      <c r="A588" s="338">
        <v>118860</v>
      </c>
      <c r="B588" s="355">
        <f t="shared" si="233"/>
        <v>118.86</v>
      </c>
      <c r="C588" s="328">
        <f t="shared" si="214"/>
        <v>26.693733120867034</v>
      </c>
      <c r="D588" s="329">
        <f t="shared" si="215"/>
        <v>1.5333255825098915</v>
      </c>
      <c r="E588" s="329">
        <f t="shared" si="216"/>
        <v>1.0012140191072014</v>
      </c>
      <c r="F588" s="330">
        <f t="shared" si="217"/>
        <v>4.9250221852008461E-2</v>
      </c>
      <c r="G588" s="329">
        <f t="shared" si="218"/>
        <v>1</v>
      </c>
      <c r="H588" s="330">
        <f t="shared" si="219"/>
        <v>0</v>
      </c>
      <c r="I588" s="328">
        <f t="shared" si="220"/>
        <v>259777.23976471569</v>
      </c>
      <c r="J588" s="331">
        <f t="shared" si="221"/>
        <v>1.5707924773429549</v>
      </c>
      <c r="K588" s="339">
        <f t="shared" si="237"/>
        <v>33.465731951439089</v>
      </c>
      <c r="L588" s="340">
        <f t="shared" si="238"/>
        <v>1.5409105655406132</v>
      </c>
      <c r="M588" s="328">
        <f t="shared" si="222"/>
        <v>1.1347083096867929</v>
      </c>
      <c r="N588" s="331">
        <f t="shared" si="223"/>
        <v>0.49222452985636622</v>
      </c>
      <c r="O588" s="332">
        <f t="shared" si="224"/>
        <v>1.0832871656383471</v>
      </c>
      <c r="P588" s="333">
        <f t="shared" si="225"/>
        <v>0.85838095690017135</v>
      </c>
      <c r="Q588" s="334">
        <f t="shared" si="226"/>
        <v>-11.888993215985149</v>
      </c>
      <c r="R588" s="335">
        <f t="shared" si="227"/>
        <v>-164.12735644101318</v>
      </c>
      <c r="S588" s="337">
        <f t="shared" si="228"/>
        <v>15.872643558986823</v>
      </c>
      <c r="U588" s="310">
        <f t="shared" si="234"/>
        <v>118860</v>
      </c>
      <c r="V588" s="310">
        <f t="shared" si="235"/>
        <v>14127699600</v>
      </c>
      <c r="X588" s="336">
        <f t="shared" si="229"/>
        <v>1.7414802436362367</v>
      </c>
      <c r="Y588" s="337">
        <f t="shared" si="230"/>
        <v>-29.914495597819592</v>
      </c>
      <c r="AA588" s="336">
        <f t="shared" si="231"/>
        <v>-13.630473459621385</v>
      </c>
      <c r="AB588" s="337">
        <f t="shared" si="232"/>
        <v>-134.21286084319357</v>
      </c>
      <c r="AD588">
        <f t="shared" si="236"/>
        <v>0</v>
      </c>
      <c r="AE588">
        <f t="shared" si="239"/>
        <v>0</v>
      </c>
    </row>
    <row r="589" spans="1:31" x14ac:dyDescent="0.25">
      <c r="A589" s="338">
        <v>120230</v>
      </c>
      <c r="B589" s="355">
        <f t="shared" si="233"/>
        <v>120.23</v>
      </c>
      <c r="C589" s="328">
        <f t="shared" ref="C589:C613" si="240">SQRT(1+(A589/pole1)^2)</f>
        <v>27.00098016335431</v>
      </c>
      <c r="D589" s="329">
        <f t="shared" ref="D589:D613" si="241">ATAN(A589/pole1)</f>
        <v>1.5337521623884049</v>
      </c>
      <c r="E589" s="329">
        <f t="shared" ref="E589:E613" si="242">SQRT(1+(A589/Zero1)^2)</f>
        <v>1.0012421489022176</v>
      </c>
      <c r="F589" s="330">
        <f t="shared" ref="F589:F613" si="243">ATAN(A589/Zero1)</f>
        <v>4.981695465164563E-2</v>
      </c>
      <c r="G589" s="329">
        <f t="shared" ref="G589:G613" si="244">IF(VIN_nom&gt;Vout, 1, SQRT(1+(A589/z_RHP)^2))</f>
        <v>1</v>
      </c>
      <c r="H589" s="330">
        <f t="shared" ref="H589:H613" si="245">IF(VIN_nom&gt;Vout, 0, -ATAN(A589/z_RHP))</f>
        <v>0</v>
      </c>
      <c r="I589" s="328">
        <f t="shared" ref="I589:I613" si="246">SQRT(1+(A589/Pole2)^2)</f>
        <v>262771.47515485884</v>
      </c>
      <c r="J589" s="331">
        <f t="shared" ref="J589:J613" si="247">ATAN(A589/Pole2)</f>
        <v>1.5707925212067924</v>
      </c>
      <c r="K589" s="339">
        <f t="shared" si="237"/>
        <v>33.851121051275086</v>
      </c>
      <c r="L589" s="340">
        <f t="shared" si="238"/>
        <v>1.5412509093205713</v>
      </c>
      <c r="M589" s="328">
        <f t="shared" ref="M589:M613" si="248">SQRT(1+(A589/pole4)^2)</f>
        <v>1.1376423636781561</v>
      </c>
      <c r="N589" s="331">
        <f t="shared" ref="N589:N613" si="249">ATAN(A589/pole4)</f>
        <v>0.49701262722035894</v>
      </c>
      <c r="O589" s="332">
        <f t="shared" ref="O589:O613" si="250">SQRT((1-(V589/pterm2))^2+(A589/pterm1)^2)</f>
        <v>1.0860732963751394</v>
      </c>
      <c r="P589" s="333">
        <f t="shared" ref="P589:P613" si="251">IF((ATAN((A589/pterm1)/(1-A589^2/pterm2))&gt;0),ATAN((A589/pterm1)/(1-A589^2/pterm2)),PI()+ATAN((A589/pterm1)/(1-A589^2/pterm2)))</f>
        <v>0.86878405824848959</v>
      </c>
      <c r="Q589" s="334">
        <f t="shared" ref="Q589:Q613" si="252">20*LOG10(((E589*K589*G589)/(C589*I589*O589*M589))*Adc)</f>
        <v>-12.032982538100882</v>
      </c>
      <c r="R589" s="335">
        <f t="shared" ref="R589:R613" si="253">((F589+L589+H589)-(D589+J589+P589+N589))*radconv</f>
        <v>-164.97022009410705</v>
      </c>
      <c r="S589" s="337">
        <f t="shared" ref="S589:S613" si="254">IF(R589&gt;0,R589,R589+180)</f>
        <v>15.029779905892951</v>
      </c>
      <c r="U589" s="310">
        <f t="shared" si="234"/>
        <v>120230</v>
      </c>
      <c r="V589" s="310">
        <f t="shared" si="235"/>
        <v>14455252900</v>
      </c>
      <c r="X589" s="336">
        <f t="shared" ref="X589:X613" si="255">20*LOG10((K589/(I589*M589))*AEA*Afb)</f>
        <v>1.7189619587596341</v>
      </c>
      <c r="Y589" s="337">
        <f t="shared" ref="Y589:Y617" si="256">(L589-(J589+N589))*radconv</f>
        <v>-30.169335620002929</v>
      </c>
      <c r="AA589" s="336">
        <f t="shared" ref="AA589:AA613" si="257">20*LOG10((E589*G589/(C589*O589))*Am)</f>
        <v>-13.751944496860517</v>
      </c>
      <c r="AB589" s="337">
        <f t="shared" ref="AB589:AB613" si="258">(F589+H589-(D589+P589))*radconv</f>
        <v>-134.80088447410415</v>
      </c>
      <c r="AD589">
        <f t="shared" si="236"/>
        <v>0</v>
      </c>
      <c r="AE589">
        <f t="shared" si="239"/>
        <v>0</v>
      </c>
    </row>
    <row r="590" spans="1:31" x14ac:dyDescent="0.25">
      <c r="A590" s="338">
        <v>126030</v>
      </c>
      <c r="B590" s="355">
        <f t="shared" ref="B590:B613" si="259">A590/1000</f>
        <v>126.03</v>
      </c>
      <c r="C590" s="328">
        <f t="shared" si="240"/>
        <v>28.301785405416016</v>
      </c>
      <c r="D590" s="329">
        <f t="shared" si="241"/>
        <v>1.5354555107219257</v>
      </c>
      <c r="E590" s="329">
        <f t="shared" si="242"/>
        <v>1.0013648006543199</v>
      </c>
      <c r="F590" s="330">
        <f t="shared" si="243"/>
        <v>5.2215902289076882E-2</v>
      </c>
      <c r="G590" s="329">
        <f t="shared" si="244"/>
        <v>1</v>
      </c>
      <c r="H590" s="330">
        <f t="shared" si="245"/>
        <v>0</v>
      </c>
      <c r="I590" s="328">
        <f t="shared" si="246"/>
        <v>275447.80016422935</v>
      </c>
      <c r="J590" s="331">
        <f t="shared" si="247"/>
        <v>1.5707926963429584</v>
      </c>
      <c r="K590" s="339">
        <f t="shared" si="237"/>
        <v>35.4827363127608</v>
      </c>
      <c r="L590" s="340">
        <f t="shared" si="238"/>
        <v>1.5426098753292328</v>
      </c>
      <c r="M590" s="328">
        <f t="shared" si="248"/>
        <v>1.1503489523760737</v>
      </c>
      <c r="N590" s="331">
        <f t="shared" si="249"/>
        <v>0.51700905030457456</v>
      </c>
      <c r="O590" s="332">
        <f t="shared" si="250"/>
        <v>1.0986270533526517</v>
      </c>
      <c r="P590" s="333">
        <f t="shared" si="251"/>
        <v>0.91282203440598697</v>
      </c>
      <c r="Q590" s="334">
        <f t="shared" si="252"/>
        <v>-12.637245462259891</v>
      </c>
      <c r="R590" s="335">
        <f t="shared" si="253"/>
        <v>-168.52141303178959</v>
      </c>
      <c r="S590" s="337">
        <f t="shared" si="254"/>
        <v>11.478586968210408</v>
      </c>
      <c r="U590" s="310">
        <f t="shared" ref="U590:U613" si="260">IF(Q590&lt;0,A590,1000000000)</f>
        <v>126030</v>
      </c>
      <c r="V590" s="310">
        <f t="shared" ref="V590:V613" si="261">A590^2</f>
        <v>15883560900</v>
      </c>
      <c r="X590" s="336">
        <f t="shared" si="255"/>
        <v>1.6221442292890267</v>
      </c>
      <c r="Y590" s="337">
        <f t="shared" si="256"/>
        <v>-31.237193287071772</v>
      </c>
      <c r="AA590" s="336">
        <f t="shared" si="257"/>
        <v>-14.259389691548916</v>
      </c>
      <c r="AB590" s="337">
        <f t="shared" si="258"/>
        <v>-137.28421974471783</v>
      </c>
      <c r="AD590">
        <f t="shared" ref="AD590:AD613" si="262">SUM((Q591&lt;0)*(Q590&gt;0))*A590</f>
        <v>0</v>
      </c>
      <c r="AE590">
        <f t="shared" si="239"/>
        <v>0</v>
      </c>
    </row>
    <row r="591" spans="1:31" x14ac:dyDescent="0.25">
      <c r="A591" s="338">
        <v>131830</v>
      </c>
      <c r="B591" s="355">
        <f t="shared" si="259"/>
        <v>131.83000000000001</v>
      </c>
      <c r="C591" s="328">
        <f t="shared" si="240"/>
        <v>29.602665545427428</v>
      </c>
      <c r="D591" s="329">
        <f t="shared" si="241"/>
        <v>1.5370091569892403</v>
      </c>
      <c r="E591" s="329">
        <f t="shared" si="242"/>
        <v>1.0014932137796773</v>
      </c>
      <c r="F591" s="330">
        <f t="shared" si="243"/>
        <v>5.4614248531869317E-2</v>
      </c>
      <c r="G591" s="329">
        <f t="shared" si="244"/>
        <v>1</v>
      </c>
      <c r="H591" s="330">
        <f t="shared" si="245"/>
        <v>0</v>
      </c>
      <c r="I591" s="328">
        <f t="shared" si="246"/>
        <v>288124.12517360755</v>
      </c>
      <c r="J591" s="331">
        <f t="shared" si="247"/>
        <v>1.5707928560685234</v>
      </c>
      <c r="K591" s="339">
        <f t="shared" si="237"/>
        <v>37.114411341741494</v>
      </c>
      <c r="L591" s="340">
        <f t="shared" si="238"/>
        <v>1.5438493539797142</v>
      </c>
      <c r="M591" s="328">
        <f t="shared" si="248"/>
        <v>1.1635053634856376</v>
      </c>
      <c r="N591" s="331">
        <f t="shared" si="249"/>
        <v>0.53656092524795207</v>
      </c>
      <c r="O591" s="332">
        <f t="shared" si="250"/>
        <v>1.1124595449621186</v>
      </c>
      <c r="P591" s="333">
        <f t="shared" si="251"/>
        <v>0.9568044556732358</v>
      </c>
      <c r="Q591" s="334">
        <f t="shared" si="252"/>
        <v>-13.234222741141103</v>
      </c>
      <c r="R591" s="335">
        <f t="shared" si="253"/>
        <v>-172.04225457559752</v>
      </c>
      <c r="S591" s="337">
        <f t="shared" si="254"/>
        <v>7.957745424402475</v>
      </c>
      <c r="U591" s="310">
        <f t="shared" si="260"/>
        <v>131830</v>
      </c>
      <c r="V591" s="310">
        <f t="shared" si="261"/>
        <v>17379148900</v>
      </c>
      <c r="X591" s="336">
        <f t="shared" si="255"/>
        <v>1.5230716053376472</v>
      </c>
      <c r="Y591" s="337">
        <f t="shared" si="256"/>
        <v>-32.286425460225402</v>
      </c>
      <c r="AA591" s="336">
        <f t="shared" si="257"/>
        <v>-14.757294346478755</v>
      </c>
      <c r="AB591" s="337">
        <f t="shared" si="258"/>
        <v>-139.75582911537217</v>
      </c>
      <c r="AD591">
        <f t="shared" si="262"/>
        <v>0</v>
      </c>
      <c r="AE591">
        <f t="shared" si="239"/>
        <v>0</v>
      </c>
    </row>
    <row r="592" spans="1:31" x14ac:dyDescent="0.25">
      <c r="A592" s="338">
        <v>144540</v>
      </c>
      <c r="B592" s="355">
        <f t="shared" si="259"/>
        <v>144.54</v>
      </c>
      <c r="C592" s="328">
        <f t="shared" si="240"/>
        <v>32.453605267540915</v>
      </c>
      <c r="D592" s="329">
        <f t="shared" si="241"/>
        <v>1.5399782311842838</v>
      </c>
      <c r="E592" s="329">
        <f t="shared" si="242"/>
        <v>1.001794750824335</v>
      </c>
      <c r="F592" s="330">
        <f t="shared" si="243"/>
        <v>5.9867698360821321E-2</v>
      </c>
      <c r="G592" s="329">
        <f t="shared" si="244"/>
        <v>1</v>
      </c>
      <c r="H592" s="330">
        <f t="shared" si="245"/>
        <v>0</v>
      </c>
      <c r="I592" s="328">
        <f t="shared" si="246"/>
        <v>315902.76153038815</v>
      </c>
      <c r="J592" s="331">
        <f t="shared" si="247"/>
        <v>1.5707931612638479</v>
      </c>
      <c r="K592" s="339">
        <f t="shared" si="237"/>
        <v>40.69020410749993</v>
      </c>
      <c r="L592" s="340">
        <f t="shared" si="238"/>
        <v>1.5462179126014393</v>
      </c>
      <c r="M592" s="328">
        <f t="shared" si="248"/>
        <v>1.1938355810126975</v>
      </c>
      <c r="N592" s="331">
        <f t="shared" si="249"/>
        <v>0.57785491191828631</v>
      </c>
      <c r="O592" s="332">
        <f t="shared" si="250"/>
        <v>1.1475670771590212</v>
      </c>
      <c r="P592" s="333">
        <f t="shared" si="251"/>
        <v>1.0526552876905755</v>
      </c>
      <c r="Q592" s="334">
        <f t="shared" si="252"/>
        <v>-14.524180324878644</v>
      </c>
      <c r="R592" s="335">
        <f t="shared" si="253"/>
        <v>-179.63349786836682</v>
      </c>
      <c r="S592" s="337">
        <f t="shared" si="254"/>
        <v>0.36650213163318313</v>
      </c>
      <c r="U592" s="310">
        <f t="shared" si="260"/>
        <v>144540</v>
      </c>
      <c r="V592" s="310">
        <f t="shared" si="261"/>
        <v>20891811600</v>
      </c>
      <c r="X592" s="336">
        <f t="shared" si="255"/>
        <v>1.2990188945989378</v>
      </c>
      <c r="Y592" s="337">
        <f t="shared" si="256"/>
        <v>-34.516705692103365</v>
      </c>
      <c r="AA592" s="336">
        <f t="shared" si="257"/>
        <v>-15.82319921947758</v>
      </c>
      <c r="AB592" s="337">
        <f t="shared" si="258"/>
        <v>-145.11679217626346</v>
      </c>
      <c r="AD592">
        <f t="shared" si="262"/>
        <v>0</v>
      </c>
      <c r="AE592">
        <f t="shared" si="239"/>
        <v>0</v>
      </c>
    </row>
    <row r="593" spans="1:31" x14ac:dyDescent="0.25">
      <c r="A593" s="338">
        <v>158490</v>
      </c>
      <c r="B593" s="355">
        <f t="shared" si="259"/>
        <v>158.49</v>
      </c>
      <c r="C593" s="328">
        <f t="shared" si="240"/>
        <v>35.582959423756591</v>
      </c>
      <c r="D593" s="329">
        <f t="shared" si="241"/>
        <v>1.5426892863476316</v>
      </c>
      <c r="E593" s="329">
        <f t="shared" si="242"/>
        <v>1.0021575113884751</v>
      </c>
      <c r="F593" s="330">
        <f t="shared" si="243"/>
        <v>6.5629863180537679E-2</v>
      </c>
      <c r="G593" s="329">
        <f t="shared" si="244"/>
        <v>1</v>
      </c>
      <c r="H593" s="330">
        <f t="shared" si="245"/>
        <v>0</v>
      </c>
      <c r="I593" s="328">
        <f t="shared" si="246"/>
        <v>346391.50875127298</v>
      </c>
      <c r="J593" s="331">
        <f t="shared" si="247"/>
        <v>1.5707934398881027</v>
      </c>
      <c r="K593" s="339">
        <f t="shared" si="237"/>
        <v>44.615073295542302</v>
      </c>
      <c r="L593" s="340">
        <f t="shared" si="238"/>
        <v>1.548380500126507</v>
      </c>
      <c r="M593" s="328">
        <f t="shared" si="248"/>
        <v>1.2293443523308734</v>
      </c>
      <c r="N593" s="331">
        <f t="shared" si="249"/>
        <v>0.62075123574542834</v>
      </c>
      <c r="O593" s="332">
        <f t="shared" si="250"/>
        <v>1.1943042974853746</v>
      </c>
      <c r="P593" s="333">
        <f t="shared" si="251"/>
        <v>1.1562727264395134</v>
      </c>
      <c r="Q593" s="334">
        <f t="shared" si="252"/>
        <v>-15.922378345550918</v>
      </c>
      <c r="R593" s="335">
        <f t="shared" si="253"/>
        <v>-187.7294112336472</v>
      </c>
      <c r="S593" s="337">
        <f t="shared" si="254"/>
        <v>-7.7294112336471983</v>
      </c>
      <c r="U593" s="310">
        <f t="shared" si="260"/>
        <v>158490</v>
      </c>
      <c r="V593" s="310">
        <f t="shared" si="261"/>
        <v>25119080100</v>
      </c>
      <c r="X593" s="336">
        <f t="shared" si="255"/>
        <v>1.043996804194929</v>
      </c>
      <c r="Y593" s="337">
        <f t="shared" si="256"/>
        <v>-36.850592832671758</v>
      </c>
      <c r="AA593" s="336">
        <f t="shared" si="257"/>
        <v>-16.966375149745851</v>
      </c>
      <c r="AB593" s="337">
        <f t="shared" si="258"/>
        <v>-150.87881840097546</v>
      </c>
      <c r="AD593">
        <f t="shared" si="262"/>
        <v>0</v>
      </c>
      <c r="AE593">
        <f t="shared" si="239"/>
        <v>0</v>
      </c>
    </row>
    <row r="594" spans="1:31" x14ac:dyDescent="0.25">
      <c r="A594" s="338">
        <v>173780</v>
      </c>
      <c r="B594" s="355">
        <f t="shared" si="259"/>
        <v>173.78</v>
      </c>
      <c r="C594" s="328">
        <f t="shared" si="240"/>
        <v>39.013160946984591</v>
      </c>
      <c r="D594" s="329">
        <f t="shared" si="241"/>
        <v>1.5451611434048209</v>
      </c>
      <c r="E594" s="329">
        <f t="shared" si="242"/>
        <v>1.0025933099813022</v>
      </c>
      <c r="F594" s="330">
        <f t="shared" si="243"/>
        <v>7.1940502848897123E-2</v>
      </c>
      <c r="G594" s="329">
        <f t="shared" si="244"/>
        <v>1</v>
      </c>
      <c r="H594" s="330">
        <f t="shared" si="245"/>
        <v>0</v>
      </c>
      <c r="I594" s="328">
        <f t="shared" si="246"/>
        <v>379808.92416401044</v>
      </c>
      <c r="J594" s="331">
        <f t="shared" si="247"/>
        <v>1.5707936938920437</v>
      </c>
      <c r="K594" s="339">
        <f t="shared" si="237"/>
        <v>48.91715438005005</v>
      </c>
      <c r="L594" s="340">
        <f t="shared" si="238"/>
        <v>1.5503521763405359</v>
      </c>
      <c r="M594" s="328">
        <f t="shared" si="248"/>
        <v>1.2707072653616385</v>
      </c>
      <c r="N594" s="331">
        <f t="shared" si="249"/>
        <v>0.66492459299780038</v>
      </c>
      <c r="O594" s="332">
        <f t="shared" si="250"/>
        <v>1.2562208339183483</v>
      </c>
      <c r="P594" s="333">
        <f t="shared" si="251"/>
        <v>1.2667900562813954</v>
      </c>
      <c r="Q594" s="334">
        <f t="shared" si="252"/>
        <v>-17.444809745403255</v>
      </c>
      <c r="R594" s="335">
        <f t="shared" si="253"/>
        <v>-196.25963452950936</v>
      </c>
      <c r="S594" s="337">
        <f t="shared" si="254"/>
        <v>-16.259634529509356</v>
      </c>
      <c r="U594" s="310">
        <f t="shared" si="260"/>
        <v>173780</v>
      </c>
      <c r="V594" s="310">
        <f t="shared" si="261"/>
        <v>30199488400</v>
      </c>
      <c r="X594" s="336">
        <f t="shared" si="255"/>
        <v>0.75619049014579998</v>
      </c>
      <c r="Y594" s="337">
        <f t="shared" si="256"/>
        <v>-39.268585600642872</v>
      </c>
      <c r="AA594" s="336">
        <f t="shared" si="257"/>
        <v>-18.201000235549056</v>
      </c>
      <c r="AB594" s="337">
        <f t="shared" si="258"/>
        <v>-156.99104892886652</v>
      </c>
      <c r="AD594">
        <f t="shared" si="262"/>
        <v>0</v>
      </c>
      <c r="AE594">
        <f t="shared" si="239"/>
        <v>0</v>
      </c>
    </row>
    <row r="595" spans="1:31" x14ac:dyDescent="0.25">
      <c r="A595" s="338">
        <v>190550</v>
      </c>
      <c r="B595" s="355">
        <f t="shared" si="259"/>
        <v>190.55</v>
      </c>
      <c r="C595" s="328">
        <f t="shared" si="240"/>
        <v>42.775617836173367</v>
      </c>
      <c r="D595" s="329">
        <f t="shared" si="241"/>
        <v>1.5474163930861533</v>
      </c>
      <c r="E595" s="329">
        <f t="shared" si="242"/>
        <v>1.0031171604798217</v>
      </c>
      <c r="F595" s="330">
        <f t="shared" si="243"/>
        <v>7.8855370378897421E-2</v>
      </c>
      <c r="G595" s="329">
        <f t="shared" si="244"/>
        <v>1</v>
      </c>
      <c r="H595" s="330">
        <f t="shared" si="245"/>
        <v>0</v>
      </c>
      <c r="I595" s="328">
        <f t="shared" si="246"/>
        <v>416460.98802744842</v>
      </c>
      <c r="J595" s="331">
        <f t="shared" si="247"/>
        <v>1.5707939256096026</v>
      </c>
      <c r="K595" s="339">
        <f t="shared" si="237"/>
        <v>53.635838546174298</v>
      </c>
      <c r="L595" s="340">
        <f t="shared" si="238"/>
        <v>1.5521509961568452</v>
      </c>
      <c r="M595" s="328">
        <f t="shared" si="248"/>
        <v>1.3187340377271088</v>
      </c>
      <c r="N595" s="331">
        <f t="shared" si="249"/>
        <v>0.71009029214029806</v>
      </c>
      <c r="O595" s="332">
        <f t="shared" si="250"/>
        <v>1.3378148012896554</v>
      </c>
      <c r="P595" s="333">
        <f t="shared" si="251"/>
        <v>1.3829655792149551</v>
      </c>
      <c r="Q595" s="334">
        <f t="shared" si="252"/>
        <v>-19.109115192049135</v>
      </c>
      <c r="R595" s="335">
        <f t="shared" si="253"/>
        <v>-205.13377768207724</v>
      </c>
      <c r="S595" s="337">
        <f t="shared" si="254"/>
        <v>-25.133777682077238</v>
      </c>
      <c r="U595" s="310">
        <f t="shared" si="260"/>
        <v>190550</v>
      </c>
      <c r="V595" s="310">
        <f t="shared" si="261"/>
        <v>36309302500</v>
      </c>
      <c r="X595" s="336">
        <f t="shared" si="255"/>
        <v>0.4336510207130998</v>
      </c>
      <c r="Y595" s="337">
        <f t="shared" si="256"/>
        <v>-41.753338035964013</v>
      </c>
      <c r="AA595" s="336">
        <f t="shared" si="257"/>
        <v>-19.542766212762235</v>
      </c>
      <c r="AB595" s="337">
        <f t="shared" si="258"/>
        <v>-163.38043964611325</v>
      </c>
      <c r="AD595">
        <f t="shared" si="262"/>
        <v>0</v>
      </c>
      <c r="AE595">
        <f t="shared" si="239"/>
        <v>0</v>
      </c>
    </row>
    <row r="596" spans="1:31" x14ac:dyDescent="0.25">
      <c r="A596" s="338">
        <v>208930</v>
      </c>
      <c r="B596" s="355">
        <f t="shared" si="259"/>
        <v>208.93</v>
      </c>
      <c r="C596" s="328">
        <f t="shared" si="240"/>
        <v>46.899496411070842</v>
      </c>
      <c r="D596" s="329">
        <f t="shared" si="241"/>
        <v>1.5494725202581328</v>
      </c>
      <c r="E596" s="329">
        <f t="shared" si="242"/>
        <v>1.0037463338344141</v>
      </c>
      <c r="F596" s="330">
        <f t="shared" si="243"/>
        <v>8.6425404313002219E-2</v>
      </c>
      <c r="G596" s="329">
        <f t="shared" si="244"/>
        <v>1</v>
      </c>
      <c r="H596" s="330">
        <f t="shared" si="245"/>
        <v>0</v>
      </c>
      <c r="I596" s="328">
        <f t="shared" si="246"/>
        <v>456631.82486766001</v>
      </c>
      <c r="J596" s="331">
        <f t="shared" si="247"/>
        <v>1.5707941368467906</v>
      </c>
      <c r="K596" s="339">
        <f t="shared" si="237"/>
        <v>58.807704720709616</v>
      </c>
      <c r="L596" s="340">
        <f t="shared" si="238"/>
        <v>1.553790932627346</v>
      </c>
      <c r="M596" s="328">
        <f t="shared" si="248"/>
        <v>1.374231262528852</v>
      </c>
      <c r="N596" s="331">
        <f t="shared" si="249"/>
        <v>0.75586344942648009</v>
      </c>
      <c r="O596" s="332">
        <f t="shared" si="250"/>
        <v>1.444393096164988</v>
      </c>
      <c r="P596" s="333">
        <f t="shared" si="251"/>
        <v>1.5028231195872639</v>
      </c>
      <c r="Q596" s="334">
        <f t="shared" si="252"/>
        <v>-20.927200968793024</v>
      </c>
      <c r="R596" s="335">
        <f t="shared" si="253"/>
        <v>-214.21384470456323</v>
      </c>
      <c r="S596" s="337">
        <f t="shared" si="254"/>
        <v>-34.213844704563229</v>
      </c>
      <c r="U596" s="310">
        <f t="shared" si="260"/>
        <v>208930</v>
      </c>
      <c r="V596" s="310">
        <f t="shared" si="261"/>
        <v>43651744900</v>
      </c>
      <c r="X596" s="336">
        <f t="shared" si="255"/>
        <v>7.5344918662333282E-2</v>
      </c>
      <c r="Y596" s="337">
        <f t="shared" si="256"/>
        <v>-44.281997430910224</v>
      </c>
      <c r="AA596" s="336">
        <f t="shared" si="257"/>
        <v>-21.002545887455351</v>
      </c>
      <c r="AB596" s="337">
        <f t="shared" si="258"/>
        <v>-169.93184727365303</v>
      </c>
      <c r="AD596">
        <f t="shared" si="262"/>
        <v>0</v>
      </c>
      <c r="AE596">
        <f t="shared" si="239"/>
        <v>0</v>
      </c>
    </row>
    <row r="597" spans="1:31" x14ac:dyDescent="0.25">
      <c r="A597" s="338">
        <v>229090</v>
      </c>
      <c r="B597" s="355">
        <f t="shared" si="259"/>
        <v>229.09</v>
      </c>
      <c r="C597" s="328">
        <f t="shared" si="240"/>
        <v>51.422939182033481</v>
      </c>
      <c r="D597" s="329">
        <f t="shared" si="241"/>
        <v>1.5513485267499423</v>
      </c>
      <c r="E597" s="329">
        <f t="shared" si="242"/>
        <v>1.0045024953196706</v>
      </c>
      <c r="F597" s="330">
        <f t="shared" si="243"/>
        <v>9.471711834763584E-2</v>
      </c>
      <c r="G597" s="329">
        <f t="shared" si="244"/>
        <v>1</v>
      </c>
      <c r="H597" s="330">
        <f t="shared" si="245"/>
        <v>0</v>
      </c>
      <c r="I597" s="328">
        <f t="shared" si="246"/>
        <v>500692.98214181792</v>
      </c>
      <c r="J597" s="331">
        <f t="shared" si="247"/>
        <v>1.5707943295629887</v>
      </c>
      <c r="K597" s="339">
        <f t="shared" si="237"/>
        <v>64.480588436584028</v>
      </c>
      <c r="L597" s="340">
        <f t="shared" si="238"/>
        <v>1.5552871617204789</v>
      </c>
      <c r="M597" s="328">
        <f t="shared" si="248"/>
        <v>1.4381418783768118</v>
      </c>
      <c r="N597" s="331">
        <f t="shared" si="249"/>
        <v>0.80190109776292073</v>
      </c>
      <c r="O597" s="332">
        <f t="shared" si="250"/>
        <v>1.5823570543512964</v>
      </c>
      <c r="P597" s="333">
        <f t="shared" si="251"/>
        <v>1.6241240795586915</v>
      </c>
      <c r="Q597" s="334">
        <f t="shared" si="252"/>
        <v>-22.907865491086984</v>
      </c>
      <c r="R597" s="335">
        <f t="shared" si="253"/>
        <v>-223.3483311854441</v>
      </c>
      <c r="S597" s="337">
        <f t="shared" si="254"/>
        <v>-43.348331185444096</v>
      </c>
      <c r="U597" s="310">
        <f t="shared" si="260"/>
        <v>229090</v>
      </c>
      <c r="V597" s="310">
        <f t="shared" si="261"/>
        <v>52482228100</v>
      </c>
      <c r="X597" s="336">
        <f t="shared" si="255"/>
        <v>-0.31970455889245469</v>
      </c>
      <c r="Y597" s="337">
        <f t="shared" si="256"/>
        <v>-46.834043811815484</v>
      </c>
      <c r="AA597" s="336">
        <f t="shared" si="257"/>
        <v>-22.58816093219453</v>
      </c>
      <c r="AB597" s="337">
        <f t="shared" si="258"/>
        <v>-176.51428737362863</v>
      </c>
      <c r="AD597">
        <f t="shared" si="262"/>
        <v>0</v>
      </c>
      <c r="AE597">
        <f t="shared" si="239"/>
        <v>0</v>
      </c>
    </row>
    <row r="598" spans="1:31" x14ac:dyDescent="0.25">
      <c r="A598" s="338">
        <v>251190</v>
      </c>
      <c r="B598" s="355">
        <f t="shared" si="259"/>
        <v>251.19</v>
      </c>
      <c r="C598" s="328">
        <f t="shared" si="240"/>
        <v>56.381846536830466</v>
      </c>
      <c r="D598" s="329">
        <f t="shared" si="241"/>
        <v>1.5530591915700152</v>
      </c>
      <c r="E598" s="329">
        <f t="shared" si="242"/>
        <v>1.0054106442862891</v>
      </c>
      <c r="F598" s="330">
        <f t="shared" si="243"/>
        <v>0.10379171935320551</v>
      </c>
      <c r="G598" s="329">
        <f t="shared" si="244"/>
        <v>1</v>
      </c>
      <c r="H598" s="330">
        <f t="shared" si="245"/>
        <v>0</v>
      </c>
      <c r="I598" s="328">
        <f t="shared" si="246"/>
        <v>548994.15157432028</v>
      </c>
      <c r="J598" s="331">
        <f t="shared" si="247"/>
        <v>1.5707945052818675</v>
      </c>
      <c r="K598" s="339">
        <f t="shared" si="237"/>
        <v>70.699512613169119</v>
      </c>
      <c r="L598" s="340">
        <f t="shared" si="238"/>
        <v>1.5566514860470306</v>
      </c>
      <c r="M598" s="328">
        <f t="shared" si="248"/>
        <v>1.5113897802370704</v>
      </c>
      <c r="N598" s="331">
        <f t="shared" si="249"/>
        <v>0.84778889627879828</v>
      </c>
      <c r="O598" s="332">
        <f t="shared" si="250"/>
        <v>1.7589456050616774</v>
      </c>
      <c r="P598" s="333">
        <f t="shared" si="251"/>
        <v>1.7442944113957766</v>
      </c>
      <c r="Q598" s="334">
        <f t="shared" si="252"/>
        <v>-25.050293414008383</v>
      </c>
      <c r="R598" s="335">
        <f t="shared" si="253"/>
        <v>-232.36267879692161</v>
      </c>
      <c r="S598" s="337">
        <f t="shared" si="254"/>
        <v>-52.362678796921614</v>
      </c>
      <c r="U598" s="310">
        <f t="shared" si="260"/>
        <v>251190</v>
      </c>
      <c r="V598" s="310">
        <f t="shared" si="261"/>
        <v>63096416100</v>
      </c>
      <c r="X598" s="336">
        <f t="shared" si="255"/>
        <v>-0.75137524205472472</v>
      </c>
      <c r="Y598" s="337">
        <f t="shared" si="256"/>
        <v>-49.385061042988582</v>
      </c>
      <c r="AA598" s="336">
        <f t="shared" si="257"/>
        <v>-24.298918171953655</v>
      </c>
      <c r="AB598" s="337">
        <f t="shared" si="258"/>
        <v>-182.977617753933</v>
      </c>
      <c r="AD598">
        <f t="shared" si="262"/>
        <v>0</v>
      </c>
      <c r="AE598">
        <f t="shared" si="239"/>
        <v>0</v>
      </c>
    </row>
    <row r="599" spans="1:31" x14ac:dyDescent="0.25">
      <c r="A599" s="338">
        <v>275420</v>
      </c>
      <c r="B599" s="355">
        <f t="shared" si="259"/>
        <v>275.42</v>
      </c>
      <c r="C599" s="328">
        <f t="shared" si="240"/>
        <v>61.818851558500818</v>
      </c>
      <c r="D599" s="329">
        <f t="shared" si="241"/>
        <v>1.5546193258960959</v>
      </c>
      <c r="E599" s="329">
        <f t="shared" si="242"/>
        <v>1.0065012836224447</v>
      </c>
      <c r="F599" s="330">
        <f t="shared" si="243"/>
        <v>0.11372120019462231</v>
      </c>
      <c r="G599" s="329">
        <f t="shared" si="244"/>
        <v>1</v>
      </c>
      <c r="H599" s="330">
        <f t="shared" si="245"/>
        <v>0</v>
      </c>
      <c r="I599" s="328">
        <f t="shared" si="246"/>
        <v>601950.59208789002</v>
      </c>
      <c r="J599" s="331">
        <f t="shared" si="247"/>
        <v>1.5707946655289835</v>
      </c>
      <c r="K599" s="339">
        <f t="shared" ref="K599:K613" si="263">SQRT(1+(A599/Zero2)^2)</f>
        <v>77.51794306446979</v>
      </c>
      <c r="L599" s="340">
        <f t="shared" ref="L599:L613" si="264">ATAN(A599/Zero2)</f>
        <v>1.5578957298676315</v>
      </c>
      <c r="M599" s="328">
        <f t="shared" si="248"/>
        <v>1.5949978774022553</v>
      </c>
      <c r="N599" s="331">
        <f t="shared" si="249"/>
        <v>0.89315134773325688</v>
      </c>
      <c r="O599" s="332">
        <f t="shared" si="250"/>
        <v>1.9825520576930027</v>
      </c>
      <c r="P599" s="333">
        <f t="shared" si="251"/>
        <v>1.8609864604306485</v>
      </c>
      <c r="Q599" s="334">
        <f t="shared" si="252"/>
        <v>-27.34777160775365</v>
      </c>
      <c r="R599" s="335">
        <f t="shared" si="253"/>
        <v>-241.09690876530775</v>
      </c>
      <c r="S599" s="337">
        <f t="shared" si="254"/>
        <v>-61.096908765307745</v>
      </c>
      <c r="U599" s="310">
        <f t="shared" si="260"/>
        <v>275420</v>
      </c>
      <c r="V599" s="310">
        <f t="shared" si="261"/>
        <v>75856176400</v>
      </c>
      <c r="X599" s="336">
        <f t="shared" si="255"/>
        <v>-1.2191939594478085</v>
      </c>
      <c r="Y599" s="337">
        <f t="shared" si="256"/>
        <v>-51.912857324462337</v>
      </c>
      <c r="AA599" s="336">
        <f t="shared" si="257"/>
        <v>-26.128577648305836</v>
      </c>
      <c r="AB599" s="337">
        <f t="shared" si="258"/>
        <v>-189.18405144084542</v>
      </c>
      <c r="AD599">
        <f t="shared" si="262"/>
        <v>0</v>
      </c>
      <c r="AE599">
        <f t="shared" si="239"/>
        <v>0</v>
      </c>
    </row>
    <row r="600" spans="1:31" x14ac:dyDescent="0.25">
      <c r="A600" s="338">
        <v>302000</v>
      </c>
      <c r="B600" s="355">
        <f t="shared" si="259"/>
        <v>302</v>
      </c>
      <c r="C600" s="328">
        <f t="shared" si="240"/>
        <v>67.783320461696817</v>
      </c>
      <c r="D600" s="329">
        <f t="shared" si="241"/>
        <v>1.5560428996777496</v>
      </c>
      <c r="E600" s="329">
        <f t="shared" si="242"/>
        <v>1.0078115737865976</v>
      </c>
      <c r="F600" s="330">
        <f t="shared" si="243"/>
        <v>0.12458779948412006</v>
      </c>
      <c r="G600" s="329">
        <f t="shared" si="244"/>
        <v>1</v>
      </c>
      <c r="H600" s="330">
        <f t="shared" si="245"/>
        <v>0</v>
      </c>
      <c r="I600" s="328">
        <f t="shared" si="246"/>
        <v>660043.12980357488</v>
      </c>
      <c r="J600" s="331">
        <f t="shared" si="247"/>
        <v>1.5707948117423873</v>
      </c>
      <c r="K600" s="339">
        <f t="shared" si="263"/>
        <v>84.997788846772366</v>
      </c>
      <c r="L600" s="340">
        <f t="shared" si="264"/>
        <v>1.5590310434356935</v>
      </c>
      <c r="M600" s="328">
        <f t="shared" si="248"/>
        <v>1.6900935625705298</v>
      </c>
      <c r="N600" s="331">
        <f t="shared" si="249"/>
        <v>0.93765116226159828</v>
      </c>
      <c r="O600" s="332">
        <f t="shared" si="250"/>
        <v>2.2629585365464062</v>
      </c>
      <c r="P600" s="333">
        <f t="shared" si="251"/>
        <v>1.9723045416874008</v>
      </c>
      <c r="Q600" s="334">
        <f t="shared" si="252"/>
        <v>-29.788683898510847</v>
      </c>
      <c r="R600" s="335">
        <f t="shared" si="253"/>
        <v>-249.418530770015</v>
      </c>
      <c r="S600" s="337">
        <f t="shared" si="254"/>
        <v>-69.418530770014996</v>
      </c>
      <c r="U600" s="310">
        <f t="shared" si="260"/>
        <v>302000</v>
      </c>
      <c r="V600" s="310">
        <f t="shared" si="261"/>
        <v>91204000000</v>
      </c>
      <c r="X600" s="336">
        <f t="shared" si="255"/>
        <v>-1.7223283457374206</v>
      </c>
      <c r="Y600" s="337">
        <f t="shared" si="256"/>
        <v>-54.397468590427387</v>
      </c>
      <c r="AA600" s="336">
        <f t="shared" si="257"/>
        <v>-28.066355552773427</v>
      </c>
      <c r="AB600" s="337">
        <f t="shared" si="258"/>
        <v>-195.02106217958757</v>
      </c>
      <c r="AD600">
        <f t="shared" si="262"/>
        <v>0</v>
      </c>
      <c r="AE600">
        <f t="shared" si="239"/>
        <v>0</v>
      </c>
    </row>
    <row r="601" spans="1:31" x14ac:dyDescent="0.25">
      <c r="A601" s="338">
        <v>331130</v>
      </c>
      <c r="B601" s="355">
        <f t="shared" si="259"/>
        <v>331.13</v>
      </c>
      <c r="C601" s="328">
        <f t="shared" si="240"/>
        <v>74.320132622287801</v>
      </c>
      <c r="D601" s="329">
        <f t="shared" si="241"/>
        <v>1.5573406164594044</v>
      </c>
      <c r="E601" s="329">
        <f t="shared" si="242"/>
        <v>1.0093838650687406</v>
      </c>
      <c r="F601" s="330">
        <f t="shared" si="243"/>
        <v>0.13646294104811516</v>
      </c>
      <c r="G601" s="329">
        <f t="shared" si="244"/>
        <v>1</v>
      </c>
      <c r="H601" s="330">
        <f t="shared" si="245"/>
        <v>0</v>
      </c>
      <c r="I601" s="328">
        <f t="shared" si="246"/>
        <v>723708.87937687268</v>
      </c>
      <c r="J601" s="331">
        <f t="shared" si="247"/>
        <v>1.5707949450238163</v>
      </c>
      <c r="K601" s="339">
        <f t="shared" si="263"/>
        <v>93.195331717526642</v>
      </c>
      <c r="L601" s="340">
        <f t="shared" si="264"/>
        <v>1.5600659696844914</v>
      </c>
      <c r="M601" s="328">
        <f t="shared" si="248"/>
        <v>1.7977254393488229</v>
      </c>
      <c r="N601" s="331">
        <f t="shared" si="249"/>
        <v>0.9809197411350713</v>
      </c>
      <c r="O601" s="332">
        <f t="shared" si="250"/>
        <v>2.6110483604782861</v>
      </c>
      <c r="P601" s="333">
        <f t="shared" si="251"/>
        <v>2.0767553257807054</v>
      </c>
      <c r="Q601" s="334">
        <f t="shared" si="252"/>
        <v>-32.353936117922132</v>
      </c>
      <c r="R601" s="335">
        <f t="shared" si="253"/>
        <v>-257.2168957614382</v>
      </c>
      <c r="S601" s="337">
        <f t="shared" si="254"/>
        <v>-77.216895761438195</v>
      </c>
      <c r="U601" s="310">
        <f t="shared" si="260"/>
        <v>331130</v>
      </c>
      <c r="V601" s="310">
        <f t="shared" si="261"/>
        <v>109647076900</v>
      </c>
      <c r="X601" s="336">
        <f t="shared" si="255"/>
        <v>-2.2586817903708387</v>
      </c>
      <c r="Y601" s="337">
        <f t="shared" si="256"/>
        <v>-56.817286278471293</v>
      </c>
      <c r="AA601" s="336">
        <f t="shared" si="257"/>
        <v>-30.095254327551299</v>
      </c>
      <c r="AB601" s="337">
        <f t="shared" si="258"/>
        <v>-200.39960948296684</v>
      </c>
      <c r="AD601">
        <f t="shared" si="262"/>
        <v>0</v>
      </c>
      <c r="AE601">
        <f t="shared" si="239"/>
        <v>0</v>
      </c>
    </row>
    <row r="602" spans="1:31" x14ac:dyDescent="0.25">
      <c r="A602" s="338">
        <v>363080</v>
      </c>
      <c r="B602" s="355">
        <f t="shared" si="259"/>
        <v>363.08</v>
      </c>
      <c r="C602" s="328">
        <f t="shared" si="240"/>
        <v>81.489876384650145</v>
      </c>
      <c r="D602" s="329">
        <f t="shared" si="241"/>
        <v>1.5585245558191441</v>
      </c>
      <c r="E602" s="329">
        <f t="shared" si="242"/>
        <v>1.0112714960086755</v>
      </c>
      <c r="F602" s="330">
        <f t="shared" si="243"/>
        <v>0.14944318147847585</v>
      </c>
      <c r="G602" s="329">
        <f t="shared" si="244"/>
        <v>1</v>
      </c>
      <c r="H602" s="330">
        <f t="shared" si="245"/>
        <v>0</v>
      </c>
      <c r="I602" s="328">
        <f t="shared" si="246"/>
        <v>793537.94559270598</v>
      </c>
      <c r="J602" s="331">
        <f t="shared" si="247"/>
        <v>1.5707950666157136</v>
      </c>
      <c r="K602" s="339">
        <f t="shared" si="263"/>
        <v>102.18655299742456</v>
      </c>
      <c r="L602" s="340">
        <f t="shared" si="264"/>
        <v>1.5610101471812692</v>
      </c>
      <c r="M602" s="328">
        <f t="shared" si="248"/>
        <v>1.9191875459506214</v>
      </c>
      <c r="N602" s="331">
        <f t="shared" si="249"/>
        <v>1.0227111723349154</v>
      </c>
      <c r="O602" s="332">
        <f t="shared" si="250"/>
        <v>3.0401578246889827</v>
      </c>
      <c r="P602" s="333">
        <f t="shared" si="251"/>
        <v>2.1736278785839431</v>
      </c>
      <c r="Q602" s="334">
        <f t="shared" si="252"/>
        <v>-35.027241086599574</v>
      </c>
      <c r="R602" s="335">
        <f t="shared" si="253"/>
        <v>-264.43178813934225</v>
      </c>
      <c r="S602" s="337">
        <f t="shared" si="254"/>
        <v>-84.431788139342245</v>
      </c>
      <c r="U602" s="310">
        <f t="shared" si="260"/>
        <v>363080</v>
      </c>
      <c r="V602" s="310">
        <f t="shared" si="261"/>
        <v>131827086400</v>
      </c>
      <c r="X602" s="336">
        <f t="shared" si="255"/>
        <v>-2.8266469741658251</v>
      </c>
      <c r="Y602" s="337">
        <f t="shared" si="256"/>
        <v>-59.157668489733922</v>
      </c>
      <c r="AA602" s="336">
        <f t="shared" si="257"/>
        <v>-32.200594112433755</v>
      </c>
      <c r="AB602" s="337">
        <f t="shared" si="258"/>
        <v>-205.27411964960825</v>
      </c>
      <c r="AD602">
        <f t="shared" si="262"/>
        <v>0</v>
      </c>
      <c r="AE602">
        <f t="shared" ref="AE602:AE613" si="265">IF(AD602&gt;0,S602,0)</f>
        <v>0</v>
      </c>
    </row>
    <row r="603" spans="1:31" x14ac:dyDescent="0.25">
      <c r="A603" s="338">
        <v>398110</v>
      </c>
      <c r="B603" s="355">
        <f t="shared" si="259"/>
        <v>398.11</v>
      </c>
      <c r="C603" s="328">
        <f t="shared" si="240"/>
        <v>89.350897124069135</v>
      </c>
      <c r="D603" s="329">
        <f t="shared" si="241"/>
        <v>1.5596042637094805</v>
      </c>
      <c r="E603" s="329">
        <f t="shared" si="242"/>
        <v>1.0135361249415928</v>
      </c>
      <c r="F603" s="330">
        <f t="shared" si="243"/>
        <v>0.16361649787982657</v>
      </c>
      <c r="G603" s="329">
        <f t="shared" si="244"/>
        <v>1</v>
      </c>
      <c r="H603" s="330">
        <f t="shared" si="245"/>
        <v>0</v>
      </c>
      <c r="I603" s="328">
        <f t="shared" si="246"/>
        <v>870098.57750322239</v>
      </c>
      <c r="J603" s="331">
        <f t="shared" si="247"/>
        <v>1.570795177499833</v>
      </c>
      <c r="K603" s="339">
        <f t="shared" si="263"/>
        <v>112.04462071690466</v>
      </c>
      <c r="L603" s="340">
        <f t="shared" si="264"/>
        <v>1.5618711925933466</v>
      </c>
      <c r="M603" s="328">
        <f t="shared" si="248"/>
        <v>2.0557296530738389</v>
      </c>
      <c r="N603" s="331">
        <f t="shared" si="249"/>
        <v>1.062779726651458</v>
      </c>
      <c r="O603" s="332">
        <f t="shared" si="250"/>
        <v>3.5656445858720827</v>
      </c>
      <c r="P603" s="333">
        <f t="shared" si="251"/>
        <v>2.2625990944808758</v>
      </c>
      <c r="Q603" s="334">
        <f t="shared" si="252"/>
        <v>-37.789597009372166</v>
      </c>
      <c r="R603" s="335">
        <f t="shared" si="253"/>
        <v>-271.02568594828017</v>
      </c>
      <c r="S603" s="337">
        <f t="shared" si="254"/>
        <v>-91.02568594828017</v>
      </c>
      <c r="U603" s="310">
        <f t="shared" si="260"/>
        <v>398110</v>
      </c>
      <c r="V603" s="310">
        <f t="shared" si="261"/>
        <v>158491572100</v>
      </c>
      <c r="X603" s="336">
        <f t="shared" si="255"/>
        <v>-3.4236886210271296</v>
      </c>
      <c r="Y603" s="337">
        <f t="shared" si="256"/>
        <v>-61.404099630940365</v>
      </c>
      <c r="AA603" s="336">
        <f t="shared" si="257"/>
        <v>-34.365908388345034</v>
      </c>
      <c r="AB603" s="337">
        <f t="shared" si="258"/>
        <v>-209.62158631733982</v>
      </c>
      <c r="AD603">
        <f t="shared" si="262"/>
        <v>0</v>
      </c>
      <c r="AE603">
        <f t="shared" si="265"/>
        <v>0</v>
      </c>
    </row>
    <row r="604" spans="1:31" x14ac:dyDescent="0.25">
      <c r="A604" s="338">
        <v>436520</v>
      </c>
      <c r="B604" s="355">
        <f t="shared" si="259"/>
        <v>436.52</v>
      </c>
      <c r="C604" s="328">
        <f t="shared" si="240"/>
        <v>97.97051730690805</v>
      </c>
      <c r="D604" s="329">
        <f t="shared" si="241"/>
        <v>1.5605889971550204</v>
      </c>
      <c r="E604" s="329">
        <f t="shared" si="242"/>
        <v>1.0162521586998725</v>
      </c>
      <c r="F604" s="330">
        <f t="shared" si="243"/>
        <v>0.17908131212841896</v>
      </c>
      <c r="G604" s="329">
        <f t="shared" si="244"/>
        <v>1</v>
      </c>
      <c r="H604" s="330">
        <f t="shared" si="245"/>
        <v>0</v>
      </c>
      <c r="I604" s="328">
        <f t="shared" si="246"/>
        <v>954046.44709166919</v>
      </c>
      <c r="J604" s="331">
        <f t="shared" si="247"/>
        <v>1.5707952786278991</v>
      </c>
      <c r="K604" s="339">
        <f t="shared" si="263"/>
        <v>122.85396022845188</v>
      </c>
      <c r="L604" s="340">
        <f t="shared" si="264"/>
        <v>1.5626564911636602</v>
      </c>
      <c r="M604" s="328">
        <f t="shared" si="248"/>
        <v>2.2087447431707288</v>
      </c>
      <c r="N604" s="331">
        <f t="shared" si="249"/>
        <v>1.1009538437102719</v>
      </c>
      <c r="O604" s="332">
        <f t="shared" si="250"/>
        <v>4.2060514661325756</v>
      </c>
      <c r="P604" s="333">
        <f t="shared" si="251"/>
        <v>2.343780161088842</v>
      </c>
      <c r="Q604" s="334">
        <f t="shared" si="252"/>
        <v>-40.624661104019765</v>
      </c>
      <c r="R604" s="335">
        <f t="shared" si="253"/>
        <v>-276.98959822566167</v>
      </c>
      <c r="S604" s="337">
        <f t="shared" si="254"/>
        <v>-96.989598225661666</v>
      </c>
      <c r="U604" s="310">
        <f t="shared" si="260"/>
        <v>436520</v>
      </c>
      <c r="V604" s="310">
        <f t="shared" si="261"/>
        <v>190549710400</v>
      </c>
      <c r="X604" s="336">
        <f t="shared" si="255"/>
        <v>-4.0473373914894513</v>
      </c>
      <c r="Y604" s="337">
        <f t="shared" si="256"/>
        <v>-63.546326927971357</v>
      </c>
      <c r="AA604" s="336">
        <f t="shared" si="257"/>
        <v>-36.577323712530308</v>
      </c>
      <c r="AB604" s="337">
        <f t="shared" si="258"/>
        <v>-213.44327129769027</v>
      </c>
      <c r="AD604">
        <f t="shared" si="262"/>
        <v>0</v>
      </c>
      <c r="AE604">
        <f t="shared" si="265"/>
        <v>0</v>
      </c>
    </row>
    <row r="605" spans="1:31" x14ac:dyDescent="0.25">
      <c r="A605" s="338">
        <v>478630</v>
      </c>
      <c r="B605" s="355">
        <f t="shared" si="259"/>
        <v>478.63</v>
      </c>
      <c r="C605" s="328">
        <f t="shared" si="240"/>
        <v>107.4205483863266</v>
      </c>
      <c r="D605" s="329">
        <f t="shared" si="241"/>
        <v>1.5614869864578953</v>
      </c>
      <c r="E605" s="329">
        <f t="shared" si="242"/>
        <v>1.0195075157174451</v>
      </c>
      <c r="F605" s="330">
        <f t="shared" si="243"/>
        <v>0.19593665906977664</v>
      </c>
      <c r="G605" s="329">
        <f t="shared" si="244"/>
        <v>1</v>
      </c>
      <c r="H605" s="330">
        <f t="shared" si="245"/>
        <v>0</v>
      </c>
      <c r="I605" s="328">
        <f t="shared" si="246"/>
        <v>1046080.9378068438</v>
      </c>
      <c r="J605" s="331">
        <f t="shared" si="247"/>
        <v>1.5707953708459219</v>
      </c>
      <c r="K605" s="339">
        <f t="shared" si="263"/>
        <v>134.70462589756229</v>
      </c>
      <c r="L605" s="340">
        <f t="shared" si="264"/>
        <v>1.563372608576898</v>
      </c>
      <c r="M605" s="328">
        <f t="shared" si="248"/>
        <v>2.3796965978649882</v>
      </c>
      <c r="N605" s="331">
        <f t="shared" si="249"/>
        <v>1.13710677126919</v>
      </c>
      <c r="O605" s="332">
        <f t="shared" si="250"/>
        <v>4.9834831567410873</v>
      </c>
      <c r="P605" s="333">
        <f t="shared" si="251"/>
        <v>2.417519552183375</v>
      </c>
      <c r="Q605" s="334">
        <f t="shared" si="252"/>
        <v>-43.517459236714444</v>
      </c>
      <c r="R605" s="335">
        <f t="shared" si="253"/>
        <v>-282.33064982493744</v>
      </c>
      <c r="S605" s="337">
        <f t="shared" si="254"/>
        <v>-102.33064982493744</v>
      </c>
      <c r="U605" s="310">
        <f t="shared" si="260"/>
        <v>478630</v>
      </c>
      <c r="V605" s="310">
        <f t="shared" si="261"/>
        <v>229086676900</v>
      </c>
      <c r="X605" s="336">
        <f t="shared" si="255"/>
        <v>-4.6949070124941796</v>
      </c>
      <c r="Y605" s="337">
        <f t="shared" si="256"/>
        <v>-65.576711874748781</v>
      </c>
      <c r="AA605" s="336">
        <f t="shared" si="257"/>
        <v>-38.822552224220267</v>
      </c>
      <c r="AB605" s="337">
        <f t="shared" si="258"/>
        <v>-216.75393795018866</v>
      </c>
      <c r="AD605">
        <f t="shared" si="262"/>
        <v>0</v>
      </c>
      <c r="AE605">
        <f t="shared" si="265"/>
        <v>0</v>
      </c>
    </row>
    <row r="606" spans="1:31" x14ac:dyDescent="0.25">
      <c r="A606" s="338">
        <v>524810</v>
      </c>
      <c r="B606" s="355">
        <f t="shared" si="259"/>
        <v>524.80999999999995</v>
      </c>
      <c r="C606" s="328">
        <f t="shared" si="240"/>
        <v>117.78402317493872</v>
      </c>
      <c r="D606" s="329">
        <f t="shared" si="241"/>
        <v>1.5623061089613435</v>
      </c>
      <c r="E606" s="329">
        <f t="shared" si="242"/>
        <v>1.0234082151939985</v>
      </c>
      <c r="F606" s="330">
        <f t="shared" si="243"/>
        <v>0.21429201408489248</v>
      </c>
      <c r="G606" s="329">
        <f t="shared" si="244"/>
        <v>1</v>
      </c>
      <c r="H606" s="330">
        <f t="shared" si="245"/>
        <v>0</v>
      </c>
      <c r="I606" s="328">
        <f t="shared" si="246"/>
        <v>1147010.7117614178</v>
      </c>
      <c r="J606" s="331">
        <f t="shared" si="247"/>
        <v>1.5707954549634571</v>
      </c>
      <c r="K606" s="339">
        <f t="shared" si="263"/>
        <v>147.70074373853134</v>
      </c>
      <c r="L606" s="340">
        <f t="shared" si="264"/>
        <v>1.5640258284570383</v>
      </c>
      <c r="M606" s="328">
        <f t="shared" si="248"/>
        <v>2.5702456029350444</v>
      </c>
      <c r="N606" s="331">
        <f t="shared" si="249"/>
        <v>1.1711767979835606</v>
      </c>
      <c r="O606" s="332">
        <f t="shared" si="250"/>
        <v>5.9249184937173407</v>
      </c>
      <c r="P606" s="333">
        <f t="shared" si="251"/>
        <v>2.4843422512660482</v>
      </c>
      <c r="Q606" s="334">
        <f t="shared" si="252"/>
        <v>-46.45635896400178</v>
      </c>
      <c r="R606" s="335">
        <f t="shared" si="253"/>
        <v>-287.06920316796828</v>
      </c>
      <c r="S606" s="337">
        <f t="shared" si="254"/>
        <v>-107.06920316796828</v>
      </c>
      <c r="U606" s="310">
        <f t="shared" si="260"/>
        <v>524810</v>
      </c>
      <c r="V606" s="310">
        <f t="shared" si="261"/>
        <v>275425536100</v>
      </c>
      <c r="X606" s="336">
        <f t="shared" si="255"/>
        <v>-5.364007983411474</v>
      </c>
      <c r="Y606" s="337">
        <f t="shared" si="256"/>
        <v>-67.491358692921651</v>
      </c>
      <c r="AA606" s="336">
        <f t="shared" si="257"/>
        <v>-41.092350980590304</v>
      </c>
      <c r="AB606" s="337">
        <f t="shared" si="258"/>
        <v>-219.57784447504673</v>
      </c>
      <c r="AD606">
        <f t="shared" si="262"/>
        <v>0</v>
      </c>
      <c r="AE606">
        <f t="shared" si="265"/>
        <v>0</v>
      </c>
    </row>
    <row r="607" spans="1:31" x14ac:dyDescent="0.25">
      <c r="A607" s="338">
        <v>575440</v>
      </c>
      <c r="B607" s="355">
        <f t="shared" si="259"/>
        <v>575.44000000000005</v>
      </c>
      <c r="C607" s="328">
        <f t="shared" si="240"/>
        <v>129.14621929902293</v>
      </c>
      <c r="D607" s="329">
        <f t="shared" si="241"/>
        <v>1.5630530881739357</v>
      </c>
      <c r="E607" s="329">
        <f t="shared" si="242"/>
        <v>1.0280778008955211</v>
      </c>
      <c r="F607" s="330">
        <f t="shared" si="243"/>
        <v>0.23424857389586881</v>
      </c>
      <c r="G607" s="329">
        <f t="shared" si="244"/>
        <v>1</v>
      </c>
      <c r="H607" s="330">
        <f t="shared" si="245"/>
        <v>0</v>
      </c>
      <c r="I607" s="328">
        <f t="shared" si="246"/>
        <v>1257666.2868008388</v>
      </c>
      <c r="J607" s="331">
        <f t="shared" si="247"/>
        <v>1.5707955316714124</v>
      </c>
      <c r="K607" s="339">
        <f t="shared" si="263"/>
        <v>161.94925452757917</v>
      </c>
      <c r="L607" s="340">
        <f t="shared" si="264"/>
        <v>1.5646215138408972</v>
      </c>
      <c r="M607" s="328">
        <f t="shared" si="248"/>
        <v>2.782090216387576</v>
      </c>
      <c r="N607" s="331">
        <f t="shared" si="249"/>
        <v>1.2031264932708332</v>
      </c>
      <c r="O607" s="332">
        <f t="shared" si="250"/>
        <v>7.0623417751178525</v>
      </c>
      <c r="P607" s="333">
        <f t="shared" si="251"/>
        <v>2.5447978504314044</v>
      </c>
      <c r="Q607" s="334">
        <f t="shared" si="252"/>
        <v>-49.430015742853072</v>
      </c>
      <c r="R607" s="335">
        <f t="shared" si="253"/>
        <v>-291.22888279164624</v>
      </c>
      <c r="S607" s="337">
        <f t="shared" si="254"/>
        <v>-111.22888279164624</v>
      </c>
      <c r="U607" s="310">
        <f t="shared" si="260"/>
        <v>575440</v>
      </c>
      <c r="V607" s="310">
        <f t="shared" si="261"/>
        <v>331131193600</v>
      </c>
      <c r="X607" s="336">
        <f t="shared" si="255"/>
        <v>-6.0519731566363246</v>
      </c>
      <c r="Y607" s="337">
        <f t="shared" si="256"/>
        <v>-69.287815528293478</v>
      </c>
      <c r="AA607" s="336">
        <f t="shared" si="257"/>
        <v>-43.378042586216743</v>
      </c>
      <c r="AB607" s="337">
        <f t="shared" si="258"/>
        <v>-221.94106726335281</v>
      </c>
      <c r="AD607">
        <f t="shared" si="262"/>
        <v>0</v>
      </c>
      <c r="AE607">
        <f t="shared" si="265"/>
        <v>0</v>
      </c>
    </row>
    <row r="608" spans="1:31" x14ac:dyDescent="0.25">
      <c r="A608" s="338">
        <v>630960</v>
      </c>
      <c r="B608" s="355">
        <f t="shared" si="259"/>
        <v>630.96</v>
      </c>
      <c r="C608" s="328">
        <f t="shared" si="240"/>
        <v>141.60587992084385</v>
      </c>
      <c r="D608" s="329">
        <f t="shared" si="241"/>
        <v>1.5637344144479304</v>
      </c>
      <c r="E608" s="329">
        <f t="shared" si="242"/>
        <v>1.0336644837084641</v>
      </c>
      <c r="F608" s="330">
        <f t="shared" si="243"/>
        <v>0.25591571773561161</v>
      </c>
      <c r="G608" s="329">
        <f t="shared" si="244"/>
        <v>1</v>
      </c>
      <c r="H608" s="330">
        <f t="shared" si="245"/>
        <v>0</v>
      </c>
      <c r="I608" s="328">
        <f t="shared" si="246"/>
        <v>1379009.3151672024</v>
      </c>
      <c r="J608" s="331">
        <f t="shared" si="247"/>
        <v>1.5707956016366333</v>
      </c>
      <c r="K608" s="339">
        <f t="shared" si="263"/>
        <v>177.57398494330124</v>
      </c>
      <c r="L608" s="340">
        <f t="shared" si="264"/>
        <v>1.5651648414962855</v>
      </c>
      <c r="M608" s="328">
        <f t="shared" si="248"/>
        <v>3.0171774821662405</v>
      </c>
      <c r="N608" s="331">
        <f t="shared" si="249"/>
        <v>1.2329715633734446</v>
      </c>
      <c r="O608" s="332">
        <f t="shared" si="250"/>
        <v>8.4348139510273121</v>
      </c>
      <c r="P608" s="333">
        <f t="shared" si="251"/>
        <v>2.5994774282491768</v>
      </c>
      <c r="Q608" s="334">
        <f t="shared" si="252"/>
        <v>-52.430091659171197</v>
      </c>
      <c r="R608" s="335">
        <f t="shared" si="253"/>
        <v>-294.83826323745433</v>
      </c>
      <c r="S608" s="337">
        <f t="shared" si="254"/>
        <v>-114.83826323745433</v>
      </c>
      <c r="U608" s="310">
        <f t="shared" si="260"/>
        <v>630960</v>
      </c>
      <c r="V608" s="310">
        <f t="shared" si="261"/>
        <v>398110521600</v>
      </c>
      <c r="X608" s="336">
        <f t="shared" si="255"/>
        <v>-6.7565939922219229</v>
      </c>
      <c r="Y608" s="337">
        <f t="shared" si="256"/>
        <v>-70.966685713528975</v>
      </c>
      <c r="AA608" s="336">
        <f t="shared" si="257"/>
        <v>-45.673497666949274</v>
      </c>
      <c r="AB608" s="337">
        <f t="shared" si="258"/>
        <v>-223.87157752392537</v>
      </c>
      <c r="AD608">
        <f t="shared" si="262"/>
        <v>0</v>
      </c>
      <c r="AE608">
        <f t="shared" si="265"/>
        <v>0</v>
      </c>
    </row>
    <row r="609" spans="1:31" x14ac:dyDescent="0.25">
      <c r="A609" s="338">
        <v>691830</v>
      </c>
      <c r="B609" s="355">
        <f t="shared" si="259"/>
        <v>691.83</v>
      </c>
      <c r="C609" s="328">
        <f t="shared" si="240"/>
        <v>155.26623709892141</v>
      </c>
      <c r="D609" s="329">
        <f t="shared" si="241"/>
        <v>1.5643557320315944</v>
      </c>
      <c r="E609" s="329">
        <f t="shared" si="242"/>
        <v>1.0403407241481231</v>
      </c>
      <c r="F609" s="330">
        <f t="shared" si="243"/>
        <v>0.2793910529025509</v>
      </c>
      <c r="G609" s="329">
        <f t="shared" si="244"/>
        <v>1</v>
      </c>
      <c r="H609" s="330">
        <f t="shared" si="245"/>
        <v>0</v>
      </c>
      <c r="I609" s="328">
        <f t="shared" si="246"/>
        <v>1512045.1605681556</v>
      </c>
      <c r="J609" s="331">
        <f t="shared" si="247"/>
        <v>1.5707956654389887</v>
      </c>
      <c r="K609" s="339">
        <f t="shared" si="263"/>
        <v>194.70439060490111</v>
      </c>
      <c r="L609" s="340">
        <f t="shared" si="264"/>
        <v>1.5656603132034927</v>
      </c>
      <c r="M609" s="328">
        <f t="shared" si="248"/>
        <v>3.2775405610632085</v>
      </c>
      <c r="N609" s="331">
        <f t="shared" si="249"/>
        <v>1.2607457240871021</v>
      </c>
      <c r="O609" s="332">
        <f t="shared" si="250"/>
        <v>10.088834204574724</v>
      </c>
      <c r="P609" s="333">
        <f t="shared" si="251"/>
        <v>2.6489274455311653</v>
      </c>
      <c r="Q609" s="334">
        <f t="shared" si="252"/>
        <v>-55.448363440552058</v>
      </c>
      <c r="R609" s="335">
        <f t="shared" si="253"/>
        <v>-297.92505918197418</v>
      </c>
      <c r="S609" s="337">
        <f t="shared" si="254"/>
        <v>-117.92505918197418</v>
      </c>
      <c r="U609" s="310">
        <f t="shared" si="260"/>
        <v>691830</v>
      </c>
      <c r="V609" s="310">
        <f t="shared" si="261"/>
        <v>478628748900</v>
      </c>
      <c r="X609" s="336">
        <f t="shared" si="255"/>
        <v>-7.4755615052930322</v>
      </c>
      <c r="Y609" s="337">
        <f t="shared" si="256"/>
        <v>-72.52964312164012</v>
      </c>
      <c r="AA609" s="336">
        <f t="shared" si="257"/>
        <v>-47.972801935259028</v>
      </c>
      <c r="AB609" s="337">
        <f t="shared" si="258"/>
        <v>-225.3954160603341</v>
      </c>
      <c r="AD609">
        <f t="shared" si="262"/>
        <v>0</v>
      </c>
      <c r="AE609">
        <f t="shared" si="265"/>
        <v>0</v>
      </c>
    </row>
    <row r="610" spans="1:31" x14ac:dyDescent="0.25">
      <c r="A610" s="338">
        <v>758580</v>
      </c>
      <c r="B610" s="355">
        <f t="shared" si="259"/>
        <v>758.58</v>
      </c>
      <c r="C610" s="328">
        <f t="shared" si="240"/>
        <v>170.24623266629428</v>
      </c>
      <c r="D610" s="329">
        <f t="shared" si="241"/>
        <v>1.5649224479150501</v>
      </c>
      <c r="E610" s="329">
        <f t="shared" si="242"/>
        <v>1.0483119193097197</v>
      </c>
      <c r="F610" s="330">
        <f t="shared" si="243"/>
        <v>0.30477479168310034</v>
      </c>
      <c r="G610" s="329">
        <f t="shared" si="244"/>
        <v>1</v>
      </c>
      <c r="H610" s="330">
        <f t="shared" si="245"/>
        <v>0</v>
      </c>
      <c r="I610" s="328">
        <f t="shared" si="246"/>
        <v>1657932.1768407689</v>
      </c>
      <c r="J610" s="331">
        <f t="shared" si="247"/>
        <v>1.5707957236339145</v>
      </c>
      <c r="K610" s="339">
        <f t="shared" si="263"/>
        <v>213.48962733701774</v>
      </c>
      <c r="L610" s="340">
        <f t="shared" si="264"/>
        <v>1.5661122413465351</v>
      </c>
      <c r="M610" s="328">
        <f t="shared" si="248"/>
        <v>3.5655146970468445</v>
      </c>
      <c r="N610" s="331">
        <f t="shared" si="249"/>
        <v>1.2865184159623049</v>
      </c>
      <c r="O610" s="332">
        <f t="shared" si="250"/>
        <v>12.081106721089823</v>
      </c>
      <c r="P610" s="333">
        <f t="shared" si="251"/>
        <v>2.6936777753143639</v>
      </c>
      <c r="Q610" s="334">
        <f t="shared" si="252"/>
        <v>-58.478891705463454</v>
      </c>
      <c r="R610" s="335">
        <f t="shared" si="253"/>
        <v>-300.5179297714742</v>
      </c>
      <c r="S610" s="337">
        <f t="shared" si="254"/>
        <v>-120.5179297714742</v>
      </c>
      <c r="U610" s="310">
        <f t="shared" si="260"/>
        <v>758580</v>
      </c>
      <c r="V610" s="310">
        <f t="shared" si="261"/>
        <v>575443616400</v>
      </c>
      <c r="X610" s="336">
        <f t="shared" si="255"/>
        <v>-8.2070638985591824</v>
      </c>
      <c r="Y610" s="337">
        <f t="shared" si="256"/>
        <v>-73.980419353522223</v>
      </c>
      <c r="AA610" s="336">
        <f t="shared" si="257"/>
        <v>-50.27182780690427</v>
      </c>
      <c r="AB610" s="337">
        <f t="shared" si="258"/>
        <v>-226.53751041795198</v>
      </c>
      <c r="AD610">
        <f t="shared" si="262"/>
        <v>0</v>
      </c>
      <c r="AE610">
        <f t="shared" si="265"/>
        <v>0</v>
      </c>
    </row>
    <row r="611" spans="1:31" x14ac:dyDescent="0.25">
      <c r="A611" s="338">
        <v>831760</v>
      </c>
      <c r="B611" s="355">
        <f t="shared" si="259"/>
        <v>831.76</v>
      </c>
      <c r="C611" s="328">
        <f t="shared" si="240"/>
        <v>186.66929729679455</v>
      </c>
      <c r="D611" s="329">
        <f t="shared" si="241"/>
        <v>1.5654392338097536</v>
      </c>
      <c r="E611" s="329">
        <f t="shared" si="242"/>
        <v>1.0578145869620919</v>
      </c>
      <c r="F611" s="330">
        <f t="shared" si="243"/>
        <v>0.33214451180509896</v>
      </c>
      <c r="G611" s="329">
        <f t="shared" si="244"/>
        <v>1</v>
      </c>
      <c r="H611" s="330">
        <f t="shared" si="245"/>
        <v>0</v>
      </c>
      <c r="I611" s="328">
        <f t="shared" si="246"/>
        <v>1817872.4292876637</v>
      </c>
      <c r="J611" s="331">
        <f t="shared" si="247"/>
        <v>1.5707957767012906</v>
      </c>
      <c r="K611" s="339">
        <f t="shared" si="263"/>
        <v>234.08447986062777</v>
      </c>
      <c r="L611" s="340">
        <f t="shared" si="264"/>
        <v>1.5665243518129146</v>
      </c>
      <c r="M611" s="328">
        <f t="shared" si="248"/>
        <v>3.8835266740317156</v>
      </c>
      <c r="N611" s="331">
        <f t="shared" si="249"/>
        <v>1.3103644291194669</v>
      </c>
      <c r="O611" s="332">
        <f t="shared" si="250"/>
        <v>14.478948804472024</v>
      </c>
      <c r="P611" s="333">
        <f t="shared" si="251"/>
        <v>2.7341913314222404</v>
      </c>
      <c r="Q611" s="334">
        <f t="shared" si="252"/>
        <v>-61.515122290409742</v>
      </c>
      <c r="R611" s="335">
        <f t="shared" si="253"/>
        <v>-302.64329251542296</v>
      </c>
      <c r="S611" s="337">
        <f t="shared" si="254"/>
        <v>-122.64329251542296</v>
      </c>
      <c r="U611" s="310">
        <f t="shared" si="260"/>
        <v>831760</v>
      </c>
      <c r="V611" s="310">
        <f t="shared" si="261"/>
        <v>691824697600</v>
      </c>
      <c r="X611" s="336">
        <f t="shared" si="255"/>
        <v>-8.9491611581182386</v>
      </c>
      <c r="Y611" s="337">
        <f t="shared" si="256"/>
        <v>-75.323086117295205</v>
      </c>
      <c r="AA611" s="336">
        <f t="shared" si="257"/>
        <v>-52.565961132291498</v>
      </c>
      <c r="AB611" s="337">
        <f t="shared" si="258"/>
        <v>-227.32020639812771</v>
      </c>
      <c r="AD611">
        <f t="shared" si="262"/>
        <v>0</v>
      </c>
      <c r="AE611">
        <f t="shared" si="265"/>
        <v>0</v>
      </c>
    </row>
    <row r="612" spans="1:31" x14ac:dyDescent="0.25">
      <c r="A612" s="338">
        <v>912010</v>
      </c>
      <c r="B612" s="355">
        <f t="shared" si="259"/>
        <v>912.01</v>
      </c>
      <c r="C612" s="328">
        <f t="shared" si="240"/>
        <v>204.67905986905001</v>
      </c>
      <c r="D612" s="329">
        <f t="shared" si="241"/>
        <v>1.5659106097165461</v>
      </c>
      <c r="E612" s="329">
        <f t="shared" si="242"/>
        <v>1.0691288406156074</v>
      </c>
      <c r="F612" s="330">
        <f t="shared" si="243"/>
        <v>0.36157462566528104</v>
      </c>
      <c r="G612" s="329">
        <f t="shared" si="244"/>
        <v>1</v>
      </c>
      <c r="H612" s="330">
        <f t="shared" si="245"/>
        <v>0</v>
      </c>
      <c r="I612" s="328">
        <f t="shared" si="246"/>
        <v>1993264.6848064344</v>
      </c>
      <c r="J612" s="331">
        <f t="shared" si="247"/>
        <v>1.5707958251053782</v>
      </c>
      <c r="K612" s="339">
        <f t="shared" si="263"/>
        <v>256.66906167102854</v>
      </c>
      <c r="L612" s="340">
        <f t="shared" si="264"/>
        <v>1.5669002493970319</v>
      </c>
      <c r="M612" s="328">
        <f t="shared" si="248"/>
        <v>4.2344001862458907</v>
      </c>
      <c r="N612" s="331">
        <f t="shared" si="249"/>
        <v>1.3323831800901265</v>
      </c>
      <c r="O612" s="332">
        <f t="shared" si="250"/>
        <v>17.364596402260371</v>
      </c>
      <c r="P612" s="333">
        <f t="shared" si="251"/>
        <v>2.7709056348519723</v>
      </c>
      <c r="Q612" s="334">
        <f t="shared" si="252"/>
        <v>-64.552601545530635</v>
      </c>
      <c r="R612" s="335">
        <f t="shared" si="253"/>
        <v>-304.32770061589866</v>
      </c>
      <c r="S612" s="337">
        <f t="shared" si="254"/>
        <v>-124.32770061589866</v>
      </c>
      <c r="U612" s="310">
        <f t="shared" si="260"/>
        <v>912010</v>
      </c>
      <c r="V612" s="310">
        <f t="shared" si="261"/>
        <v>831762240100</v>
      </c>
      <c r="X612" s="336">
        <f t="shared" si="255"/>
        <v>-9.7004866451491907</v>
      </c>
      <c r="Y612" s="337">
        <f t="shared" si="256"/>
        <v>-76.563133047731398</v>
      </c>
      <c r="AA612" s="336">
        <f t="shared" si="257"/>
        <v>-54.852114900381451</v>
      </c>
      <c r="AB612" s="337">
        <f t="shared" si="258"/>
        <v>-227.76456756816725</v>
      </c>
      <c r="AD612">
        <f t="shared" si="262"/>
        <v>0</v>
      </c>
      <c r="AE612">
        <f t="shared" si="265"/>
        <v>0</v>
      </c>
    </row>
    <row r="613" spans="1:31" x14ac:dyDescent="0.25">
      <c r="A613" s="338">
        <v>1000000</v>
      </c>
      <c r="B613" s="355">
        <f t="shared" si="259"/>
        <v>1000</v>
      </c>
      <c r="C613" s="328">
        <f t="shared" si="240"/>
        <v>224.42588227017691</v>
      </c>
      <c r="D613" s="329">
        <f t="shared" si="241"/>
        <v>1.5663404979976094</v>
      </c>
      <c r="E613" s="329">
        <f t="shared" si="242"/>
        <v>1.0825747025917321</v>
      </c>
      <c r="F613" s="330">
        <f t="shared" si="243"/>
        <v>0.3931058742190221</v>
      </c>
      <c r="G613" s="329">
        <f t="shared" si="244"/>
        <v>1</v>
      </c>
      <c r="H613" s="330">
        <f t="shared" si="245"/>
        <v>0</v>
      </c>
      <c r="I613" s="328">
        <f t="shared" si="246"/>
        <v>2185573.2774930014</v>
      </c>
      <c r="J613" s="331">
        <f t="shared" si="247"/>
        <v>1.5707958692490389</v>
      </c>
      <c r="K613" s="339">
        <f t="shared" si="263"/>
        <v>281.43192940645548</v>
      </c>
      <c r="L613" s="340">
        <f t="shared" si="264"/>
        <v>1.5672430622225588</v>
      </c>
      <c r="M613" s="328">
        <f t="shared" si="248"/>
        <v>4.6210982024857552</v>
      </c>
      <c r="N613" s="331">
        <f t="shared" si="249"/>
        <v>1.3526719984110984</v>
      </c>
      <c r="O613" s="332">
        <f t="shared" si="250"/>
        <v>20.835886163847178</v>
      </c>
      <c r="P613" s="333">
        <f t="shared" si="251"/>
        <v>2.8041967783357959</v>
      </c>
      <c r="Q613" s="334">
        <f t="shared" si="252"/>
        <v>-67.586058206341932</v>
      </c>
      <c r="R613" s="335">
        <f t="shared" si="253"/>
        <v>-305.59599041567435</v>
      </c>
      <c r="S613" s="337">
        <f t="shared" si="254"/>
        <v>-125.59599041567435</v>
      </c>
      <c r="U613" s="310">
        <f t="shared" si="260"/>
        <v>1000000</v>
      </c>
      <c r="V613" s="310">
        <f t="shared" si="261"/>
        <v>1000000000000</v>
      </c>
      <c r="X613" s="336">
        <f t="shared" si="255"/>
        <v>-10.459563689492917</v>
      </c>
      <c r="Y613" s="337">
        <f t="shared" si="256"/>
        <v>-77.705957511316456</v>
      </c>
      <c r="AA613" s="336">
        <f t="shared" si="257"/>
        <v>-57.126494516849021</v>
      </c>
      <c r="AB613" s="337">
        <f t="shared" si="258"/>
        <v>-227.89003290435792</v>
      </c>
      <c r="AD613">
        <f t="shared" si="262"/>
        <v>0</v>
      </c>
      <c r="AE613">
        <f t="shared" si="265"/>
        <v>0</v>
      </c>
    </row>
    <row r="614" spans="1:31" x14ac:dyDescent="0.25">
      <c r="A614" s="341"/>
      <c r="B614" s="341"/>
      <c r="C614" s="342"/>
      <c r="D614" s="342"/>
      <c r="E614" s="342"/>
      <c r="F614" s="342"/>
      <c r="G614" s="329"/>
      <c r="H614" s="330"/>
      <c r="I614" s="342"/>
      <c r="J614" s="342"/>
      <c r="K614" s="342"/>
      <c r="L614" s="342"/>
      <c r="M614" s="342"/>
      <c r="N614" s="342"/>
      <c r="O614" s="342"/>
      <c r="P614" s="343"/>
      <c r="Q614" s="417"/>
      <c r="R614" s="335"/>
      <c r="S614" s="344"/>
      <c r="X614" s="336"/>
      <c r="Y614" s="337"/>
      <c r="AA614" s="336"/>
      <c r="AB614" s="337"/>
    </row>
    <row r="615" spans="1:31" x14ac:dyDescent="0.25">
      <c r="A615" s="341"/>
      <c r="B615" s="341"/>
      <c r="C615" s="342"/>
      <c r="D615" s="342"/>
      <c r="E615" s="342"/>
      <c r="F615" s="342"/>
      <c r="G615" s="329"/>
      <c r="H615" s="330"/>
      <c r="I615" s="342"/>
      <c r="J615" s="342"/>
      <c r="K615" s="342"/>
      <c r="L615" s="342"/>
      <c r="M615" s="342"/>
      <c r="N615" s="342"/>
      <c r="O615" s="342"/>
      <c r="P615" s="343"/>
      <c r="Q615" s="344"/>
      <c r="R615" s="335"/>
      <c r="S615" s="344"/>
      <c r="X615" s="336"/>
      <c r="Y615" s="337"/>
      <c r="AA615" s="336"/>
      <c r="AB615" s="337"/>
    </row>
    <row r="616" spans="1:31" x14ac:dyDescent="0.25">
      <c r="A616" s="310" t="s">
        <v>352</v>
      </c>
      <c r="G616" s="329"/>
      <c r="H616" s="330"/>
      <c r="Q616" s="334"/>
      <c r="R616" s="335"/>
      <c r="S616" s="344"/>
      <c r="X616" s="336"/>
      <c r="Y616" s="337"/>
      <c r="AA616" s="336"/>
      <c r="AB616" s="337"/>
    </row>
    <row r="617" spans="1:31" x14ac:dyDescent="0.25">
      <c r="A617" s="345">
        <f>Q4*1000</f>
        <v>36308</v>
      </c>
      <c r="B617" s="345"/>
      <c r="C617" s="346">
        <f t="shared" ref="C617:C626" si="266">SQRT(1+(A617/pole1)^2)</f>
        <v>8.2095066558140761</v>
      </c>
      <c r="D617" s="339">
        <f t="shared" ref="D617:D626" si="267">ATAN(A617/pole1)</f>
        <v>1.4486830687046455</v>
      </c>
      <c r="E617" s="339">
        <f t="shared" ref="E617:E626" si="268">SQRT(1+(A617/Zero1)^2)</f>
        <v>1.0001133437697931</v>
      </c>
      <c r="F617" s="340">
        <f t="shared" ref="F617:F626" si="269">ATAN(A617/Zero1)</f>
        <v>1.5055435241352038E-2</v>
      </c>
      <c r="G617" s="329">
        <f>IF(VIN_nom&gt;Vout, 1, SQRT(1+(A617/z_RHP)^2))</f>
        <v>1</v>
      </c>
      <c r="H617" s="330">
        <f>IF(VIN_nom&gt;Vout, 0, -ATAN(A617/z_RHP))</f>
        <v>0</v>
      </c>
      <c r="I617" s="346">
        <f t="shared" ref="I617:I626" si="270">SQRT(1+(A617/Pole2)^2)</f>
        <v>79353.794565508477</v>
      </c>
      <c r="J617" s="347">
        <f t="shared" ref="J617:J626" si="271">ATAN(A617/Pole2)</f>
        <v>1.5707837250030667</v>
      </c>
      <c r="K617" s="339">
        <f t="shared" ref="K617:K626" si="272">SQRT(1+(A617/Zero2)^2)</f>
        <v>10.266981841561547</v>
      </c>
      <c r="L617" s="340">
        <f t="shared" ref="L617:L626" si="273">ATAN(A617/Zero2)</f>
        <v>1.4732420584105812</v>
      </c>
      <c r="M617" s="346">
        <f t="shared" ref="M617:M626" si="274">SQRT(1+(A617/pole4)^2)</f>
        <v>1.0133275918306577</v>
      </c>
      <c r="N617" s="347">
        <f t="shared" ref="N617:N626" si="275">ATAN(A617/pole4)</f>
        <v>0.16236523864738392</v>
      </c>
      <c r="O617" s="346">
        <f t="shared" ref="O617:O626" si="276">SQRT((1-(A617^2/(pole3^2)))^2+(A617/(Q*pole3))^2)</f>
        <v>1.0044809735022533</v>
      </c>
      <c r="P617" s="410">
        <f t="shared" ref="P617:P626" si="277">ATAN((A617/(Q*pole3))/(1-A617^2/pole3^2))</f>
        <v>0.25196854619065923</v>
      </c>
      <c r="Q617" s="334">
        <f>20*LOG10(((E617*K617*G617)/(C617*I617*O617*M617))*Adc)</f>
        <v>1.9540173675680172E-2</v>
      </c>
      <c r="R617" s="335">
        <f>((F617+L617+H617)-(D617+J617+P617+N617))*radconv</f>
        <v>-111.46911592146994</v>
      </c>
      <c r="S617" s="337">
        <f t="shared" ref="S617:S626" si="278">IF(R617&gt;0,R617,R617+180)</f>
        <v>68.530884078530065</v>
      </c>
      <c r="T617" s="310" t="s">
        <v>353</v>
      </c>
      <c r="X617" s="336">
        <f>20*LOG10((K617/(I617*M617))*AEA*Afb)</f>
        <v>2.7616848827416596</v>
      </c>
      <c r="Y617" s="337">
        <f t="shared" si="256"/>
        <v>-14.89156875356724</v>
      </c>
      <c r="AA617" s="336">
        <f>20*LOG10((E617*G617/(C617*O617))*Am)</f>
        <v>-2.7421447090659825</v>
      </c>
      <c r="AB617" s="337">
        <f>(F617+H617-(D617+P617))*radconv</f>
        <v>-96.577547167902694</v>
      </c>
    </row>
    <row r="618" spans="1:31" x14ac:dyDescent="0.25">
      <c r="A618" s="345">
        <f>A617</f>
        <v>36308</v>
      </c>
      <c r="B618" s="345"/>
      <c r="C618" s="346"/>
      <c r="D618" s="339"/>
      <c r="E618" s="339"/>
      <c r="F618" s="340"/>
      <c r="G618" s="329"/>
      <c r="H618" s="330"/>
      <c r="I618" s="346"/>
      <c r="J618" s="347"/>
      <c r="K618" s="339"/>
      <c r="L618" s="340"/>
      <c r="M618" s="328"/>
      <c r="N618" s="331"/>
      <c r="O618" s="346"/>
      <c r="P618" s="333"/>
      <c r="Q618" s="334"/>
      <c r="R618" s="335">
        <v>-135</v>
      </c>
      <c r="S618" s="337"/>
      <c r="X618" s="336"/>
      <c r="Y618" s="337"/>
      <c r="AA618" s="336"/>
      <c r="AB618" s="337"/>
    </row>
    <row r="619" spans="1:31" x14ac:dyDescent="0.25">
      <c r="A619" s="310">
        <f>A618</f>
        <v>36308</v>
      </c>
      <c r="B619" s="345"/>
      <c r="C619" s="346"/>
      <c r="D619" s="339"/>
      <c r="E619" s="339"/>
      <c r="F619" s="340"/>
      <c r="G619" s="329"/>
      <c r="H619" s="330"/>
      <c r="I619" s="346"/>
      <c r="J619" s="347"/>
      <c r="K619" s="339"/>
      <c r="L619" s="340"/>
      <c r="M619" s="328"/>
      <c r="N619" s="331"/>
      <c r="O619" s="346"/>
      <c r="P619" s="333"/>
      <c r="Q619" s="334"/>
      <c r="R619" s="335"/>
      <c r="S619" s="337"/>
      <c r="X619" s="336"/>
      <c r="Y619" s="337"/>
      <c r="AA619" s="336"/>
      <c r="AB619" s="337"/>
    </row>
    <row r="620" spans="1:31" x14ac:dyDescent="0.25">
      <c r="A620" s="345">
        <v>1000000</v>
      </c>
      <c r="B620" s="345"/>
      <c r="C620" s="346"/>
      <c r="D620" s="339"/>
      <c r="E620" s="339"/>
      <c r="F620" s="340"/>
      <c r="G620" s="329"/>
      <c r="H620" s="330"/>
      <c r="I620" s="346"/>
      <c r="J620" s="347"/>
      <c r="K620" s="339"/>
      <c r="L620" s="340"/>
      <c r="M620" s="328"/>
      <c r="N620" s="331"/>
      <c r="O620" s="346"/>
      <c r="P620" s="333"/>
      <c r="Q620" s="334"/>
      <c r="R620" s="335">
        <f>R617</f>
        <v>-111.46911592146994</v>
      </c>
      <c r="S620" s="337"/>
      <c r="X620" s="336"/>
      <c r="Y620" s="337"/>
      <c r="AA620" s="336"/>
      <c r="AB620" s="337"/>
    </row>
    <row r="621" spans="1:31" x14ac:dyDescent="0.25">
      <c r="A621" s="345"/>
      <c r="B621" s="345"/>
      <c r="C621" s="346"/>
      <c r="D621" s="339"/>
      <c r="E621" s="339"/>
      <c r="F621" s="340"/>
      <c r="G621" s="329"/>
      <c r="H621" s="330"/>
      <c r="I621" s="346"/>
      <c r="J621" s="347"/>
      <c r="K621" s="339"/>
      <c r="L621" s="340"/>
      <c r="M621" s="328"/>
      <c r="N621" s="331"/>
      <c r="O621" s="346"/>
      <c r="P621" s="333"/>
      <c r="Q621" s="334"/>
      <c r="R621" s="335"/>
      <c r="S621" s="337"/>
      <c r="X621" s="336"/>
      <c r="Y621" s="337"/>
      <c r="AA621" s="336"/>
      <c r="AB621" s="337"/>
    </row>
    <row r="622" spans="1:31" x14ac:dyDescent="0.25">
      <c r="A622" s="418">
        <f>pole1</f>
        <v>4455.8582868057547</v>
      </c>
      <c r="B622" s="345"/>
      <c r="C622" s="346">
        <f t="shared" si="266"/>
        <v>1.4142135623730951</v>
      </c>
      <c r="D622" s="339">
        <f t="shared" si="267"/>
        <v>0.78539816339744828</v>
      </c>
      <c r="E622" s="339">
        <f t="shared" si="268"/>
        <v>1.0000017071826202</v>
      </c>
      <c r="F622" s="340">
        <f t="shared" si="269"/>
        <v>1.8477987938918415E-3</v>
      </c>
      <c r="G622" s="329">
        <f t="shared" ref="G622:G628" si="279">IF(VIN_nom&gt;Vout, 1, SQRT(1+(A622/z_RHP)^2))</f>
        <v>1</v>
      </c>
      <c r="H622" s="330">
        <f t="shared" ref="H622:H628" si="280">IF(VIN_nom&gt;Vout, 0, -ATAN(A622/z_RHP))</f>
        <v>0</v>
      </c>
      <c r="I622" s="346">
        <f t="shared" si="270"/>
        <v>9738.6048512794405</v>
      </c>
      <c r="J622" s="347">
        <f t="shared" si="271"/>
        <v>1.5706936426818201</v>
      </c>
      <c r="K622" s="339">
        <f t="shared" si="272"/>
        <v>1.6039165499369379</v>
      </c>
      <c r="L622" s="340">
        <f t="shared" si="273"/>
        <v>0.89761832515936291</v>
      </c>
      <c r="M622" s="328">
        <f t="shared" si="274"/>
        <v>1.0002020460426602</v>
      </c>
      <c r="N622" s="331">
        <f t="shared" si="275"/>
        <v>2.0100349732697007E-2</v>
      </c>
      <c r="O622" s="346">
        <f t="shared" si="276"/>
        <v>1.0000621354357151</v>
      </c>
      <c r="P622" s="333">
        <f t="shared" si="277"/>
        <v>3.0736421140674295E-2</v>
      </c>
      <c r="Q622" s="334">
        <f t="shared" ref="Q622:Q628" si="281">20*LOG10(((E622*K622*G622)/(C622*I622*O622*M622))*Adc)</f>
        <v>17.54234758248068</v>
      </c>
      <c r="R622" s="335">
        <f t="shared" ref="R622:R628" si="282">((F622+L622+H622)-(D622+J622+P622+N622))*radconv</f>
        <v>-86.3712364299965</v>
      </c>
      <c r="S622" s="337">
        <f t="shared" si="278"/>
        <v>93.6287635700035</v>
      </c>
      <c r="T622" s="310" t="s">
        <v>327</v>
      </c>
      <c r="X622" s="336">
        <f>20*LOG10((K622/(I622*M622))*AEA*Afb)</f>
        <v>4.9711260558358212</v>
      </c>
      <c r="Y622" s="337">
        <f t="shared" ref="Y622:Y626" si="283">(L622-(J622+N622))*radconv</f>
        <v>-39.716040240267226</v>
      </c>
      <c r="AA622" s="336">
        <f t="shared" ref="AA622:AA628" si="284">20*LOG10((E622*G622/(C622*O622))*Am)</f>
        <v>12.571221526644864</v>
      </c>
      <c r="AB622" s="337">
        <f t="shared" ref="AB622:AB628" si="285">(F622+H622-(D622+P622))*radconv</f>
        <v>-46.655196189729281</v>
      </c>
    </row>
    <row r="623" spans="1:31" x14ac:dyDescent="0.25">
      <c r="A623" s="418">
        <f>Zero1</f>
        <v>2411438.5344508542</v>
      </c>
      <c r="B623" s="345"/>
      <c r="C623" s="346">
        <f t="shared" si="266"/>
        <v>541.18477204657393</v>
      </c>
      <c r="D623" s="339">
        <f t="shared" si="267"/>
        <v>1.5689485280010047</v>
      </c>
      <c r="E623" s="339">
        <f t="shared" si="268"/>
        <v>1.4142135623730951</v>
      </c>
      <c r="F623" s="340">
        <f t="shared" si="269"/>
        <v>0.78539816339744828</v>
      </c>
      <c r="G623" s="329">
        <f t="shared" si="279"/>
        <v>1</v>
      </c>
      <c r="H623" s="330">
        <f t="shared" si="280"/>
        <v>0</v>
      </c>
      <c r="I623" s="346">
        <f t="shared" si="270"/>
        <v>5270375.621212217</v>
      </c>
      <c r="J623" s="347">
        <f t="shared" si="271"/>
        <v>1.5707961370550998</v>
      </c>
      <c r="K623" s="339">
        <f t="shared" si="272"/>
        <v>678.652251906267</v>
      </c>
      <c r="L623" s="340">
        <f t="shared" si="273"/>
        <v>1.5693228175579306</v>
      </c>
      <c r="M623" s="328">
        <f t="shared" si="274"/>
        <v>10.925311386642969</v>
      </c>
      <c r="N623" s="331">
        <f t="shared" si="275"/>
        <v>1.4791374657624559</v>
      </c>
      <c r="O623" s="346">
        <f t="shared" si="276"/>
        <v>120.3006970696068</v>
      </c>
      <c r="P623" s="333">
        <f t="shared" si="277"/>
        <v>-0.13870176291786379</v>
      </c>
      <c r="Q623" s="334">
        <f t="shared" si="281"/>
        <v>-95.613309550768662</v>
      </c>
      <c r="R623" s="335">
        <f t="shared" si="282"/>
        <v>-121.77985253758386</v>
      </c>
      <c r="S623" s="337">
        <f t="shared" si="278"/>
        <v>58.220147462416136</v>
      </c>
      <c r="T623" s="310" t="s">
        <v>322</v>
      </c>
      <c r="X623" s="336">
        <f>20*LOG10((K623/(I623*M623))*AEA*Afb)</f>
        <v>-17.933381613827493</v>
      </c>
      <c r="Y623" s="337">
        <f t="shared" si="283"/>
        <v>-84.832749193862696</v>
      </c>
      <c r="AA623" s="336">
        <f t="shared" si="284"/>
        <v>-77.679927936941169</v>
      </c>
      <c r="AB623" s="337">
        <f t="shared" si="285"/>
        <v>-36.94710334372111</v>
      </c>
    </row>
    <row r="624" spans="1:31" x14ac:dyDescent="0.25">
      <c r="A624" s="418">
        <f>Pole2</f>
        <v>0.45754585778389983</v>
      </c>
      <c r="B624" s="345"/>
      <c r="C624" s="346">
        <f t="shared" si="266"/>
        <v>1.0000000052720135</v>
      </c>
      <c r="D624" s="339">
        <f t="shared" si="267"/>
        <v>1.0268411307662407E-4</v>
      </c>
      <c r="E624" s="339">
        <f t="shared" si="268"/>
        <v>1.000000000000018</v>
      </c>
      <c r="F624" s="340">
        <f t="shared" si="269"/>
        <v>1.8973979690844128E-7</v>
      </c>
      <c r="G624" s="329">
        <f t="shared" si="279"/>
        <v>1</v>
      </c>
      <c r="H624" s="330">
        <f t="shared" si="280"/>
        <v>0</v>
      </c>
      <c r="I624" s="346">
        <f t="shared" si="270"/>
        <v>1.4142135623730951</v>
      </c>
      <c r="J624" s="347">
        <f t="shared" si="271"/>
        <v>0.78539816339744828</v>
      </c>
      <c r="K624" s="339">
        <f t="shared" si="272"/>
        <v>1.0000000082904958</v>
      </c>
      <c r="L624" s="340">
        <f t="shared" si="273"/>
        <v>1.2876719994476003E-4</v>
      </c>
      <c r="M624" s="328">
        <f t="shared" si="274"/>
        <v>1.0000000000021307</v>
      </c>
      <c r="N624" s="331">
        <f t="shared" si="275"/>
        <v>2.0642646037598549E-6</v>
      </c>
      <c r="O624" s="346">
        <f t="shared" si="276"/>
        <v>1.0000000000006541</v>
      </c>
      <c r="P624" s="333">
        <f t="shared" si="277"/>
        <v>3.1558413068481333E-6</v>
      </c>
      <c r="Q624" s="334">
        <f t="shared" si="281"/>
        <v>93.210926753796016</v>
      </c>
      <c r="R624" s="335">
        <f t="shared" si="282"/>
        <v>-44.998793819372125</v>
      </c>
      <c r="S624" s="337">
        <f t="shared" si="278"/>
        <v>135.00120618062789</v>
      </c>
      <c r="T624" s="310" t="s">
        <v>330</v>
      </c>
      <c r="W624" s="310">
        <f>Pole2</f>
        <v>0.45754585778389983</v>
      </c>
      <c r="X624" s="336">
        <f>20*LOG10((K624/(I624*M624))*AEA*Afb)</f>
        <v>77.628880459925526</v>
      </c>
      <c r="Y624" s="337">
        <f t="shared" si="283"/>
        <v>-44.99274050796474</v>
      </c>
      <c r="AA624" s="336">
        <f t="shared" si="284"/>
        <v>15.582046293870484</v>
      </c>
      <c r="AB624" s="337">
        <f t="shared" si="285"/>
        <v>-6.0533114073785064E-3</v>
      </c>
    </row>
    <row r="625" spans="1:28" x14ac:dyDescent="0.25">
      <c r="A625" s="418">
        <f>Zero2</f>
        <v>3553.2795265512345</v>
      </c>
      <c r="B625" s="345"/>
      <c r="C625" s="346">
        <f t="shared" si="266"/>
        <v>1.2790271755417828</v>
      </c>
      <c r="D625" s="339">
        <f t="shared" si="267"/>
        <v>0.67317800163553376</v>
      </c>
      <c r="E625" s="339">
        <f t="shared" si="268"/>
        <v>1.0000010856157178</v>
      </c>
      <c r="F625" s="340">
        <f t="shared" si="269"/>
        <v>1.4735092369660135E-3</v>
      </c>
      <c r="G625" s="329">
        <f t="shared" si="279"/>
        <v>1</v>
      </c>
      <c r="H625" s="330">
        <f t="shared" si="280"/>
        <v>0</v>
      </c>
      <c r="I625" s="346">
        <f t="shared" si="270"/>
        <v>7765.9528450761491</v>
      </c>
      <c r="J625" s="347">
        <f t="shared" si="271"/>
        <v>1.570667559594952</v>
      </c>
      <c r="K625" s="339">
        <f t="shared" si="272"/>
        <v>1.4142135623730951</v>
      </c>
      <c r="L625" s="340">
        <f t="shared" si="273"/>
        <v>0.78539816339744828</v>
      </c>
      <c r="M625" s="328">
        <f t="shared" si="274"/>
        <v>1.0001284879283858</v>
      </c>
      <c r="N625" s="331">
        <f t="shared" si="275"/>
        <v>1.6029608371442038E-2</v>
      </c>
      <c r="O625" s="346">
        <f t="shared" si="276"/>
        <v>1.0000394935437742</v>
      </c>
      <c r="P625" s="333">
        <f t="shared" si="277"/>
        <v>2.4509600527862656E-2</v>
      </c>
      <c r="Q625" s="334">
        <f t="shared" si="281"/>
        <v>19.288586655798596</v>
      </c>
      <c r="R625" s="335">
        <f t="shared" si="282"/>
        <v>-85.801180350090164</v>
      </c>
      <c r="S625" s="337">
        <f t="shared" si="278"/>
        <v>94.198819649909836</v>
      </c>
      <c r="T625" s="310" t="s">
        <v>325</v>
      </c>
      <c r="W625" s="310">
        <f>Zero2</f>
        <v>3553.2795265512345</v>
      </c>
      <c r="X625" s="336">
        <f>20*LOG10((K625/(I625*M625))*AEA*Afb)</f>
        <v>5.8444693573659769</v>
      </c>
      <c r="Y625" s="337">
        <f t="shared" si="283"/>
        <v>-45.911051142295676</v>
      </c>
      <c r="AA625" s="336">
        <f t="shared" si="284"/>
        <v>13.444117298432619</v>
      </c>
      <c r="AB625" s="337">
        <f t="shared" si="285"/>
        <v>-39.89012920779448</v>
      </c>
    </row>
    <row r="626" spans="1:28" x14ac:dyDescent="0.25">
      <c r="A626" s="418">
        <f>pole3</f>
        <v>220000</v>
      </c>
      <c r="B626" s="345"/>
      <c r="C626" s="346">
        <f t="shared" si="266"/>
        <v>49.383329869754327</v>
      </c>
      <c r="D626" s="339">
        <f t="shared" si="267"/>
        <v>1.5505451943317266</v>
      </c>
      <c r="E626" s="339">
        <f t="shared" si="268"/>
        <v>1.0041530015669287</v>
      </c>
      <c r="F626" s="340">
        <f t="shared" si="269"/>
        <v>9.0979991950386349E-2</v>
      </c>
      <c r="G626" s="329">
        <f t="shared" si="279"/>
        <v>1</v>
      </c>
      <c r="H626" s="330">
        <f t="shared" si="280"/>
        <v>0</v>
      </c>
      <c r="I626" s="346">
        <f t="shared" si="270"/>
        <v>480826.12104944984</v>
      </c>
      <c r="J626" s="347">
        <f t="shared" si="271"/>
        <v>1.5707942470409977</v>
      </c>
      <c r="K626" s="339">
        <f t="shared" si="272"/>
        <v>61.922708718602607</v>
      </c>
      <c r="L626" s="340">
        <f t="shared" si="273"/>
        <v>1.5546464604257655</v>
      </c>
      <c r="M626" s="328">
        <f t="shared" si="274"/>
        <v>1.4089571150661848</v>
      </c>
      <c r="N626" s="331">
        <f t="shared" si="275"/>
        <v>0.78166043319359979</v>
      </c>
      <c r="O626" s="346">
        <f t="shared" si="276"/>
        <v>1.5174109342146069</v>
      </c>
      <c r="P626" s="333" t="e">
        <f t="shared" si="277"/>
        <v>#DIV/0!</v>
      </c>
      <c r="Q626" s="334">
        <f t="shared" si="281"/>
        <v>-22.017164730982483</v>
      </c>
      <c r="R626" s="335" t="e">
        <f t="shared" si="282"/>
        <v>#DIV/0!</v>
      </c>
      <c r="S626" s="337" t="e">
        <f t="shared" si="278"/>
        <v>#DIV/0!</v>
      </c>
      <c r="T626" s="310" t="s">
        <v>323</v>
      </c>
      <c r="X626" s="336">
        <f>20*LOG10((K626/(I626*M626))*AEA*Afb)</f>
        <v>-0.14153728945408628</v>
      </c>
      <c r="Y626" s="337">
        <f t="shared" si="283"/>
        <v>-45.711043908124026</v>
      </c>
      <c r="AA626" s="336">
        <f t="shared" si="284"/>
        <v>-21.875627441528401</v>
      </c>
      <c r="AB626" s="337" t="e">
        <f t="shared" si="285"/>
        <v>#DIV/0!</v>
      </c>
    </row>
    <row r="627" spans="1:28" ht="13.8" thickBot="1" x14ac:dyDescent="0.3">
      <c r="A627" s="396">
        <f>Fp2_u</f>
        <v>221650.7791442411</v>
      </c>
      <c r="C627" s="346">
        <f>SQRT(1+(A627/pole1)^2)</f>
        <v>49.753728358795129</v>
      </c>
      <c r="D627" s="339">
        <f>ATAN(A627/pole1)</f>
        <v>1.5506959770621995</v>
      </c>
      <c r="E627" s="339">
        <f>SQRT(1+(A627/Zero1)^2)</f>
        <v>1.0042154285281519</v>
      </c>
      <c r="F627" s="340">
        <f>ATAN(A627/Zero1)</f>
        <v>9.1658861032440794E-2</v>
      </c>
      <c r="G627" s="329">
        <f t="shared" si="279"/>
        <v>1</v>
      </c>
      <c r="H627" s="330">
        <f t="shared" si="280"/>
        <v>0</v>
      </c>
      <c r="I627" s="346">
        <f>SQRT(1+(A627/Pole2)^2)</f>
        <v>484434.01983413787</v>
      </c>
      <c r="J627" s="347">
        <f>ATAN(A627/Pole2)</f>
        <v>1.5707942625302929</v>
      </c>
      <c r="K627" s="339">
        <f>SQRT(1+(A627/Zero2)^2)</f>
        <v>62.387227612469133</v>
      </c>
      <c r="L627" s="340">
        <f>ATAN(A627/Zero2)</f>
        <v>1.5547667184234546</v>
      </c>
      <c r="M627" s="328">
        <f>SQRT(1+(A627/pole4)^2)</f>
        <v>1.4142135623730951</v>
      </c>
      <c r="N627" s="331">
        <f>ATAN(A627/pole4)</f>
        <v>0.78539816339744828</v>
      </c>
      <c r="O627" s="346">
        <f>SQRT((1-(A627^2/(pole3^2)))^2+(A627/(Q*pole3))^2)</f>
        <v>1.52887109894311</v>
      </c>
      <c r="P627" s="333">
        <f>ATAN((A627/(Q*pole3))/(1-A627^2/pole3^2))</f>
        <v>-1.5609435471868722</v>
      </c>
      <c r="Q627" s="334">
        <f t="shared" si="281"/>
        <v>-22.179244468922434</v>
      </c>
      <c r="R627" s="335">
        <f t="shared" si="282"/>
        <v>-40.079502268536025</v>
      </c>
      <c r="S627" s="337">
        <f>IF(R627&gt;0,R627,R627+180)</f>
        <v>139.92049773146397</v>
      </c>
      <c r="T627" s="310" t="s">
        <v>335</v>
      </c>
      <c r="X627" s="348"/>
      <c r="Y627" s="349"/>
      <c r="AA627" s="336">
        <f t="shared" si="284"/>
        <v>-22.005345905547827</v>
      </c>
      <c r="AB627" s="337">
        <f t="shared" si="285"/>
        <v>5.8388084172148886</v>
      </c>
    </row>
    <row r="628" spans="1:28" x14ac:dyDescent="0.25">
      <c r="A628" s="396">
        <f>z_RHP</f>
        <v>0</v>
      </c>
      <c r="C628" s="346">
        <f>SQRT(1+(A628/pole1)^2)</f>
        <v>1</v>
      </c>
      <c r="D628" s="339">
        <f>ATAN(A628/pole1)</f>
        <v>0</v>
      </c>
      <c r="E628" s="339">
        <f>SQRT(1+(A628/Zero1)^2)</f>
        <v>1</v>
      </c>
      <c r="F628" s="340">
        <f>ATAN(A628/Zero1)</f>
        <v>0</v>
      </c>
      <c r="G628" s="329">
        <f t="shared" si="279"/>
        <v>1</v>
      </c>
      <c r="H628" s="330">
        <f t="shared" si="280"/>
        <v>0</v>
      </c>
      <c r="I628" s="346">
        <f>SQRT(1+(A628/Pole2)^2)</f>
        <v>1</v>
      </c>
      <c r="J628" s="347">
        <f>ATAN(A628/Pole2)</f>
        <v>0</v>
      </c>
      <c r="K628" s="339">
        <f>SQRT(1+(A628/Zero2)^2)</f>
        <v>1</v>
      </c>
      <c r="L628" s="340">
        <f>ATAN(A628/Zero2)</f>
        <v>0</v>
      </c>
      <c r="M628" s="328">
        <f>SQRT(1+(A628/pole4)^2)</f>
        <v>1</v>
      </c>
      <c r="N628" s="331">
        <f>ATAN(A628/pole4)</f>
        <v>0</v>
      </c>
      <c r="O628" s="346">
        <f>SQRT((1-(A628^2/(pole3^2)))^2+(A628/(Q*pole3))^2)</f>
        <v>1</v>
      </c>
      <c r="P628" s="333">
        <f>ATAN((A628/(Q*pole3))/(1-A628^2/pole3^2))</f>
        <v>0</v>
      </c>
      <c r="Q628" s="334">
        <f t="shared" si="281"/>
        <v>96.221226684241657</v>
      </c>
      <c r="R628" s="335">
        <f t="shared" si="282"/>
        <v>0</v>
      </c>
      <c r="S628" s="337">
        <f>IF(R628&gt;0,R628,R628+180)</f>
        <v>180</v>
      </c>
      <c r="T628" s="310" t="s">
        <v>429</v>
      </c>
      <c r="X628" s="344"/>
      <c r="Y628" s="344"/>
      <c r="AA628" s="336">
        <f t="shared" si="284"/>
        <v>15.582046339668135</v>
      </c>
      <c r="AB628" s="337">
        <f t="shared" si="285"/>
        <v>0</v>
      </c>
    </row>
    <row r="629" spans="1:28" x14ac:dyDescent="0.25">
      <c r="A629" s="396">
        <f>Fp2_u</f>
        <v>221650.7791442411</v>
      </c>
      <c r="Q629" s="334">
        <v>-25</v>
      </c>
    </row>
    <row r="631" spans="1:28" x14ac:dyDescent="0.25">
      <c r="D631" s="310" t="s">
        <v>354</v>
      </c>
      <c r="E631" s="310" t="s">
        <v>355</v>
      </c>
    </row>
    <row r="632" spans="1:28" x14ac:dyDescent="0.25">
      <c r="A632" s="310" t="s">
        <v>327</v>
      </c>
      <c r="B632" s="310" t="s">
        <v>426</v>
      </c>
      <c r="C632" s="350">
        <f>pole1</f>
        <v>4455.8582868057547</v>
      </c>
      <c r="D632" s="350">
        <f>Q622</f>
        <v>17.54234758248068</v>
      </c>
      <c r="E632" s="350">
        <f>AA622</f>
        <v>12.571221526644864</v>
      </c>
    </row>
    <row r="633" spans="1:28" x14ac:dyDescent="0.25">
      <c r="A633" s="310" t="s">
        <v>322</v>
      </c>
      <c r="B633" s="310" t="s">
        <v>436</v>
      </c>
      <c r="C633" s="350">
        <f>Zero1</f>
        <v>2411438.5344508542</v>
      </c>
      <c r="D633" s="350">
        <f>Q623</f>
        <v>-95.613309550768662</v>
      </c>
      <c r="E633" s="350">
        <f>AA623</f>
        <v>-77.679927936941169</v>
      </c>
    </row>
    <row r="634" spans="1:28" x14ac:dyDescent="0.25">
      <c r="A634" s="310" t="s">
        <v>330</v>
      </c>
      <c r="B634" s="310" t="s">
        <v>437</v>
      </c>
      <c r="C634" s="350">
        <f>Pole2</f>
        <v>0.45754585778389983</v>
      </c>
      <c r="D634" s="350">
        <f>Q624</f>
        <v>93.210926753796016</v>
      </c>
      <c r="E634" s="350">
        <f>AA624</f>
        <v>15.582046293870484</v>
      </c>
    </row>
    <row r="635" spans="1:28" x14ac:dyDescent="0.25">
      <c r="A635" s="310" t="s">
        <v>325</v>
      </c>
      <c r="B635" s="310" t="s">
        <v>438</v>
      </c>
      <c r="C635" s="350">
        <f>Zero2</f>
        <v>3553.2795265512345</v>
      </c>
      <c r="D635" s="350">
        <f>Q625</f>
        <v>19.288586655798596</v>
      </c>
      <c r="E635" s="350">
        <f>AA625</f>
        <v>13.444117298432619</v>
      </c>
    </row>
    <row r="636" spans="1:28" x14ac:dyDescent="0.25">
      <c r="A636" s="310" t="s">
        <v>323</v>
      </c>
      <c r="B636" s="310" t="s">
        <v>435</v>
      </c>
      <c r="C636" s="310">
        <f>pole3</f>
        <v>220000</v>
      </c>
      <c r="D636" s="350">
        <f>Q626</f>
        <v>-22.017164730982483</v>
      </c>
      <c r="E636" s="350">
        <f>AA626</f>
        <v>-21.875627441528401</v>
      </c>
    </row>
    <row r="637" spans="1:28" x14ac:dyDescent="0.25">
      <c r="C637" s="396"/>
      <c r="D637" s="350"/>
      <c r="E637" s="350"/>
    </row>
    <row r="639" spans="1:28" x14ac:dyDescent="0.25">
      <c r="A639" s="350">
        <f>Q4*1000</f>
        <v>36308</v>
      </c>
    </row>
    <row r="640" spans="1:28" x14ac:dyDescent="0.25">
      <c r="A640" s="350">
        <f>Q4*1000</f>
        <v>36308</v>
      </c>
    </row>
    <row r="687" spans="30:31" x14ac:dyDescent="0.25">
      <c r="AD687" t="s">
        <v>44</v>
      </c>
      <c r="AE687" s="4">
        <f>SUM(AE689:AE1306)</f>
        <v>0</v>
      </c>
    </row>
  </sheetData>
  <mergeCells count="20">
    <mergeCell ref="X10:Y10"/>
    <mergeCell ref="AA10:AB10"/>
    <mergeCell ref="C11:D11"/>
    <mergeCell ref="E11:F11"/>
    <mergeCell ref="I11:J11"/>
    <mergeCell ref="K11:L11"/>
    <mergeCell ref="M11:N11"/>
    <mergeCell ref="O11:P11"/>
    <mergeCell ref="B10:B11"/>
    <mergeCell ref="A2:D2"/>
    <mergeCell ref="J2:L2"/>
    <mergeCell ref="M2:O2"/>
    <mergeCell ref="A10:A12"/>
    <mergeCell ref="O10:P10"/>
    <mergeCell ref="P2:R2"/>
    <mergeCell ref="G11:H11"/>
    <mergeCell ref="E2:G2"/>
    <mergeCell ref="C10:H10"/>
    <mergeCell ref="I10:N10"/>
    <mergeCell ref="Q10:S10"/>
  </mergeCells>
  <phoneticPr fontId="91" type="noConversion"/>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12" activePane="bottomLeft" state="frozen"/>
      <selection activeCell="A93" sqref="A93"/>
      <selection pane="bottomLeft" activeCell="S5" sqref="S5"/>
    </sheetView>
  </sheetViews>
  <sheetFormatPr defaultColWidth="9.109375" defaultRowHeight="13.2" x14ac:dyDescent="0.25"/>
  <cols>
    <col min="1" max="1" width="16.109375" style="310" customWidth="1"/>
    <col min="2" max="2" width="15.6640625" style="310" customWidth="1"/>
    <col min="3" max="3" width="10" style="310" customWidth="1"/>
    <col min="4" max="4" width="10.88671875" style="310" customWidth="1"/>
    <col min="5" max="5" width="10.109375" style="310" customWidth="1"/>
    <col min="6" max="8" width="11.88671875" style="310" customWidth="1"/>
    <col min="9" max="9" width="14.33203125" style="310" customWidth="1"/>
    <col min="10" max="10" width="11" style="310" customWidth="1"/>
    <col min="11" max="11" width="12" style="310" customWidth="1"/>
    <col min="12" max="12" width="11.44140625" style="310" customWidth="1"/>
    <col min="13" max="13" width="10.88671875" style="310" customWidth="1"/>
    <col min="14" max="14" width="11.44140625" style="310" customWidth="1"/>
    <col min="15" max="15" width="12.33203125" style="310" customWidth="1"/>
    <col min="16" max="16" width="12.109375" style="310" customWidth="1"/>
    <col min="17" max="17" width="9.44140625" style="310" customWidth="1"/>
    <col min="18" max="18" width="16.109375" style="310" bestFit="1" customWidth="1"/>
    <col min="19" max="19" width="15.33203125" style="350" customWidth="1"/>
    <col min="20" max="20" width="9.109375" style="310"/>
    <col min="21" max="21" width="13.44140625" style="310" bestFit="1" customWidth="1"/>
    <col min="22" max="22" width="9.33203125" style="310" bestFit="1" customWidth="1"/>
    <col min="23" max="23" width="9.109375" style="310"/>
    <col min="24" max="24" width="13.5546875" style="310" customWidth="1"/>
    <col min="25" max="25" width="12.109375" style="310" customWidth="1"/>
    <col min="26" max="26" width="9.109375" style="310"/>
    <col min="27" max="27" width="9.33203125" style="310" bestFit="1" customWidth="1"/>
    <col min="28" max="28" width="11.33203125" style="310" bestFit="1" customWidth="1"/>
    <col min="29" max="29" width="9.109375" style="310"/>
    <col min="30" max="30" width="12.33203125" customWidth="1"/>
    <col min="31" max="31" width="8.88671875" customWidth="1"/>
    <col min="32" max="16384" width="9.109375" style="310"/>
  </cols>
  <sheetData>
    <row r="1" spans="1:31" ht="13.8" thickBot="1" x14ac:dyDescent="0.3"/>
    <row r="2" spans="1:31" x14ac:dyDescent="0.25">
      <c r="A2" s="744" t="s">
        <v>412</v>
      </c>
      <c r="B2" s="745"/>
      <c r="C2" s="746"/>
      <c r="D2" s="747"/>
      <c r="E2" s="744" t="s">
        <v>318</v>
      </c>
      <c r="F2" s="745"/>
      <c r="G2" s="745"/>
      <c r="H2" s="391"/>
      <c r="I2" s="407"/>
      <c r="J2" s="744" t="s">
        <v>410</v>
      </c>
      <c r="K2" s="746"/>
      <c r="L2" s="747"/>
      <c r="M2" s="744" t="s">
        <v>411</v>
      </c>
      <c r="N2" s="746"/>
      <c r="O2" s="747"/>
      <c r="P2" s="744" t="s">
        <v>319</v>
      </c>
      <c r="Q2" s="745"/>
      <c r="R2" s="753"/>
      <c r="AD2" s="112"/>
      <c r="AE2" s="112"/>
    </row>
    <row r="3" spans="1:31" x14ac:dyDescent="0.25">
      <c r="B3" s="311" t="s">
        <v>320</v>
      </c>
      <c r="C3" s="394">
        <f>Afb_Ch2</f>
        <v>0.16</v>
      </c>
      <c r="D3" s="313" t="s">
        <v>28</v>
      </c>
      <c r="E3" s="314" t="s">
        <v>321</v>
      </c>
      <c r="F3" s="312">
        <f>Acs_Ch2</f>
        <v>12.5</v>
      </c>
      <c r="G3" s="313" t="s">
        <v>409</v>
      </c>
      <c r="H3" s="405" t="s">
        <v>337</v>
      </c>
      <c r="I3" s="416">
        <f>gm</f>
        <v>5.9999999999999995E-4</v>
      </c>
      <c r="J3" s="314" t="s">
        <v>428</v>
      </c>
      <c r="K3" s="315">
        <f>Fesr_Ch2</f>
        <v>2411438.5344508542</v>
      </c>
      <c r="L3" s="313" t="s">
        <v>9</v>
      </c>
      <c r="M3" s="314" t="s">
        <v>323</v>
      </c>
      <c r="N3" s="315">
        <f>Fsw/2</f>
        <v>220000</v>
      </c>
      <c r="O3" s="313" t="s">
        <v>9</v>
      </c>
      <c r="P3" s="316" t="s">
        <v>324</v>
      </c>
      <c r="Q3" s="315">
        <f>Am_Ch2*Afb_Ch2*AEA</f>
        <v>71811.927622562143</v>
      </c>
      <c r="R3" s="313" t="s">
        <v>28</v>
      </c>
    </row>
    <row r="4" spans="1:31" x14ac:dyDescent="0.25">
      <c r="B4" s="311" t="s">
        <v>433</v>
      </c>
      <c r="C4" s="315">
        <f>Fz1_u_Ch2</f>
        <v>3372.6413069242708</v>
      </c>
      <c r="D4" s="313" t="s">
        <v>9</v>
      </c>
      <c r="E4" s="314" t="s">
        <v>326</v>
      </c>
      <c r="F4" s="320">
        <f>Am_Ch2</f>
        <v>10.108660982905707</v>
      </c>
      <c r="G4" s="313" t="s">
        <v>28</v>
      </c>
      <c r="H4" s="406"/>
      <c r="I4" s="406"/>
      <c r="J4" s="314" t="s">
        <v>427</v>
      </c>
      <c r="K4" s="315">
        <f>Fp_dominant_Ch2</f>
        <v>2981.8965866605963</v>
      </c>
      <c r="L4" s="313" t="s">
        <v>9</v>
      </c>
      <c r="M4" s="314" t="s">
        <v>328</v>
      </c>
      <c r="N4" s="392">
        <f>Q_Ch2*pole3</f>
        <v>143144.52971943581</v>
      </c>
      <c r="O4" s="313"/>
      <c r="P4" s="316" t="s">
        <v>329</v>
      </c>
      <c r="Q4" s="356">
        <f>AE7</f>
        <v>34.279000000000003</v>
      </c>
      <c r="R4" s="313" t="s">
        <v>2</v>
      </c>
    </row>
    <row r="5" spans="1:31" x14ac:dyDescent="0.25">
      <c r="B5" s="311" t="s">
        <v>432</v>
      </c>
      <c r="C5" s="320">
        <f>Fp1_u_Ch2</f>
        <v>0.5513822714634995</v>
      </c>
      <c r="D5" s="313" t="s">
        <v>9</v>
      </c>
      <c r="E5" s="314" t="s">
        <v>27</v>
      </c>
      <c r="F5" s="394">
        <f>Q_Ch2</f>
        <v>0.65065695327016282</v>
      </c>
      <c r="G5" s="313"/>
      <c r="H5" s="406"/>
      <c r="I5" s="406"/>
      <c r="J5" s="314"/>
      <c r="K5" s="315"/>
      <c r="L5" s="313"/>
      <c r="M5" s="314" t="s">
        <v>331</v>
      </c>
      <c r="N5" s="312">
        <f>pole3^2</f>
        <v>48400000000</v>
      </c>
      <c r="O5" s="313"/>
      <c r="P5" s="316" t="s">
        <v>332</v>
      </c>
      <c r="Q5" s="320">
        <f>AE9</f>
        <v>67.004090537341114</v>
      </c>
      <c r="R5" s="379" t="s">
        <v>389</v>
      </c>
    </row>
    <row r="6" spans="1:31" x14ac:dyDescent="0.25">
      <c r="B6" s="311" t="s">
        <v>333</v>
      </c>
      <c r="C6" s="312">
        <f>AEA</f>
        <v>44399.999999999993</v>
      </c>
      <c r="D6" s="313" t="s">
        <v>28</v>
      </c>
      <c r="E6" s="314" t="s">
        <v>361</v>
      </c>
      <c r="F6" s="394">
        <f>mc_Ch2</f>
        <v>1.259736842105263</v>
      </c>
      <c r="G6" s="405"/>
      <c r="H6" s="408"/>
      <c r="I6" s="319"/>
      <c r="J6" s="317"/>
      <c r="K6" s="318"/>
      <c r="L6" s="319"/>
      <c r="M6" s="317"/>
      <c r="N6" s="419"/>
      <c r="O6" s="319"/>
      <c r="P6" s="390" t="s">
        <v>334</v>
      </c>
      <c r="Q6" s="318">
        <f>180/Pi</f>
        <v>57.295779578552292</v>
      </c>
      <c r="R6" s="319"/>
      <c r="AD6" s="5" t="s">
        <v>46</v>
      </c>
      <c r="AE6" s="5"/>
    </row>
    <row r="7" spans="1:31" ht="13.8" thickBot="1" x14ac:dyDescent="0.3">
      <c r="B7" s="386" t="s">
        <v>431</v>
      </c>
      <c r="C7" s="393">
        <f>Fp2_u_Ch2</f>
        <v>207643.44241949852</v>
      </c>
      <c r="D7" s="388" t="s">
        <v>9</v>
      </c>
      <c r="E7" s="387" t="s">
        <v>336</v>
      </c>
      <c r="F7" s="389">
        <f>k_Ch2</f>
        <v>0.98921307141606085</v>
      </c>
      <c r="G7" s="389"/>
      <c r="H7" s="409"/>
      <c r="I7" s="388"/>
      <c r="J7" s="387"/>
      <c r="K7" s="387"/>
      <c r="L7" s="388"/>
      <c r="M7" s="387"/>
      <c r="N7" s="387"/>
      <c r="O7" s="388"/>
      <c r="P7" s="387"/>
      <c r="Q7" s="387"/>
      <c r="R7" s="388"/>
      <c r="AD7" t="s">
        <v>43</v>
      </c>
      <c r="AE7">
        <f>SUM(AD12:AD613)/1000</f>
        <v>34.279000000000003</v>
      </c>
    </row>
    <row r="8" spans="1:31" x14ac:dyDescent="0.25">
      <c r="B8" s="395"/>
      <c r="C8" s="396"/>
      <c r="F8" s="397"/>
      <c r="G8" s="397"/>
      <c r="H8" s="397"/>
    </row>
    <row r="9" spans="1:31" ht="13.8" thickBot="1" x14ac:dyDescent="0.3">
      <c r="AD9" t="s">
        <v>44</v>
      </c>
      <c r="AE9" s="4">
        <f>SUM(AE13:AE613)</f>
        <v>67.004090537341114</v>
      </c>
    </row>
    <row r="10" spans="1:31" ht="13.8" x14ac:dyDescent="0.25">
      <c r="A10" s="748" t="s">
        <v>440</v>
      </c>
      <c r="B10" s="742"/>
      <c r="C10" s="756" t="s">
        <v>338</v>
      </c>
      <c r="D10" s="757"/>
      <c r="E10" s="757"/>
      <c r="F10" s="757"/>
      <c r="G10" s="757"/>
      <c r="H10" s="758"/>
      <c r="I10" s="756" t="s">
        <v>339</v>
      </c>
      <c r="J10" s="757"/>
      <c r="K10" s="757"/>
      <c r="L10" s="757"/>
      <c r="M10" s="757"/>
      <c r="N10" s="758"/>
      <c r="O10" s="751" t="s">
        <v>340</v>
      </c>
      <c r="P10" s="752"/>
      <c r="Q10" s="751" t="s">
        <v>341</v>
      </c>
      <c r="R10" s="759"/>
      <c r="S10" s="760"/>
      <c r="X10" s="761" t="s">
        <v>342</v>
      </c>
      <c r="Y10" s="762"/>
      <c r="AA10" s="761" t="s">
        <v>343</v>
      </c>
      <c r="AB10" s="762"/>
    </row>
    <row r="11" spans="1:31" x14ac:dyDescent="0.25">
      <c r="A11" s="749"/>
      <c r="B11" s="743"/>
      <c r="C11" s="763" t="s">
        <v>427</v>
      </c>
      <c r="D11" s="764"/>
      <c r="E11" s="764" t="s">
        <v>428</v>
      </c>
      <c r="F11" s="765"/>
      <c r="G11" s="754" t="s">
        <v>429</v>
      </c>
      <c r="H11" s="755"/>
      <c r="I11" s="763" t="s">
        <v>327</v>
      </c>
      <c r="J11" s="764"/>
      <c r="K11" s="764" t="s">
        <v>322</v>
      </c>
      <c r="L11" s="765"/>
      <c r="M11" s="754" t="s">
        <v>330</v>
      </c>
      <c r="N11" s="755"/>
      <c r="O11" s="763" t="s">
        <v>323</v>
      </c>
      <c r="P11" s="765"/>
      <c r="Q11" s="314"/>
      <c r="R11" s="312"/>
      <c r="S11" s="357"/>
      <c r="X11" s="314"/>
      <c r="Y11" s="313"/>
      <c r="AA11" s="314"/>
      <c r="AB11" s="313"/>
    </row>
    <row r="12" spans="1:31" ht="13.8" thickBot="1" x14ac:dyDescent="0.3">
      <c r="A12" s="750"/>
      <c r="B12" s="354"/>
      <c r="C12" s="321" t="s">
        <v>344</v>
      </c>
      <c r="D12" s="322" t="s">
        <v>345</v>
      </c>
      <c r="E12" s="322" t="s">
        <v>344</v>
      </c>
      <c r="F12" s="323" t="s">
        <v>345</v>
      </c>
      <c r="G12" s="322" t="s">
        <v>344</v>
      </c>
      <c r="H12" s="323" t="s">
        <v>345</v>
      </c>
      <c r="I12" s="321" t="s">
        <v>344</v>
      </c>
      <c r="J12" s="322" t="s">
        <v>345</v>
      </c>
      <c r="K12" s="322" t="s">
        <v>344</v>
      </c>
      <c r="L12" s="323" t="s">
        <v>345</v>
      </c>
      <c r="M12" s="321" t="s">
        <v>344</v>
      </c>
      <c r="N12" s="322" t="s">
        <v>345</v>
      </c>
      <c r="O12" s="321" t="s">
        <v>344</v>
      </c>
      <c r="P12" s="323" t="s">
        <v>345</v>
      </c>
      <c r="Q12" s="321" t="s">
        <v>346</v>
      </c>
      <c r="R12" s="322" t="s">
        <v>348</v>
      </c>
      <c r="S12" s="358" t="s">
        <v>347</v>
      </c>
      <c r="V12" s="324" t="s">
        <v>349</v>
      </c>
      <c r="X12" s="325" t="s">
        <v>350</v>
      </c>
      <c r="Y12" s="326" t="s">
        <v>351</v>
      </c>
      <c r="AA12" s="325" t="s">
        <v>350</v>
      </c>
      <c r="AB12" s="326" t="s">
        <v>351</v>
      </c>
    </row>
    <row r="13" spans="1:31" x14ac:dyDescent="0.25">
      <c r="A13" s="327">
        <v>1</v>
      </c>
      <c r="B13" s="355">
        <f>A13/1000</f>
        <v>1E-3</v>
      </c>
      <c r="C13" s="328">
        <f t="shared" ref="C13:C76" si="0">SQRT(1+(A13/pole1)^2)</f>
        <v>1.0000000562321691</v>
      </c>
      <c r="D13" s="329">
        <f t="shared" ref="D13:D76" si="1">ATAN(A13/pole1)</f>
        <v>3.3535702310581511E-4</v>
      </c>
      <c r="E13" s="329">
        <f t="shared" ref="E13:E76" si="2">SQRT(1+(A13/Zero1)^2)</f>
        <v>1.0000000000000859</v>
      </c>
      <c r="F13" s="330">
        <f t="shared" ref="F13:F76" si="3">ATAN(A13/Zero1)</f>
        <v>4.1469022979997624E-7</v>
      </c>
      <c r="G13" s="329">
        <f t="shared" ref="G13:G76" si="4">IF(VIN_nom&gt;Vout, 1, SQRT(1+(A13/z_RHP)^2))</f>
        <v>1</v>
      </c>
      <c r="H13" s="330">
        <f t="shared" ref="H13:H76" si="5">IF(VIN_nom&gt;Vout, 0, -ATAN(A13/z_RHP))</f>
        <v>0</v>
      </c>
      <c r="I13" s="328">
        <f t="shared" ref="I13:I76" si="6">SQRT(1+(A13/Pole2)^2)</f>
        <v>2.07104592400816</v>
      </c>
      <c r="J13" s="331">
        <f t="shared" ref="J13:J76" si="7">ATAN(A13/Pole2)</f>
        <v>1.0668924904501869</v>
      </c>
      <c r="K13" s="329">
        <f t="shared" ref="K13:K76" si="8">SQRT(1+(A13/Zero2)^2)</f>
        <v>1.0000000439571661</v>
      </c>
      <c r="L13" s="330">
        <f t="shared" ref="L13:L76" si="9">ATAN(A13/Zero2)</f>
        <v>2.9650350561803089E-4</v>
      </c>
      <c r="M13" s="328">
        <f t="shared" ref="M13:M76" si="10">SQRT(1+(A13/pole4)^2)</f>
        <v>1.0000000000115967</v>
      </c>
      <c r="N13" s="331">
        <f t="shared" ref="N13:N76" si="11">ATAN(A13/pole4)</f>
        <v>4.8159478977043048E-6</v>
      </c>
      <c r="O13" s="332">
        <f t="shared" ref="O13:O76" si="12">SQRT((1-(V13/pterm2))^2+(A13/pterm1)^2)</f>
        <v>1.0000000000037406</v>
      </c>
      <c r="P13" s="333">
        <f t="shared" ref="P13:P76" si="13">IF((ATAN((A13/pterm1)/(1-A13^2/pterm2))&gt;0),ATAN((A13/pterm1)/(1-A13^2/pterm2)),PI()+ATAN((A13/pterm1)/(1-A13^2/pterm2)))</f>
        <v>6.9859463156880651E-6</v>
      </c>
      <c r="Q13" s="334">
        <f t="shared" ref="Q13:Q76" si="14">20*LOG10(((E13*K13*G13)/(C13*I13*O13*M13))*Adc)</f>
        <v>90.800136999643229</v>
      </c>
      <c r="R13" s="335">
        <f t="shared" ref="R13:R76" si="15">((F13+L13+H13)-(D13+J13+P13+N13))*radconv</f>
        <v>-61.1313155481499</v>
      </c>
      <c r="S13" s="575">
        <f t="shared" ref="S13:S76" si="16">IF(R13&gt;0,R13,R13+180)</f>
        <v>118.8686844518501</v>
      </c>
      <c r="U13" s="310">
        <f>IF(Q13&lt;0,A13,1000000000)</f>
        <v>1000000000</v>
      </c>
      <c r="V13" s="310">
        <f>A13^2</f>
        <v>1</v>
      </c>
      <c r="X13" s="336">
        <f t="shared" ref="X13:X76" si="17">20*LOG10((K13/(I13*M13))*AEA*Afb_Ch2)</f>
        <v>70.706264853529206</v>
      </c>
      <c r="Y13" s="337">
        <f t="shared" ref="Y13" si="18">(L13-(J13+N13))*radconv</f>
        <v>-61.111724500833674</v>
      </c>
      <c r="AA13" s="336">
        <f t="shared" ref="AA13:AA76" si="19">20*LOG10((E13*G13/(C13*O13))*Am_Ch2)</f>
        <v>20.093872146114016</v>
      </c>
      <c r="AB13" s="337">
        <f t="shared" ref="AB13:AB76" si="20">(F13+H13-(D13+P13))*radconv</f>
        <v>-1.9591047316241516E-2</v>
      </c>
      <c r="AD13">
        <f>SUM((Q14&lt;0)*(Q13&gt;0))*A13</f>
        <v>0</v>
      </c>
      <c r="AE13">
        <f t="shared" ref="AE13:AE76" si="21">IF(AD13&gt;0,S11,0)</f>
        <v>0</v>
      </c>
    </row>
    <row r="14" spans="1:31" x14ac:dyDescent="0.25">
      <c r="A14" s="338">
        <v>1.0965</v>
      </c>
      <c r="B14" s="355">
        <f t="shared" ref="B14:B77" si="22">A14/1000</f>
        <v>1.0965E-3</v>
      </c>
      <c r="C14" s="328">
        <f t="shared" si="0"/>
        <v>1.0000000676086254</v>
      </c>
      <c r="D14" s="329">
        <f t="shared" si="1"/>
        <v>3.6771897304663383E-4</v>
      </c>
      <c r="E14" s="329">
        <f t="shared" si="2"/>
        <v>1.0000000000001035</v>
      </c>
      <c r="F14" s="330">
        <f t="shared" si="3"/>
        <v>4.5470783697566868E-7</v>
      </c>
      <c r="G14" s="329">
        <f t="shared" si="4"/>
        <v>1</v>
      </c>
      <c r="H14" s="330">
        <f t="shared" si="5"/>
        <v>0</v>
      </c>
      <c r="I14" s="328">
        <f t="shared" si="6"/>
        <v>2.2259117206457044</v>
      </c>
      <c r="J14" s="331">
        <f t="shared" si="7"/>
        <v>1.1048660430692714</v>
      </c>
      <c r="K14" s="339">
        <f t="shared" si="8"/>
        <v>1.0000000528502391</v>
      </c>
      <c r="L14" s="340">
        <f t="shared" si="9"/>
        <v>3.251160919826502E-4</v>
      </c>
      <c r="M14" s="328">
        <f t="shared" si="10"/>
        <v>1.0000000000139428</v>
      </c>
      <c r="N14" s="331">
        <f t="shared" si="11"/>
        <v>5.2806868698245118E-6</v>
      </c>
      <c r="O14" s="332">
        <f t="shared" si="12"/>
        <v>1.0000000000044973</v>
      </c>
      <c r="P14" s="333">
        <f t="shared" si="13"/>
        <v>7.660090135158773E-6</v>
      </c>
      <c r="Q14" s="334">
        <f t="shared" si="14"/>
        <v>90.173772836024085</v>
      </c>
      <c r="R14" s="335">
        <f t="shared" si="15"/>
        <v>-63.307317631873943</v>
      </c>
      <c r="S14" s="337">
        <f t="shared" si="16"/>
        <v>116.69268236812606</v>
      </c>
      <c r="U14" s="310">
        <f t="shared" ref="U14:U77" si="23">IF(Q14&lt;0,A14,1000000000)</f>
        <v>1000000000</v>
      </c>
      <c r="V14" s="310">
        <f t="shared" ref="V14:V77" si="24">A14^2</f>
        <v>1.2023122500000001</v>
      </c>
      <c r="X14" s="336">
        <f t="shared" si="17"/>
        <v>70.079900788731123</v>
      </c>
      <c r="Y14" s="337">
        <f t="shared" ref="Y14:Y77" si="25">(L14-(J14+N14))*radconv</f>
        <v>-63.285836048651475</v>
      </c>
      <c r="AA14" s="336">
        <f t="shared" si="19"/>
        <v>20.093872047292962</v>
      </c>
      <c r="AB14" s="337">
        <f t="shared" si="20"/>
        <v>-2.1481583222467446E-2</v>
      </c>
      <c r="AD14">
        <f t="shared" ref="AD14:AD77" si="26">SUM((Q15&lt;0)*(Q14&gt;0))*A14</f>
        <v>0</v>
      </c>
      <c r="AE14">
        <f t="shared" si="21"/>
        <v>0</v>
      </c>
    </row>
    <row r="15" spans="1:31" x14ac:dyDescent="0.25">
      <c r="A15" s="338">
        <v>1.2022999999999999</v>
      </c>
      <c r="B15" s="355">
        <f t="shared" si="22"/>
        <v>1.2022999999999999E-3</v>
      </c>
      <c r="C15" s="328">
        <f t="shared" si="0"/>
        <v>1.0000000812850216</v>
      </c>
      <c r="D15" s="329">
        <f t="shared" si="1"/>
        <v>4.0319974214591934E-4</v>
      </c>
      <c r="E15" s="329">
        <f t="shared" si="2"/>
        <v>1.0000000000001243</v>
      </c>
      <c r="F15" s="330">
        <f t="shared" si="3"/>
        <v>4.9858206328849871E-7</v>
      </c>
      <c r="G15" s="329">
        <f t="shared" si="4"/>
        <v>1</v>
      </c>
      <c r="H15" s="330">
        <f t="shared" si="5"/>
        <v>0</v>
      </c>
      <c r="I15" s="328">
        <f t="shared" si="6"/>
        <v>2.3988886827506479</v>
      </c>
      <c r="J15" s="331">
        <f t="shared" si="7"/>
        <v>1.1408085487386843</v>
      </c>
      <c r="K15" s="339">
        <f t="shared" si="8"/>
        <v>1.0000000635411945</v>
      </c>
      <c r="L15" s="340">
        <f t="shared" si="9"/>
        <v>3.5648616015026858E-4</v>
      </c>
      <c r="M15" s="328">
        <f t="shared" si="10"/>
        <v>1.0000000000167633</v>
      </c>
      <c r="N15" s="331">
        <f t="shared" si="11"/>
        <v>5.7902141573899414E-6</v>
      </c>
      <c r="O15" s="332">
        <f t="shared" si="12"/>
        <v>1.0000000000054072</v>
      </c>
      <c r="P15" s="333">
        <f t="shared" si="13"/>
        <v>8.3992032553681998E-6</v>
      </c>
      <c r="Q15" s="334">
        <f t="shared" si="14"/>
        <v>89.523729624157284</v>
      </c>
      <c r="R15" s="335">
        <f t="shared" si="15"/>
        <v>-65.366976068041566</v>
      </c>
      <c r="S15" s="337">
        <f t="shared" si="16"/>
        <v>114.63302393195843</v>
      </c>
      <c r="U15" s="310">
        <f t="shared" si="23"/>
        <v>1000000000</v>
      </c>
      <c r="V15" s="310">
        <f t="shared" si="24"/>
        <v>1.4455252899999997</v>
      </c>
      <c r="X15" s="336">
        <f t="shared" si="17"/>
        <v>69.429857695663713</v>
      </c>
      <c r="Y15" s="337">
        <f t="shared" si="25"/>
        <v>-65.343421752239095</v>
      </c>
      <c r="AA15" s="336">
        <f t="shared" si="19"/>
        <v>20.093871928493577</v>
      </c>
      <c r="AB15" s="337">
        <f t="shared" si="20"/>
        <v>-2.3554315802476751E-2</v>
      </c>
      <c r="AD15">
        <f t="shared" si="26"/>
        <v>0</v>
      </c>
      <c r="AE15">
        <f t="shared" si="21"/>
        <v>0</v>
      </c>
    </row>
    <row r="16" spans="1:31" x14ac:dyDescent="0.25">
      <c r="A16" s="338">
        <v>1.3183</v>
      </c>
      <c r="B16" s="355">
        <f t="shared" si="22"/>
        <v>1.3183000000000001E-3</v>
      </c>
      <c r="C16" s="328">
        <f t="shared" si="0"/>
        <v>1.0000000977267218</v>
      </c>
      <c r="D16" s="329">
        <f t="shared" si="1"/>
        <v>4.4210115133053683E-4</v>
      </c>
      <c r="E16" s="329">
        <f t="shared" si="2"/>
        <v>1.0000000000001494</v>
      </c>
      <c r="F16" s="330">
        <f t="shared" si="3"/>
        <v>5.4668612994528567E-7</v>
      </c>
      <c r="G16" s="329">
        <f t="shared" si="4"/>
        <v>1</v>
      </c>
      <c r="H16" s="330">
        <f t="shared" si="5"/>
        <v>0</v>
      </c>
      <c r="I16" s="328">
        <f t="shared" si="6"/>
        <v>2.5916025761606729</v>
      </c>
      <c r="J16" s="331">
        <f t="shared" si="7"/>
        <v>1.1746547251974284</v>
      </c>
      <c r="K16" s="339">
        <f t="shared" si="8"/>
        <v>1.0000000763938122</v>
      </c>
      <c r="L16" s="340">
        <f t="shared" si="9"/>
        <v>3.9088056300368076E-4</v>
      </c>
      <c r="M16" s="328">
        <f t="shared" si="10"/>
        <v>1.0000000000201541</v>
      </c>
      <c r="N16" s="331">
        <f t="shared" si="11"/>
        <v>6.348864113507366E-6</v>
      </c>
      <c r="O16" s="332">
        <f t="shared" si="12"/>
        <v>1.0000000000065008</v>
      </c>
      <c r="P16" s="333">
        <f t="shared" si="13"/>
        <v>9.2095730280014305E-6</v>
      </c>
      <c r="Q16" s="334">
        <f t="shared" si="14"/>
        <v>88.852563444852166</v>
      </c>
      <c r="R16" s="335">
        <f t="shared" si="15"/>
        <v>-67.306553049332479</v>
      </c>
      <c r="S16" s="337">
        <f t="shared" si="16"/>
        <v>112.69344695066752</v>
      </c>
      <c r="U16" s="310">
        <f t="shared" si="23"/>
        <v>1000000000</v>
      </c>
      <c r="V16" s="310">
        <f t="shared" si="24"/>
        <v>1.7379148900000001</v>
      </c>
      <c r="X16" s="336">
        <f t="shared" si="17"/>
        <v>68.758691659178652</v>
      </c>
      <c r="Y16" s="337">
        <f t="shared" si="25"/>
        <v>-67.280726172356196</v>
      </c>
      <c r="AA16" s="336">
        <f t="shared" si="19"/>
        <v>20.093871785673514</v>
      </c>
      <c r="AB16" s="337">
        <f t="shared" si="20"/>
        <v>-2.5826876976283584E-2</v>
      </c>
      <c r="AD16">
        <f t="shared" si="26"/>
        <v>0</v>
      </c>
      <c r="AE16">
        <f t="shared" si="21"/>
        <v>0</v>
      </c>
    </row>
    <row r="17" spans="1:31" x14ac:dyDescent="0.25">
      <c r="A17" s="338">
        <v>1.4454</v>
      </c>
      <c r="B17" s="355">
        <f t="shared" si="22"/>
        <v>1.4454000000000001E-3</v>
      </c>
      <c r="C17" s="328">
        <f t="shared" si="0"/>
        <v>1.0000001174791846</v>
      </c>
      <c r="D17" s="329">
        <f t="shared" si="1"/>
        <v>4.8472502140517205E-4</v>
      </c>
      <c r="E17" s="329">
        <f t="shared" si="2"/>
        <v>1.0000000000001796</v>
      </c>
      <c r="F17" s="330">
        <f t="shared" si="3"/>
        <v>5.993932581528483E-7</v>
      </c>
      <c r="G17" s="329">
        <f t="shared" si="4"/>
        <v>1</v>
      </c>
      <c r="H17" s="330">
        <f t="shared" si="5"/>
        <v>0</v>
      </c>
      <c r="I17" s="328">
        <f t="shared" si="6"/>
        <v>2.8056728060042118</v>
      </c>
      <c r="J17" s="331">
        <f t="shared" si="7"/>
        <v>1.2063620863408946</v>
      </c>
      <c r="K17" s="339">
        <f t="shared" si="8"/>
        <v>1.0000000918344809</v>
      </c>
      <c r="L17" s="340">
        <f t="shared" si="9"/>
        <v>4.2856615334123784E-4</v>
      </c>
      <c r="M17" s="328">
        <f t="shared" si="10"/>
        <v>1.0000000000242275</v>
      </c>
      <c r="N17" s="331">
        <f t="shared" si="11"/>
        <v>6.960971091283187E-6</v>
      </c>
      <c r="O17" s="332">
        <f t="shared" si="12"/>
        <v>1.0000000000078146</v>
      </c>
      <c r="P17" s="333">
        <f t="shared" si="13"/>
        <v>1.0097486804743848E-5</v>
      </c>
      <c r="Q17" s="334">
        <f t="shared" si="14"/>
        <v>88.163191011460512</v>
      </c>
      <c r="R17" s="335">
        <f t="shared" si="15"/>
        <v>-69.1236168919759</v>
      </c>
      <c r="S17" s="337">
        <f t="shared" si="16"/>
        <v>110.8763831080241</v>
      </c>
      <c r="U17" s="310">
        <f t="shared" si="23"/>
        <v>1000000000</v>
      </c>
      <c r="V17" s="310">
        <f t="shared" si="24"/>
        <v>2.0891811599999999</v>
      </c>
      <c r="X17" s="336">
        <f t="shared" si="17"/>
        <v>68.069319397365845</v>
      </c>
      <c r="Y17" s="337">
        <f t="shared" si="25"/>
        <v>-69.095299993319003</v>
      </c>
      <c r="AA17" s="336">
        <f t="shared" si="19"/>
        <v>20.093871614094674</v>
      </c>
      <c r="AB17" s="337">
        <f t="shared" si="20"/>
        <v>-2.8316898656901728E-2</v>
      </c>
      <c r="AD17">
        <f t="shared" si="26"/>
        <v>0</v>
      </c>
      <c r="AE17">
        <f t="shared" si="21"/>
        <v>0</v>
      </c>
    </row>
    <row r="18" spans="1:31" x14ac:dyDescent="0.25">
      <c r="A18" s="338">
        <v>1.5849</v>
      </c>
      <c r="B18" s="355">
        <f t="shared" si="22"/>
        <v>1.5849E-3</v>
      </c>
      <c r="C18" s="328">
        <f t="shared" si="0"/>
        <v>1.0000001412500301</v>
      </c>
      <c r="D18" s="329">
        <f t="shared" si="1"/>
        <v>5.3150731579533104E-4</v>
      </c>
      <c r="E18" s="329">
        <f t="shared" si="2"/>
        <v>1.0000000000002158</v>
      </c>
      <c r="F18" s="330">
        <f t="shared" si="3"/>
        <v>6.5724254520992536E-7</v>
      </c>
      <c r="G18" s="329">
        <f t="shared" si="4"/>
        <v>1</v>
      </c>
      <c r="H18" s="330">
        <f t="shared" si="5"/>
        <v>0</v>
      </c>
      <c r="I18" s="328">
        <f t="shared" si="6"/>
        <v>3.0433938697824465</v>
      </c>
      <c r="J18" s="331">
        <f t="shared" si="7"/>
        <v>1.2359960532261807</v>
      </c>
      <c r="K18" s="339">
        <f t="shared" si="8"/>
        <v>1.0000001104163538</v>
      </c>
      <c r="L18" s="340">
        <f t="shared" si="9"/>
        <v>4.6992838523331198E-4</v>
      </c>
      <c r="M18" s="328">
        <f t="shared" si="10"/>
        <v>1.0000000000291298</v>
      </c>
      <c r="N18" s="331">
        <f t="shared" si="11"/>
        <v>7.6327958229823366E-6</v>
      </c>
      <c r="O18" s="332">
        <f t="shared" si="12"/>
        <v>1.000000000009396</v>
      </c>
      <c r="P18" s="333">
        <f t="shared" si="13"/>
        <v>1.1072026315807559E-5</v>
      </c>
      <c r="Q18" s="334">
        <f t="shared" si="14"/>
        <v>87.456768191929655</v>
      </c>
      <c r="R18" s="335">
        <f t="shared" si="15"/>
        <v>-70.821919688582327</v>
      </c>
      <c r="S18" s="337">
        <f t="shared" si="16"/>
        <v>109.17808031141767</v>
      </c>
      <c r="U18" s="310">
        <f t="shared" si="23"/>
        <v>1000000000</v>
      </c>
      <c r="V18" s="310">
        <f t="shared" si="24"/>
        <v>2.51190801</v>
      </c>
      <c r="X18" s="336">
        <f t="shared" si="17"/>
        <v>67.362896784319318</v>
      </c>
      <c r="Y18" s="337">
        <f t="shared" si="25"/>
        <v>-70.790869839416828</v>
      </c>
      <c r="AA18" s="336">
        <f t="shared" si="19"/>
        <v>20.093871407610337</v>
      </c>
      <c r="AB18" s="337">
        <f t="shared" si="20"/>
        <v>-3.1049849165475724E-2</v>
      </c>
      <c r="AD18">
        <f t="shared" si="26"/>
        <v>0</v>
      </c>
      <c r="AE18">
        <f t="shared" si="21"/>
        <v>0</v>
      </c>
    </row>
    <row r="19" spans="1:31" x14ac:dyDescent="0.25">
      <c r="A19" s="338">
        <v>1.7378</v>
      </c>
      <c r="B19" s="355">
        <f t="shared" si="22"/>
        <v>1.7378000000000001E-3</v>
      </c>
      <c r="C19" s="328">
        <f t="shared" si="0"/>
        <v>1.0000001698182643</v>
      </c>
      <c r="D19" s="329">
        <f t="shared" si="1"/>
        <v>5.8278339062256101E-4</v>
      </c>
      <c r="E19" s="329">
        <f t="shared" si="2"/>
        <v>1.0000000000002598</v>
      </c>
      <c r="F19" s="330">
        <f t="shared" si="3"/>
        <v>7.2064868134631537E-7</v>
      </c>
      <c r="G19" s="329">
        <f t="shared" si="4"/>
        <v>1</v>
      </c>
      <c r="H19" s="330">
        <f t="shared" si="5"/>
        <v>0</v>
      </c>
      <c r="I19" s="328">
        <f t="shared" si="6"/>
        <v>3.3065556105062375</v>
      </c>
      <c r="J19" s="331">
        <f t="shared" si="7"/>
        <v>1.263555828591068</v>
      </c>
      <c r="K19" s="339">
        <f t="shared" si="8"/>
        <v>1.0000001327483867</v>
      </c>
      <c r="L19" s="340">
        <f t="shared" si="9"/>
        <v>5.1526376156241628E-4</v>
      </c>
      <c r="M19" s="328">
        <f t="shared" si="10"/>
        <v>1.0000000000350213</v>
      </c>
      <c r="N19" s="331">
        <f t="shared" si="11"/>
        <v>8.3691542564998438E-6</v>
      </c>
      <c r="O19" s="332">
        <f t="shared" si="12"/>
        <v>1.0000000000112963</v>
      </c>
      <c r="P19" s="333">
        <f t="shared" si="13"/>
        <v>1.2140177507510456E-5</v>
      </c>
      <c r="Q19" s="334">
        <f t="shared" si="14"/>
        <v>86.736414744034519</v>
      </c>
      <c r="R19" s="335">
        <f t="shared" si="15"/>
        <v>-72.401418637956738</v>
      </c>
      <c r="S19" s="337">
        <f t="shared" si="16"/>
        <v>107.59858136204326</v>
      </c>
      <c r="U19" s="310">
        <f t="shared" si="23"/>
        <v>1000000000</v>
      </c>
      <c r="V19" s="310">
        <f t="shared" si="24"/>
        <v>3.0199488400000001</v>
      </c>
      <c r="X19" s="336">
        <f t="shared" si="17"/>
        <v>66.642543584580793</v>
      </c>
      <c r="Y19" s="337">
        <f t="shared" si="25"/>
        <v>-72.367373318459073</v>
      </c>
      <c r="AA19" s="336">
        <f t="shared" si="19"/>
        <v>20.093871159453723</v>
      </c>
      <c r="AB19" s="337">
        <f t="shared" si="20"/>
        <v>-3.4045319497666419E-2</v>
      </c>
      <c r="AD19">
        <f t="shared" si="26"/>
        <v>0</v>
      </c>
      <c r="AE19">
        <f t="shared" si="21"/>
        <v>0</v>
      </c>
    </row>
    <row r="20" spans="1:31" x14ac:dyDescent="0.25">
      <c r="A20" s="338">
        <v>1.9055</v>
      </c>
      <c r="B20" s="355">
        <f t="shared" si="22"/>
        <v>1.9055000000000001E-3</v>
      </c>
      <c r="C20" s="328">
        <f t="shared" si="0"/>
        <v>1.0000002041750689</v>
      </c>
      <c r="D20" s="329">
        <f t="shared" si="1"/>
        <v>6.3902274450221503E-4</v>
      </c>
      <c r="E20" s="329">
        <f t="shared" si="2"/>
        <v>1.0000000000003122</v>
      </c>
      <c r="F20" s="330">
        <f t="shared" si="3"/>
        <v>7.9019223288373558E-7</v>
      </c>
      <c r="G20" s="329">
        <f t="shared" si="4"/>
        <v>1</v>
      </c>
      <c r="H20" s="330">
        <f t="shared" si="5"/>
        <v>0</v>
      </c>
      <c r="I20" s="328">
        <f t="shared" si="6"/>
        <v>3.5976338242774588</v>
      </c>
      <c r="J20" s="331">
        <f t="shared" si="7"/>
        <v>1.2891260685070829</v>
      </c>
      <c r="K20" s="339">
        <f t="shared" si="8"/>
        <v>1.0000001596053947</v>
      </c>
      <c r="L20" s="340">
        <f t="shared" si="9"/>
        <v>5.649873863952992E-4</v>
      </c>
      <c r="M20" s="328">
        <f t="shared" si="10"/>
        <v>1.0000000000421068</v>
      </c>
      <c r="N20" s="331">
        <f t="shared" si="11"/>
        <v>9.1767887188888975E-6</v>
      </c>
      <c r="O20" s="332">
        <f t="shared" si="12"/>
        <v>1.0000000000135816</v>
      </c>
      <c r="P20" s="333">
        <f t="shared" si="13"/>
        <v>1.3311720704697473E-5</v>
      </c>
      <c r="Q20" s="334">
        <f t="shared" si="14"/>
        <v>86.003592147690398</v>
      </c>
      <c r="R20" s="335">
        <f t="shared" si="15"/>
        <v>-73.866968205705618</v>
      </c>
      <c r="S20" s="337">
        <f t="shared" si="16"/>
        <v>106.13303179429438</v>
      </c>
      <c r="U20" s="310">
        <f t="shared" si="23"/>
        <v>1000000000</v>
      </c>
      <c r="V20" s="310">
        <f t="shared" si="24"/>
        <v>3.63093025</v>
      </c>
      <c r="X20" s="336">
        <f t="shared" si="17"/>
        <v>65.909721286675421</v>
      </c>
      <c r="Y20" s="337">
        <f t="shared" si="25"/>
        <v>-73.829637468655633</v>
      </c>
      <c r="AA20" s="336">
        <f t="shared" si="19"/>
        <v>20.093870861014974</v>
      </c>
      <c r="AB20" s="337">
        <f t="shared" si="20"/>
        <v>-3.7330737049988051E-2</v>
      </c>
      <c r="AD20">
        <f t="shared" si="26"/>
        <v>0</v>
      </c>
      <c r="AE20">
        <f t="shared" si="21"/>
        <v>0</v>
      </c>
    </row>
    <row r="21" spans="1:31" x14ac:dyDescent="0.25">
      <c r="A21" s="338">
        <v>2.0893000000000002</v>
      </c>
      <c r="B21" s="355">
        <f t="shared" si="22"/>
        <v>2.0893000000000001E-3</v>
      </c>
      <c r="C21" s="328">
        <f t="shared" si="0"/>
        <v>1.0000002454632069</v>
      </c>
      <c r="D21" s="329">
        <f t="shared" si="1"/>
        <v>7.0066133998373538E-4</v>
      </c>
      <c r="E21" s="329">
        <f t="shared" si="2"/>
        <v>1.0000000000003753</v>
      </c>
      <c r="F21" s="330">
        <f t="shared" si="3"/>
        <v>8.6641229712092328E-7</v>
      </c>
      <c r="G21" s="329">
        <f t="shared" si="4"/>
        <v>1</v>
      </c>
      <c r="H21" s="330">
        <f t="shared" si="5"/>
        <v>0</v>
      </c>
      <c r="I21" s="328">
        <f t="shared" si="6"/>
        <v>3.9189371276433831</v>
      </c>
      <c r="J21" s="331">
        <f t="shared" si="7"/>
        <v>1.3127715371218296</v>
      </c>
      <c r="K21" s="339">
        <f t="shared" si="8"/>
        <v>1.0000001918806856</v>
      </c>
      <c r="L21" s="340">
        <f t="shared" si="9"/>
        <v>6.1948471319684816E-4</v>
      </c>
      <c r="M21" s="328">
        <f t="shared" si="10"/>
        <v>1.0000000000506215</v>
      </c>
      <c r="N21" s="331">
        <f t="shared" si="11"/>
        <v>1.0061959942411829E-5</v>
      </c>
      <c r="O21" s="332">
        <f t="shared" si="12"/>
        <v>1.0000000000163283</v>
      </c>
      <c r="P21" s="333">
        <f t="shared" si="13"/>
        <v>1.4595737637582863E-5</v>
      </c>
      <c r="Q21" s="334">
        <f t="shared" si="14"/>
        <v>85.260565302920753</v>
      </c>
      <c r="R21" s="335">
        <f t="shared" si="15"/>
        <v>-75.222282846282397</v>
      </c>
      <c r="S21" s="337">
        <f t="shared" si="16"/>
        <v>104.7777171537176</v>
      </c>
      <c r="U21" s="310">
        <f t="shared" si="23"/>
        <v>1000000000</v>
      </c>
      <c r="V21" s="310">
        <f t="shared" si="24"/>
        <v>4.3651744900000002</v>
      </c>
      <c r="X21" s="336">
        <f t="shared" si="17"/>
        <v>65.16669480055323</v>
      </c>
      <c r="Y21" s="337">
        <f t="shared" si="25"/>
        <v>-75.181351276189005</v>
      </c>
      <c r="AA21" s="336">
        <f t="shared" si="19"/>
        <v>20.093870502367533</v>
      </c>
      <c r="AB21" s="337">
        <f t="shared" si="20"/>
        <v>-4.0931570093390532E-2</v>
      </c>
      <c r="AD21">
        <f t="shared" si="26"/>
        <v>0</v>
      </c>
      <c r="AE21">
        <f t="shared" si="21"/>
        <v>0</v>
      </c>
    </row>
    <row r="22" spans="1:31" x14ac:dyDescent="0.25">
      <c r="A22" s="338">
        <v>2.2909000000000002</v>
      </c>
      <c r="B22" s="355">
        <f t="shared" si="22"/>
        <v>2.2909000000000002E-3</v>
      </c>
      <c r="C22" s="328">
        <f t="shared" si="0"/>
        <v>1.0000002951189173</v>
      </c>
      <c r="D22" s="329">
        <f t="shared" si="1"/>
        <v>7.6826928188021754E-4</v>
      </c>
      <c r="E22" s="329">
        <f t="shared" si="2"/>
        <v>1.0000000000004512</v>
      </c>
      <c r="F22" s="330">
        <f t="shared" si="3"/>
        <v>9.5001384744853439E-7</v>
      </c>
      <c r="G22" s="329">
        <f t="shared" si="4"/>
        <v>1</v>
      </c>
      <c r="H22" s="330">
        <f t="shared" si="5"/>
        <v>0</v>
      </c>
      <c r="I22" s="328">
        <f t="shared" si="6"/>
        <v>4.273478479267335</v>
      </c>
      <c r="J22" s="331">
        <f t="shared" si="7"/>
        <v>1.3346049897160348</v>
      </c>
      <c r="K22" s="339">
        <f t="shared" si="8"/>
        <v>1.00000023069698</v>
      </c>
      <c r="L22" s="340">
        <f t="shared" si="9"/>
        <v>6.7925979645711834E-4</v>
      </c>
      <c r="M22" s="328">
        <f t="shared" si="10"/>
        <v>1.000000000060862</v>
      </c>
      <c r="N22" s="331">
        <f t="shared" si="11"/>
        <v>1.1032855038488436E-5</v>
      </c>
      <c r="O22" s="332">
        <f t="shared" si="12"/>
        <v>1.0000000000196314</v>
      </c>
      <c r="P22" s="333">
        <f t="shared" si="13"/>
        <v>1.600410441490849E-5</v>
      </c>
      <c r="Q22" s="334">
        <f t="shared" si="14"/>
        <v>84.508300704826723</v>
      </c>
      <c r="R22" s="335">
        <f t="shared" si="15"/>
        <v>-76.473827854948496</v>
      </c>
      <c r="S22" s="337">
        <f t="shared" si="16"/>
        <v>103.5261721450515</v>
      </c>
      <c r="U22" s="310">
        <f t="shared" si="23"/>
        <v>1000000000</v>
      </c>
      <c r="V22" s="310">
        <f t="shared" si="24"/>
        <v>5.2482228100000006</v>
      </c>
      <c r="X22" s="336">
        <f t="shared" si="17"/>
        <v>64.414430633791113</v>
      </c>
      <c r="Y22" s="337">
        <f t="shared" si="25"/>
        <v>-76.428946731662009</v>
      </c>
      <c r="AA22" s="336">
        <f t="shared" si="19"/>
        <v>20.093870071035596</v>
      </c>
      <c r="AB22" s="337">
        <f t="shared" si="20"/>
        <v>-4.4881123286490347E-2</v>
      </c>
      <c r="AD22">
        <f t="shared" si="26"/>
        <v>0</v>
      </c>
      <c r="AE22">
        <f t="shared" si="21"/>
        <v>0</v>
      </c>
    </row>
    <row r="23" spans="1:31" x14ac:dyDescent="0.25">
      <c r="A23" s="338">
        <v>2.5118999999999998</v>
      </c>
      <c r="B23" s="355">
        <f t="shared" si="22"/>
        <v>2.5118999999999996E-3</v>
      </c>
      <c r="C23" s="328">
        <f t="shared" si="0"/>
        <v>1.0000003548047811</v>
      </c>
      <c r="D23" s="329">
        <f t="shared" si="1"/>
        <v>8.4238313866448272E-4</v>
      </c>
      <c r="E23" s="329">
        <f t="shared" si="2"/>
        <v>1.0000000000005427</v>
      </c>
      <c r="F23" s="330">
        <f t="shared" si="3"/>
        <v>1.0416603882342434E-6</v>
      </c>
      <c r="G23" s="329">
        <f t="shared" si="4"/>
        <v>1</v>
      </c>
      <c r="H23" s="330">
        <f t="shared" si="5"/>
        <v>0</v>
      </c>
      <c r="I23" s="328">
        <f t="shared" si="6"/>
        <v>4.6641044334927715</v>
      </c>
      <c r="J23" s="331">
        <f t="shared" si="7"/>
        <v>1.3547153088163157</v>
      </c>
      <c r="K23" s="339">
        <f t="shared" si="8"/>
        <v>1.0000002773539314</v>
      </c>
      <c r="L23" s="340">
        <f t="shared" si="9"/>
        <v>7.4478703987467898E-4</v>
      </c>
      <c r="M23" s="328">
        <f t="shared" si="10"/>
        <v>1.0000000000731708</v>
      </c>
      <c r="N23" s="331">
        <f t="shared" si="11"/>
        <v>1.2097179523746861E-5</v>
      </c>
      <c r="O23" s="332">
        <f t="shared" si="12"/>
        <v>1.0000000000236016</v>
      </c>
      <c r="P23" s="333">
        <f t="shared" si="13"/>
        <v>1.7547998550786193E-5</v>
      </c>
      <c r="Q23" s="334">
        <f t="shared" si="14"/>
        <v>83.748565694341011</v>
      </c>
      <c r="R23" s="335">
        <f t="shared" si="15"/>
        <v>-77.626700431038543</v>
      </c>
      <c r="S23" s="337">
        <f t="shared" si="16"/>
        <v>102.37329956896146</v>
      </c>
      <c r="U23" s="310">
        <f t="shared" si="23"/>
        <v>1000000000</v>
      </c>
      <c r="V23" s="310">
        <f t="shared" si="24"/>
        <v>6.309641609999999</v>
      </c>
      <c r="X23" s="336">
        <f t="shared" si="17"/>
        <v>63.654696141763758</v>
      </c>
      <c r="Y23" s="337">
        <f t="shared" si="25"/>
        <v>-77.577489688891916</v>
      </c>
      <c r="AA23" s="336">
        <f t="shared" si="19"/>
        <v>20.093869552577249</v>
      </c>
      <c r="AB23" s="337">
        <f t="shared" si="20"/>
        <v>-4.9210742146619871E-2</v>
      </c>
      <c r="AD23">
        <f t="shared" si="26"/>
        <v>0</v>
      </c>
      <c r="AE23">
        <f t="shared" si="21"/>
        <v>0</v>
      </c>
    </row>
    <row r="24" spans="1:31" x14ac:dyDescent="0.25">
      <c r="A24" s="338">
        <v>2.7542</v>
      </c>
      <c r="B24" s="355">
        <f t="shared" si="22"/>
        <v>2.7542000000000001E-3</v>
      </c>
      <c r="C24" s="328">
        <f t="shared" si="0"/>
        <v>1.000000426555655</v>
      </c>
      <c r="D24" s="329">
        <f t="shared" si="1"/>
        <v>9.2364008500763753E-4</v>
      </c>
      <c r="E24" s="329">
        <f t="shared" si="2"/>
        <v>1.0000000000006524</v>
      </c>
      <c r="F24" s="330">
        <f t="shared" si="3"/>
        <v>1.1421398309146636E-6</v>
      </c>
      <c r="G24" s="329">
        <f t="shared" si="4"/>
        <v>1</v>
      </c>
      <c r="H24" s="330">
        <f t="shared" si="5"/>
        <v>0</v>
      </c>
      <c r="I24" s="328">
        <f t="shared" si="6"/>
        <v>5.0941977150034372</v>
      </c>
      <c r="J24" s="331">
        <f t="shared" si="7"/>
        <v>1.3732114578458927</v>
      </c>
      <c r="K24" s="339">
        <f t="shared" si="8"/>
        <v>1.0000003334422058</v>
      </c>
      <c r="L24" s="340">
        <f t="shared" si="9"/>
        <v>8.16629797571781E-4</v>
      </c>
      <c r="M24" s="328">
        <f t="shared" si="10"/>
        <v>1.0000000000879679</v>
      </c>
      <c r="N24" s="331">
        <f t="shared" si="11"/>
        <v>1.3264083699181868E-5</v>
      </c>
      <c r="O24" s="332">
        <f t="shared" si="12"/>
        <v>1.0000000000283746</v>
      </c>
      <c r="P24" s="333">
        <f t="shared" si="13"/>
        <v>1.9240693343224758E-5</v>
      </c>
      <c r="Q24" s="334">
        <f t="shared" si="14"/>
        <v>82.982414946064722</v>
      </c>
      <c r="R24" s="335">
        <f t="shared" si="15"/>
        <v>-78.687149188070961</v>
      </c>
      <c r="S24" s="337">
        <f t="shared" si="16"/>
        <v>101.31285081192904</v>
      </c>
      <c r="U24" s="310">
        <f t="shared" si="23"/>
        <v>1000000000</v>
      </c>
      <c r="V24" s="310">
        <f t="shared" si="24"/>
        <v>7.5856176399999997</v>
      </c>
      <c r="X24" s="336">
        <f t="shared" si="17"/>
        <v>62.888546016747895</v>
      </c>
      <c r="Y24" s="337">
        <f t="shared" si="25"/>
        <v>-78.633191538617709</v>
      </c>
      <c r="AA24" s="336">
        <f t="shared" si="19"/>
        <v>20.093868929316816</v>
      </c>
      <c r="AB24" s="337">
        <f t="shared" si="20"/>
        <v>-5.3957649453244855E-2</v>
      </c>
      <c r="AD24">
        <f t="shared" si="26"/>
        <v>0</v>
      </c>
      <c r="AE24">
        <f t="shared" si="21"/>
        <v>0</v>
      </c>
    </row>
    <row r="25" spans="1:31" x14ac:dyDescent="0.25">
      <c r="A25" s="338">
        <v>3.02</v>
      </c>
      <c r="B25" s="355">
        <f t="shared" si="22"/>
        <v>3.0200000000000001E-3</v>
      </c>
      <c r="C25" s="328">
        <f t="shared" si="0"/>
        <v>1.000000512859758</v>
      </c>
      <c r="D25" s="329">
        <f t="shared" si="1"/>
        <v>1.0127779014713581E-3</v>
      </c>
      <c r="E25" s="329">
        <f t="shared" si="2"/>
        <v>1.0000000000007843</v>
      </c>
      <c r="F25" s="330">
        <f t="shared" si="3"/>
        <v>1.2523644939953454E-6</v>
      </c>
      <c r="G25" s="329">
        <f t="shared" si="4"/>
        <v>1</v>
      </c>
      <c r="H25" s="330">
        <f t="shared" si="5"/>
        <v>0</v>
      </c>
      <c r="I25" s="328">
        <f t="shared" si="6"/>
        <v>5.5676839361593764</v>
      </c>
      <c r="J25" s="331">
        <f t="shared" si="7"/>
        <v>1.3902084752710424</v>
      </c>
      <c r="K25" s="339">
        <f t="shared" si="8"/>
        <v>1.0000004009068655</v>
      </c>
      <c r="L25" s="340">
        <f t="shared" si="9"/>
        <v>8.954403738816811E-4</v>
      </c>
      <c r="M25" s="328">
        <f t="shared" si="10"/>
        <v>1.0000000001057663</v>
      </c>
      <c r="N25" s="331">
        <f t="shared" si="11"/>
        <v>1.4544162650153923E-5</v>
      </c>
      <c r="O25" s="332">
        <f t="shared" si="12"/>
        <v>1.0000000000341154</v>
      </c>
      <c r="P25" s="333">
        <f t="shared" si="13"/>
        <v>2.1097557874130627E-5</v>
      </c>
      <c r="Q25" s="334">
        <f t="shared" si="14"/>
        <v>82.210439247094655</v>
      </c>
      <c r="R25" s="335">
        <f t="shared" si="15"/>
        <v>-79.661771677444932</v>
      </c>
      <c r="S25" s="337">
        <f t="shared" si="16"/>
        <v>100.33822832255507</v>
      </c>
      <c r="U25" s="310">
        <f t="shared" si="23"/>
        <v>1000000000</v>
      </c>
      <c r="V25" s="310">
        <f t="shared" si="24"/>
        <v>9.1204000000000001</v>
      </c>
      <c r="X25" s="336">
        <f t="shared" si="17"/>
        <v>62.116571067454124</v>
      </c>
      <c r="Y25" s="337">
        <f t="shared" si="25"/>
        <v>-79.60260673221461</v>
      </c>
      <c r="AA25" s="336">
        <f t="shared" si="19"/>
        <v>20.093868179640534</v>
      </c>
      <c r="AB25" s="337">
        <f t="shared" si="20"/>
        <v>-5.9164945230333665E-2</v>
      </c>
      <c r="AD25">
        <f t="shared" si="26"/>
        <v>0</v>
      </c>
      <c r="AE25">
        <f t="shared" si="21"/>
        <v>0</v>
      </c>
    </row>
    <row r="26" spans="1:31" x14ac:dyDescent="0.25">
      <c r="A26" s="338">
        <v>3.3113000000000001</v>
      </c>
      <c r="B26" s="355">
        <f t="shared" si="22"/>
        <v>3.3113000000000001E-3</v>
      </c>
      <c r="C26" s="328">
        <f t="shared" si="0"/>
        <v>1.0000006165691242</v>
      </c>
      <c r="D26" s="329">
        <f t="shared" si="1"/>
        <v>1.1104672957864016E-3</v>
      </c>
      <c r="E26" s="329">
        <f t="shared" si="2"/>
        <v>1.0000000000009428</v>
      </c>
      <c r="F26" s="330">
        <f t="shared" si="3"/>
        <v>1.3731637579358769E-6</v>
      </c>
      <c r="G26" s="329">
        <f t="shared" si="4"/>
        <v>1</v>
      </c>
      <c r="H26" s="330">
        <f t="shared" si="5"/>
        <v>0</v>
      </c>
      <c r="I26" s="328">
        <f t="shared" si="6"/>
        <v>6.0881408364954845</v>
      </c>
      <c r="J26" s="331">
        <f t="shared" si="7"/>
        <v>1.4057948820733968</v>
      </c>
      <c r="K26" s="339">
        <f t="shared" si="8"/>
        <v>1.0000004819773709</v>
      </c>
      <c r="L26" s="340">
        <f t="shared" si="9"/>
        <v>9.8181177145073681E-4</v>
      </c>
      <c r="M26" s="328">
        <f t="shared" si="10"/>
        <v>1.0000000001271543</v>
      </c>
      <c r="N26" s="331">
        <f t="shared" si="11"/>
        <v>1.5947048272439731E-5</v>
      </c>
      <c r="O26" s="332">
        <f t="shared" si="12"/>
        <v>1.0000000000410143</v>
      </c>
      <c r="P26" s="333">
        <f t="shared" si="13"/>
        <v>2.3132564036150595E-5</v>
      </c>
      <c r="Q26" s="334">
        <f t="shared" si="14"/>
        <v>81.434236711888204</v>
      </c>
      <c r="R26" s="335">
        <f t="shared" si="15"/>
        <v>-80.55564553486299</v>
      </c>
      <c r="S26" s="337">
        <f t="shared" si="16"/>
        <v>99.44435446513701</v>
      </c>
      <c r="U26" s="310">
        <f t="shared" si="23"/>
        <v>1000000000</v>
      </c>
      <c r="V26" s="310">
        <f t="shared" si="24"/>
        <v>10.964707690000001</v>
      </c>
      <c r="X26" s="336">
        <f t="shared" si="17"/>
        <v>61.340369433113807</v>
      </c>
      <c r="Y26" s="337">
        <f t="shared" si="25"/>
        <v>-80.490773723652325</v>
      </c>
      <c r="AA26" s="336">
        <f t="shared" si="19"/>
        <v>20.09386727877439</v>
      </c>
      <c r="AB26" s="337">
        <f t="shared" si="20"/>
        <v>-6.4871811210670774E-2</v>
      </c>
      <c r="AD26">
        <f t="shared" si="26"/>
        <v>0</v>
      </c>
      <c r="AE26">
        <f t="shared" si="21"/>
        <v>0</v>
      </c>
    </row>
    <row r="27" spans="1:31" x14ac:dyDescent="0.25">
      <c r="A27" s="338">
        <v>3.6307999999999998</v>
      </c>
      <c r="B27" s="355">
        <f t="shared" si="22"/>
        <v>3.6308E-3</v>
      </c>
      <c r="C27" s="328">
        <f t="shared" si="0"/>
        <v>1.0000007412920477</v>
      </c>
      <c r="D27" s="329">
        <f t="shared" si="1"/>
        <v>1.2176137234004227E-3</v>
      </c>
      <c r="E27" s="329">
        <f t="shared" si="2"/>
        <v>1.0000000000011335</v>
      </c>
      <c r="F27" s="330">
        <f t="shared" si="3"/>
        <v>1.5056572863567022E-6</v>
      </c>
      <c r="G27" s="329">
        <f t="shared" si="4"/>
        <v>1</v>
      </c>
      <c r="H27" s="330">
        <f t="shared" si="5"/>
        <v>0</v>
      </c>
      <c r="I27" s="328">
        <f t="shared" si="6"/>
        <v>6.6604036525043808</v>
      </c>
      <c r="J27" s="331">
        <f t="shared" si="7"/>
        <v>1.4200853880391684</v>
      </c>
      <c r="K27" s="339">
        <f t="shared" si="8"/>
        <v>1.0000005794743572</v>
      </c>
      <c r="L27" s="340">
        <f t="shared" si="9"/>
        <v>1.0765445438592255E-3</v>
      </c>
      <c r="M27" s="328">
        <f t="shared" si="10"/>
        <v>1.0000000001528755</v>
      </c>
      <c r="N27" s="331">
        <f t="shared" si="11"/>
        <v>1.7485743625337878E-5</v>
      </c>
      <c r="O27" s="332">
        <f t="shared" si="12"/>
        <v>1.0000000000493108</v>
      </c>
      <c r="P27" s="333">
        <f t="shared" si="13"/>
        <v>2.536457388435781E-5</v>
      </c>
      <c r="Q27" s="334">
        <f t="shared" si="14"/>
        <v>80.653919276649333</v>
      </c>
      <c r="R27" s="335">
        <f t="shared" si="15"/>
        <v>-81.375350918970312</v>
      </c>
      <c r="S27" s="337">
        <f t="shared" si="16"/>
        <v>98.624649081029688</v>
      </c>
      <c r="U27" s="310">
        <f t="shared" si="23"/>
        <v>1000000000</v>
      </c>
      <c r="V27" s="310">
        <f t="shared" si="24"/>
        <v>13.182708639999998</v>
      </c>
      <c r="X27" s="336">
        <f t="shared" si="17"/>
        <v>60.56005308127417</v>
      </c>
      <c r="Y27" s="337">
        <f t="shared" si="25"/>
        <v>-81.304219776236167</v>
      </c>
      <c r="AA27" s="336">
        <f t="shared" si="19"/>
        <v>20.09386619537517</v>
      </c>
      <c r="AB27" s="337">
        <f t="shared" si="20"/>
        <v>-7.113114273415308E-2</v>
      </c>
      <c r="AD27">
        <f t="shared" si="26"/>
        <v>0</v>
      </c>
      <c r="AE27">
        <f t="shared" si="21"/>
        <v>0</v>
      </c>
    </row>
    <row r="28" spans="1:31" x14ac:dyDescent="0.25">
      <c r="A28" s="338">
        <v>3.9811000000000001</v>
      </c>
      <c r="B28" s="355">
        <f t="shared" si="22"/>
        <v>3.9811000000000004E-3</v>
      </c>
      <c r="C28" s="328">
        <f t="shared" si="0"/>
        <v>1.0000008912321163</v>
      </c>
      <c r="D28" s="329">
        <f t="shared" si="1"/>
        <v>1.3350891014870588E-3</v>
      </c>
      <c r="E28" s="329">
        <f t="shared" si="2"/>
        <v>1.0000000000013629</v>
      </c>
      <c r="F28" s="330">
        <f t="shared" si="3"/>
        <v>1.6509232738552803E-6</v>
      </c>
      <c r="G28" s="329">
        <f t="shared" si="4"/>
        <v>1</v>
      </c>
      <c r="H28" s="330">
        <f t="shared" si="5"/>
        <v>0</v>
      </c>
      <c r="I28" s="328">
        <f t="shared" si="6"/>
        <v>7.289138679949164</v>
      </c>
      <c r="J28" s="331">
        <f t="shared" si="7"/>
        <v>1.433171871837855</v>
      </c>
      <c r="K28" s="339">
        <f t="shared" si="8"/>
        <v>1.0000006966838075</v>
      </c>
      <c r="L28" s="340">
        <f t="shared" si="9"/>
        <v>1.1804095925594445E-3</v>
      </c>
      <c r="M28" s="328">
        <f t="shared" si="10"/>
        <v>1.0000000001837974</v>
      </c>
      <c r="N28" s="331">
        <f t="shared" si="11"/>
        <v>1.9172770173349563E-5</v>
      </c>
      <c r="O28" s="332">
        <f t="shared" si="12"/>
        <v>1.0000000000592848</v>
      </c>
      <c r="P28" s="333">
        <f t="shared" si="13"/>
        <v>2.7811750879200125E-5</v>
      </c>
      <c r="Q28" s="334">
        <f t="shared" si="14"/>
        <v>79.870405737996848</v>
      </c>
      <c r="R28" s="335">
        <f t="shared" si="15"/>
        <v>-82.126159573877601</v>
      </c>
      <c r="S28" s="337">
        <f t="shared" si="16"/>
        <v>97.873840426122399</v>
      </c>
      <c r="U28" s="310">
        <f t="shared" si="23"/>
        <v>1000000000</v>
      </c>
      <c r="V28" s="310">
        <f t="shared" si="24"/>
        <v>15.849157210000001</v>
      </c>
      <c r="X28" s="336">
        <f t="shared" si="17"/>
        <v>59.776540845068141</v>
      </c>
      <c r="Y28" s="337">
        <f t="shared" si="25"/>
        <v>-82.048165697989006</v>
      </c>
      <c r="AA28" s="336">
        <f t="shared" si="19"/>
        <v>20.093864892928703</v>
      </c>
      <c r="AB28" s="337">
        <f t="shared" si="20"/>
        <v>-7.7993875888598296E-2</v>
      </c>
      <c r="AD28">
        <f t="shared" si="26"/>
        <v>0</v>
      </c>
      <c r="AE28">
        <f t="shared" si="21"/>
        <v>0</v>
      </c>
    </row>
    <row r="29" spans="1:31" x14ac:dyDescent="0.25">
      <c r="A29" s="338">
        <v>4.3651999999999997</v>
      </c>
      <c r="B29" s="355">
        <f t="shared" si="22"/>
        <v>4.3651999999999996E-3</v>
      </c>
      <c r="C29" s="328">
        <f t="shared" si="0"/>
        <v>1.0000010715018099</v>
      </c>
      <c r="D29" s="329">
        <f t="shared" si="1"/>
        <v>1.4638994864264411E-3</v>
      </c>
      <c r="E29" s="329">
        <f t="shared" si="2"/>
        <v>1.0000000000016385</v>
      </c>
      <c r="F29" s="330">
        <f t="shared" si="3"/>
        <v>1.8102057911209828E-6</v>
      </c>
      <c r="G29" s="329">
        <f t="shared" si="4"/>
        <v>1</v>
      </c>
      <c r="H29" s="330">
        <f t="shared" si="5"/>
        <v>0</v>
      </c>
      <c r="I29" s="328">
        <f t="shared" si="6"/>
        <v>7.9797371904464143</v>
      </c>
      <c r="J29" s="331">
        <f t="shared" si="7"/>
        <v>1.4451485696095034</v>
      </c>
      <c r="K29" s="339">
        <f t="shared" si="8"/>
        <v>1.0000008376021934</v>
      </c>
      <c r="L29" s="340">
        <f t="shared" si="9"/>
        <v>1.2942964179159244E-3</v>
      </c>
      <c r="M29" s="328">
        <f t="shared" si="10"/>
        <v>1.0000000002209743</v>
      </c>
      <c r="N29" s="331">
        <f t="shared" si="11"/>
        <v>2.1022575760124395E-5</v>
      </c>
      <c r="O29" s="332">
        <f t="shared" si="12"/>
        <v>1.0000000000712763</v>
      </c>
      <c r="P29" s="333">
        <f t="shared" si="13"/>
        <v>3.0495052859660458E-5</v>
      </c>
      <c r="Q29" s="334">
        <f t="shared" si="14"/>
        <v>79.084157890520217</v>
      </c>
      <c r="R29" s="335">
        <f t="shared" si="15"/>
        <v>-82.813479468177277</v>
      </c>
      <c r="S29" s="337">
        <f t="shared" si="16"/>
        <v>97.186520531822723</v>
      </c>
      <c r="U29" s="310">
        <f t="shared" si="23"/>
        <v>1000000000</v>
      </c>
      <c r="V29" s="310">
        <f t="shared" si="24"/>
        <v>19.054971039999998</v>
      </c>
      <c r="X29" s="336">
        <f t="shared" si="17"/>
        <v>58.990294563494402</v>
      </c>
      <c r="Y29" s="337">
        <f t="shared" si="25"/>
        <v>-82.727960685202959</v>
      </c>
      <c r="AA29" s="336">
        <f t="shared" si="19"/>
        <v>20.093863327025815</v>
      </c>
      <c r="AB29" s="337">
        <f t="shared" si="20"/>
        <v>-8.5518782974328786E-2</v>
      </c>
      <c r="AD29">
        <f t="shared" si="26"/>
        <v>0</v>
      </c>
      <c r="AE29">
        <f t="shared" si="21"/>
        <v>0</v>
      </c>
    </row>
    <row r="30" spans="1:31" x14ac:dyDescent="0.25">
      <c r="A30" s="338">
        <v>4.7862999999999998</v>
      </c>
      <c r="B30" s="355">
        <f t="shared" si="22"/>
        <v>4.7862999999999994E-3</v>
      </c>
      <c r="C30" s="328">
        <f t="shared" si="0"/>
        <v>1.000001288203282</v>
      </c>
      <c r="D30" s="329">
        <f t="shared" si="1"/>
        <v>1.605118001385464E-3</v>
      </c>
      <c r="E30" s="329">
        <f t="shared" si="2"/>
        <v>1.0000000000019698</v>
      </c>
      <c r="F30" s="330">
        <f t="shared" si="3"/>
        <v>1.9848318468891336E-6</v>
      </c>
      <c r="G30" s="329">
        <f t="shared" si="4"/>
        <v>1</v>
      </c>
      <c r="H30" s="330">
        <f t="shared" si="5"/>
        <v>0</v>
      </c>
      <c r="I30" s="328">
        <f t="shared" si="6"/>
        <v>8.7379577110261462</v>
      </c>
      <c r="J30" s="331">
        <f t="shared" si="7"/>
        <v>1.4561018095267366</v>
      </c>
      <c r="K30" s="339">
        <f t="shared" si="8"/>
        <v>1.0000010069996244</v>
      </c>
      <c r="L30" s="340">
        <f t="shared" si="9"/>
        <v>1.4191538178027188E-3</v>
      </c>
      <c r="M30" s="328">
        <f t="shared" si="10"/>
        <v>1.0000000002656644</v>
      </c>
      <c r="N30" s="331">
        <f t="shared" si="11"/>
        <v>2.3050571418877843E-5</v>
      </c>
      <c r="O30" s="332">
        <f t="shared" si="12"/>
        <v>1.0000000000856915</v>
      </c>
      <c r="P30" s="333">
        <f t="shared" si="13"/>
        <v>3.3436834853996152E-5</v>
      </c>
      <c r="Q30" s="334">
        <f t="shared" si="14"/>
        <v>78.295730473855201</v>
      </c>
      <c r="R30" s="335">
        <f t="shared" si="15"/>
        <v>-83.442266052937867</v>
      </c>
      <c r="S30" s="337">
        <f t="shared" si="16"/>
        <v>96.557733947062133</v>
      </c>
      <c r="U30" s="310">
        <f t="shared" si="23"/>
        <v>1000000000</v>
      </c>
      <c r="V30" s="310">
        <f t="shared" si="24"/>
        <v>22.908667689999998</v>
      </c>
      <c r="X30" s="336">
        <f t="shared" si="17"/>
        <v>58.201869029194562</v>
      </c>
      <c r="Y30" s="337">
        <f t="shared" si="25"/>
        <v>-83.34849749870132</v>
      </c>
      <c r="AA30" s="336">
        <f t="shared" si="19"/>
        <v>20.093861444660632</v>
      </c>
      <c r="AB30" s="337">
        <f t="shared" si="20"/>
        <v>-9.3768554236547105E-2</v>
      </c>
      <c r="AD30">
        <f t="shared" si="26"/>
        <v>0</v>
      </c>
      <c r="AE30">
        <f t="shared" si="21"/>
        <v>0</v>
      </c>
    </row>
    <row r="31" spans="1:31" x14ac:dyDescent="0.25">
      <c r="A31" s="338">
        <v>5.2481</v>
      </c>
      <c r="B31" s="355">
        <f t="shared" si="22"/>
        <v>5.2481000000000003E-3</v>
      </c>
      <c r="C31" s="328">
        <f t="shared" si="0"/>
        <v>1.0000015487763765</v>
      </c>
      <c r="D31" s="329">
        <f t="shared" si="1"/>
        <v>1.7599854417244035E-3</v>
      </c>
      <c r="E31" s="329">
        <f t="shared" si="2"/>
        <v>1.0000000000023683</v>
      </c>
      <c r="F31" s="330">
        <f t="shared" si="3"/>
        <v>2.1763357950099443E-6</v>
      </c>
      <c r="G31" s="329">
        <f t="shared" si="4"/>
        <v>1</v>
      </c>
      <c r="H31" s="330">
        <f t="shared" si="5"/>
        <v>0</v>
      </c>
      <c r="I31" s="328">
        <f t="shared" si="6"/>
        <v>9.5704664042383776</v>
      </c>
      <c r="J31" s="331">
        <f t="shared" si="7"/>
        <v>1.4661171415017955</v>
      </c>
      <c r="K31" s="339">
        <f t="shared" si="8"/>
        <v>1.0000012106918956</v>
      </c>
      <c r="L31" s="340">
        <f t="shared" si="9"/>
        <v>1.5560788374799261E-3</v>
      </c>
      <c r="M31" s="328">
        <f t="shared" si="10"/>
        <v>1.0000000003194021</v>
      </c>
      <c r="N31" s="331">
        <f t="shared" si="11"/>
        <v>2.5274576156755534E-5</v>
      </c>
      <c r="O31" s="332">
        <f t="shared" si="12"/>
        <v>1.0000000001030247</v>
      </c>
      <c r="P31" s="333">
        <f t="shared" si="13"/>
        <v>3.666294486363782E-5</v>
      </c>
      <c r="Q31" s="334">
        <f t="shared" si="14"/>
        <v>77.50526668838279</v>
      </c>
      <c r="R31" s="335">
        <f t="shared" si="15"/>
        <v>-84.017431627371479</v>
      </c>
      <c r="S31" s="337">
        <f t="shared" si="16"/>
        <v>95.982568372628521</v>
      </c>
      <c r="U31" s="310">
        <f t="shared" si="23"/>
        <v>1000000000</v>
      </c>
      <c r="V31" s="310">
        <f t="shared" si="24"/>
        <v>27.542553609999999</v>
      </c>
      <c r="X31" s="336">
        <f t="shared" si="17"/>
        <v>57.411407507175191</v>
      </c>
      <c r="Y31" s="337">
        <f t="shared" si="25"/>
        <v>-83.914615952289353</v>
      </c>
      <c r="AA31" s="336">
        <f t="shared" si="19"/>
        <v>20.093859181207606</v>
      </c>
      <c r="AB31" s="337">
        <f t="shared" si="20"/>
        <v>-0.10281567508211023</v>
      </c>
      <c r="AD31">
        <f t="shared" si="26"/>
        <v>0</v>
      </c>
      <c r="AE31">
        <f t="shared" si="21"/>
        <v>0</v>
      </c>
    </row>
    <row r="32" spans="1:31" x14ac:dyDescent="0.25">
      <c r="A32" s="338">
        <v>5.7544000000000004</v>
      </c>
      <c r="B32" s="355">
        <f t="shared" si="22"/>
        <v>5.7544000000000007E-3</v>
      </c>
      <c r="C32" s="328">
        <f t="shared" si="0"/>
        <v>1.0000018620208464</v>
      </c>
      <c r="D32" s="329">
        <f t="shared" si="1"/>
        <v>1.9297761305817473E-3</v>
      </c>
      <c r="E32" s="329">
        <f t="shared" si="2"/>
        <v>1.0000000000028471</v>
      </c>
      <c r="F32" s="330">
        <f t="shared" si="3"/>
        <v>2.3862934583565908E-6</v>
      </c>
      <c r="G32" s="329">
        <f t="shared" si="4"/>
        <v>1</v>
      </c>
      <c r="H32" s="330">
        <f t="shared" si="5"/>
        <v>0</v>
      </c>
      <c r="I32" s="328">
        <f t="shared" si="6"/>
        <v>10.484116842586307</v>
      </c>
      <c r="J32" s="331">
        <f t="shared" si="7"/>
        <v>1.4752687247761378</v>
      </c>
      <c r="K32" s="339">
        <f t="shared" si="8"/>
        <v>1.0000014555578582</v>
      </c>
      <c r="L32" s="340">
        <f t="shared" si="9"/>
        <v>1.7061981670815152E-3</v>
      </c>
      <c r="M32" s="328">
        <f t="shared" si="10"/>
        <v>1.0000000003840022</v>
      </c>
      <c r="N32" s="331">
        <f t="shared" si="11"/>
        <v>2.7712890575669367E-5</v>
      </c>
      <c r="O32" s="332">
        <f t="shared" si="12"/>
        <v>1.0000000001238618</v>
      </c>
      <c r="P32" s="333">
        <f t="shared" si="13"/>
        <v>4.0199929484666967E-5</v>
      </c>
      <c r="Q32" s="334">
        <f t="shared" si="14"/>
        <v>76.713291107238234</v>
      </c>
      <c r="R32" s="335">
        <f t="shared" si="15"/>
        <v>-84.543236141045583</v>
      </c>
      <c r="S32" s="337">
        <f t="shared" si="16"/>
        <v>95.456763858954417</v>
      </c>
      <c r="U32" s="310">
        <f t="shared" si="23"/>
        <v>1000000000</v>
      </c>
      <c r="V32" s="310">
        <f t="shared" si="24"/>
        <v>33.113119360000006</v>
      </c>
      <c r="X32" s="336">
        <f t="shared" si="17"/>
        <v>56.619434647009719</v>
      </c>
      <c r="Y32" s="337">
        <f t="shared" si="25"/>
        <v>-84.430501551476993</v>
      </c>
      <c r="AA32" s="336">
        <f t="shared" si="19"/>
        <v>20.093856460228523</v>
      </c>
      <c r="AB32" s="337">
        <f t="shared" si="20"/>
        <v>-0.11273458956859041</v>
      </c>
      <c r="AD32">
        <f t="shared" si="26"/>
        <v>0</v>
      </c>
      <c r="AE32">
        <f t="shared" si="21"/>
        <v>0</v>
      </c>
    </row>
    <row r="33" spans="1:31" x14ac:dyDescent="0.25">
      <c r="A33" s="338">
        <v>6.3095999999999997</v>
      </c>
      <c r="B33" s="355">
        <f t="shared" si="22"/>
        <v>6.3095999999999994E-3</v>
      </c>
      <c r="C33" s="328">
        <f t="shared" si="0"/>
        <v>1.0000022386593745</v>
      </c>
      <c r="D33" s="329">
        <f t="shared" si="1"/>
        <v>2.1159655943615492E-3</v>
      </c>
      <c r="E33" s="329">
        <f t="shared" si="2"/>
        <v>1.000000000003423</v>
      </c>
      <c r="F33" s="330">
        <f t="shared" si="3"/>
        <v>2.6165294739401087E-6</v>
      </c>
      <c r="G33" s="329">
        <f t="shared" si="4"/>
        <v>1</v>
      </c>
      <c r="H33" s="330">
        <f t="shared" si="5"/>
        <v>0</v>
      </c>
      <c r="I33" s="328">
        <f t="shared" si="6"/>
        <v>11.486851424122959</v>
      </c>
      <c r="J33" s="331">
        <f t="shared" si="7"/>
        <v>1.4836299296179911</v>
      </c>
      <c r="K33" s="339">
        <f t="shared" si="8"/>
        <v>1.0000017499795371</v>
      </c>
      <c r="L33" s="340">
        <f t="shared" si="9"/>
        <v>1.8708163912779735E-3</v>
      </c>
      <c r="M33" s="328">
        <f t="shared" si="10"/>
        <v>1.0000000004616758</v>
      </c>
      <c r="N33" s="331">
        <f t="shared" si="11"/>
        <v>3.0386704846237464E-5</v>
      </c>
      <c r="O33" s="332">
        <f t="shared" si="12"/>
        <v>1.000000000148916</v>
      </c>
      <c r="P33" s="333">
        <f t="shared" si="13"/>
        <v>4.4078526880981248E-5</v>
      </c>
      <c r="Q33" s="334">
        <f t="shared" si="14"/>
        <v>75.919907365057568</v>
      </c>
      <c r="R33" s="335">
        <f t="shared" si="15"/>
        <v>-85.023896065646511</v>
      </c>
      <c r="S33" s="337">
        <f t="shared" si="16"/>
        <v>94.976103934353489</v>
      </c>
      <c r="U33" s="310">
        <f t="shared" si="23"/>
        <v>1000000000</v>
      </c>
      <c r="V33" s="310">
        <f t="shared" si="24"/>
        <v>39.811052159999996</v>
      </c>
      <c r="X33" s="336">
        <f t="shared" si="17"/>
        <v>55.826054176475637</v>
      </c>
      <c r="Y33" s="337">
        <f t="shared" si="25"/>
        <v>-84.900284569891866</v>
      </c>
      <c r="AA33" s="336">
        <f t="shared" si="19"/>
        <v>20.093853188581924</v>
      </c>
      <c r="AB33" s="337">
        <f t="shared" si="20"/>
        <v>-0.12361149575466007</v>
      </c>
      <c r="AD33">
        <f t="shared" si="26"/>
        <v>0</v>
      </c>
      <c r="AE33">
        <f t="shared" si="21"/>
        <v>0</v>
      </c>
    </row>
    <row r="34" spans="1:31" x14ac:dyDescent="0.25">
      <c r="A34" s="338">
        <v>6.9183000000000003</v>
      </c>
      <c r="B34" s="355">
        <f t="shared" si="22"/>
        <v>6.9183000000000005E-3</v>
      </c>
      <c r="C34" s="328">
        <f t="shared" si="0"/>
        <v>1.0000026914297286</v>
      </c>
      <c r="D34" s="329">
        <f t="shared" si="1"/>
        <v>2.3200964170118762E-3</v>
      </c>
      <c r="E34" s="329">
        <f t="shared" si="2"/>
        <v>1.0000000000041154</v>
      </c>
      <c r="F34" s="330">
        <f t="shared" si="3"/>
        <v>2.8689514168174689E-6</v>
      </c>
      <c r="G34" s="329">
        <f t="shared" si="4"/>
        <v>1</v>
      </c>
      <c r="H34" s="330">
        <f t="shared" si="5"/>
        <v>0</v>
      </c>
      <c r="I34" s="328">
        <f t="shared" si="6"/>
        <v>12.586979873506994</v>
      </c>
      <c r="J34" s="331">
        <f t="shared" si="7"/>
        <v>1.4912653364449744</v>
      </c>
      <c r="K34" s="339">
        <f t="shared" si="8"/>
        <v>1.0000021039141713</v>
      </c>
      <c r="L34" s="340">
        <f t="shared" si="9"/>
        <v>2.0512973858612276E-3</v>
      </c>
      <c r="M34" s="328">
        <f t="shared" si="10"/>
        <v>1.0000000005550502</v>
      </c>
      <c r="N34" s="331">
        <f t="shared" si="11"/>
        <v>3.3318172328616439E-5</v>
      </c>
      <c r="O34" s="332">
        <f t="shared" si="12"/>
        <v>1.0000000001790341</v>
      </c>
      <c r="P34" s="333">
        <f t="shared" si="13"/>
        <v>4.8330872405775326E-5</v>
      </c>
      <c r="Q34" s="334">
        <f t="shared" si="14"/>
        <v>75.125495825286947</v>
      </c>
      <c r="R34" s="335">
        <f t="shared" si="15"/>
        <v>-85.463124826988519</v>
      </c>
      <c r="S34" s="337">
        <f t="shared" si="16"/>
        <v>94.536875173011481</v>
      </c>
      <c r="U34" s="310">
        <f t="shared" si="23"/>
        <v>1000000000</v>
      </c>
      <c r="V34" s="310">
        <f t="shared" si="24"/>
        <v>47.862874890000008</v>
      </c>
      <c r="X34" s="336">
        <f t="shared" si="17"/>
        <v>55.031646569664254</v>
      </c>
      <c r="Y34" s="337">
        <f t="shared" si="25"/>
        <v>-85.327588317874216</v>
      </c>
      <c r="AA34" s="336">
        <f t="shared" si="19"/>
        <v>20.093849255622708</v>
      </c>
      <c r="AB34" s="337">
        <f t="shared" si="20"/>
        <v>-0.13553650911430229</v>
      </c>
      <c r="AD34">
        <f t="shared" si="26"/>
        <v>0</v>
      </c>
      <c r="AE34">
        <f t="shared" si="21"/>
        <v>0</v>
      </c>
    </row>
    <row r="35" spans="1:31" x14ac:dyDescent="0.25">
      <c r="A35" s="338">
        <v>7.5857999999999999</v>
      </c>
      <c r="B35" s="355">
        <f t="shared" si="22"/>
        <v>7.5858000000000002E-3</v>
      </c>
      <c r="C35" s="328">
        <f t="shared" si="0"/>
        <v>1.0000032358391306</v>
      </c>
      <c r="D35" s="329">
        <f t="shared" si="1"/>
        <v>2.5439459133781285E-3</v>
      </c>
      <c r="E35" s="329">
        <f t="shared" si="2"/>
        <v>1.000000000004948</v>
      </c>
      <c r="F35" s="330">
        <f t="shared" si="3"/>
        <v>3.1457571452064637E-6</v>
      </c>
      <c r="G35" s="329">
        <f t="shared" si="4"/>
        <v>1</v>
      </c>
      <c r="H35" s="330">
        <f t="shared" si="5"/>
        <v>0</v>
      </c>
      <c r="I35" s="328">
        <f t="shared" si="6"/>
        <v>13.794082456035319</v>
      </c>
      <c r="J35" s="331">
        <f t="shared" si="7"/>
        <v>1.4982378221942381</v>
      </c>
      <c r="K35" s="339">
        <f t="shared" si="8"/>
        <v>1.0000025294839152</v>
      </c>
      <c r="L35" s="340">
        <f t="shared" si="9"/>
        <v>2.2492125659323561E-3</v>
      </c>
      <c r="M35" s="328">
        <f t="shared" si="10"/>
        <v>1.0000000006673233</v>
      </c>
      <c r="N35" s="331">
        <f t="shared" si="11"/>
        <v>3.6532817546434958E-5</v>
      </c>
      <c r="O35" s="332">
        <f t="shared" si="12"/>
        <v>1.0000000002152485</v>
      </c>
      <c r="P35" s="333">
        <f t="shared" si="13"/>
        <v>5.2993991574711221E-5</v>
      </c>
      <c r="Q35" s="334">
        <f t="shared" si="14"/>
        <v>74.330069192734328</v>
      </c>
      <c r="R35" s="335">
        <f t="shared" si="15"/>
        <v>-85.864540263314765</v>
      </c>
      <c r="S35" s="337">
        <f t="shared" si="16"/>
        <v>94.135459736685235</v>
      </c>
      <c r="U35" s="310">
        <f t="shared" si="23"/>
        <v>1000000000</v>
      </c>
      <c r="V35" s="310">
        <f t="shared" si="24"/>
        <v>57.544361639999998</v>
      </c>
      <c r="X35" s="336">
        <f t="shared" si="17"/>
        <v>54.236224666084908</v>
      </c>
      <c r="Y35" s="337">
        <f t="shared" si="25"/>
        <v>-85.715926805549842</v>
      </c>
      <c r="AA35" s="336">
        <f t="shared" si="19"/>
        <v>20.093844526649413</v>
      </c>
      <c r="AB35" s="337">
        <f t="shared" si="20"/>
        <v>-0.14861345776492504</v>
      </c>
      <c r="AD35">
        <f t="shared" si="26"/>
        <v>0</v>
      </c>
      <c r="AE35">
        <f t="shared" si="21"/>
        <v>0</v>
      </c>
    </row>
    <row r="36" spans="1:31" x14ac:dyDescent="0.25">
      <c r="A36" s="338">
        <v>8.3176000000000005</v>
      </c>
      <c r="B36" s="355">
        <f t="shared" si="22"/>
        <v>8.3176000000000014E-3</v>
      </c>
      <c r="C36" s="328">
        <f t="shared" si="0"/>
        <v>1.0000038902728812</v>
      </c>
      <c r="D36" s="329">
        <f t="shared" si="1"/>
        <v>2.7893584457102387E-3</v>
      </c>
      <c r="E36" s="329">
        <f t="shared" si="2"/>
        <v>1.0000000000059486</v>
      </c>
      <c r="F36" s="330">
        <f t="shared" si="3"/>
        <v>3.4492274553708019E-6</v>
      </c>
      <c r="G36" s="329">
        <f t="shared" si="4"/>
        <v>1</v>
      </c>
      <c r="H36" s="330">
        <f t="shared" si="5"/>
        <v>0</v>
      </c>
      <c r="I36" s="328">
        <f t="shared" si="6"/>
        <v>15.118106341945927</v>
      </c>
      <c r="J36" s="331">
        <f t="shared" si="7"/>
        <v>1.5046021468430302</v>
      </c>
      <c r="K36" s="339">
        <f t="shared" si="8"/>
        <v>1.0000030410607526</v>
      </c>
      <c r="L36" s="340">
        <f t="shared" si="9"/>
        <v>2.4661926307059994E-3</v>
      </c>
      <c r="M36" s="328">
        <f t="shared" si="10"/>
        <v>1.0000000008022867</v>
      </c>
      <c r="N36" s="331">
        <f t="shared" si="11"/>
        <v>4.005712821283015E-5</v>
      </c>
      <c r="O36" s="332">
        <f t="shared" si="12"/>
        <v>1.0000000002587817</v>
      </c>
      <c r="P36" s="333">
        <f t="shared" si="13"/>
        <v>5.8106307092772736E-5</v>
      </c>
      <c r="Q36" s="334">
        <f t="shared" si="14"/>
        <v>73.533976387128192</v>
      </c>
      <c r="R36" s="335">
        <f t="shared" si="15"/>
        <v>-86.231295720614582</v>
      </c>
      <c r="S36" s="337">
        <f t="shared" si="16"/>
        <v>93.768704279385418</v>
      </c>
      <c r="U36" s="310">
        <f t="shared" si="23"/>
        <v>1000000000</v>
      </c>
      <c r="V36" s="310">
        <f t="shared" si="24"/>
        <v>69.182469760000004</v>
      </c>
      <c r="X36" s="336">
        <f t="shared" si="17"/>
        <v>53.440137545167289</v>
      </c>
      <c r="Y36" s="337">
        <f t="shared" si="25"/>
        <v>-86.068345633956284</v>
      </c>
      <c r="AA36" s="336">
        <f t="shared" si="19"/>
        <v>20.093838841960899</v>
      </c>
      <c r="AB36" s="337">
        <f t="shared" si="20"/>
        <v>-0.16295008665829902</v>
      </c>
      <c r="AD36">
        <f t="shared" si="26"/>
        <v>0</v>
      </c>
      <c r="AE36">
        <f t="shared" si="21"/>
        <v>0</v>
      </c>
    </row>
    <row r="37" spans="1:31" x14ac:dyDescent="0.25">
      <c r="A37" s="338">
        <v>9.1201000000000008</v>
      </c>
      <c r="B37" s="355">
        <f t="shared" si="22"/>
        <v>9.1201000000000008E-3</v>
      </c>
      <c r="C37" s="328">
        <f t="shared" si="0"/>
        <v>1.0000046771686879</v>
      </c>
      <c r="D37" s="329">
        <f t="shared" si="1"/>
        <v>3.0584801644007284E-3</v>
      </c>
      <c r="E37" s="329">
        <f t="shared" si="2"/>
        <v>1.0000000000071518</v>
      </c>
      <c r="F37" s="330">
        <f t="shared" si="3"/>
        <v>3.7820163647809483E-6</v>
      </c>
      <c r="G37" s="329">
        <f t="shared" si="4"/>
        <v>1</v>
      </c>
      <c r="H37" s="330">
        <f t="shared" si="5"/>
        <v>0</v>
      </c>
      <c r="I37" s="328">
        <f t="shared" si="6"/>
        <v>16.570631633145695</v>
      </c>
      <c r="J37" s="331">
        <f t="shared" si="7"/>
        <v>1.5104119073115791</v>
      </c>
      <c r="K37" s="339">
        <f t="shared" si="8"/>
        <v>1.0000036561844852</v>
      </c>
      <c r="L37" s="340">
        <f t="shared" si="9"/>
        <v>2.7041351096208526E-3</v>
      </c>
      <c r="M37" s="328">
        <f t="shared" si="10"/>
        <v>1.0000000009645678</v>
      </c>
      <c r="N37" s="331">
        <f t="shared" si="11"/>
        <v>4.3921926393948818E-5</v>
      </c>
      <c r="O37" s="332">
        <f t="shared" si="12"/>
        <v>1.0000000003111262</v>
      </c>
      <c r="P37" s="333">
        <f t="shared" si="13"/>
        <v>6.3712529016708751E-5</v>
      </c>
      <c r="Q37" s="334">
        <f t="shared" si="14"/>
        <v>72.737141550652368</v>
      </c>
      <c r="R37" s="335">
        <f t="shared" si="15"/>
        <v>-86.566480496754664</v>
      </c>
      <c r="S37" s="337">
        <f t="shared" si="16"/>
        <v>93.433519503245336</v>
      </c>
      <c r="U37" s="310">
        <f t="shared" si="23"/>
        <v>1000000000</v>
      </c>
      <c r="V37" s="310">
        <f t="shared" si="24"/>
        <v>83.176224010000013</v>
      </c>
      <c r="X37" s="336">
        <f t="shared" si="17"/>
        <v>52.64330954399653</v>
      </c>
      <c r="Y37" s="337">
        <f t="shared" si="25"/>
        <v>-86.387808725966863</v>
      </c>
      <c r="AA37" s="336">
        <f t="shared" si="19"/>
        <v>20.093832006655838</v>
      </c>
      <c r="AB37" s="337">
        <f t="shared" si="20"/>
        <v>-0.17867177078781302</v>
      </c>
      <c r="AD37">
        <f t="shared" si="26"/>
        <v>0</v>
      </c>
      <c r="AE37">
        <f t="shared" si="21"/>
        <v>0</v>
      </c>
    </row>
    <row r="38" spans="1:31" x14ac:dyDescent="0.25">
      <c r="A38" s="338">
        <v>10</v>
      </c>
      <c r="B38" s="355">
        <f t="shared" si="22"/>
        <v>0.01</v>
      </c>
      <c r="C38" s="328">
        <f t="shared" si="0"/>
        <v>1.0000056232012586</v>
      </c>
      <c r="D38" s="329">
        <f t="shared" si="1"/>
        <v>3.3535577849592877E-3</v>
      </c>
      <c r="E38" s="329">
        <f t="shared" si="2"/>
        <v>1.0000000000085985</v>
      </c>
      <c r="F38" s="330">
        <f t="shared" si="3"/>
        <v>4.1469022979762294E-6</v>
      </c>
      <c r="G38" s="329">
        <f t="shared" si="4"/>
        <v>1</v>
      </c>
      <c r="H38" s="330">
        <f t="shared" si="5"/>
        <v>0</v>
      </c>
      <c r="I38" s="328">
        <f t="shared" si="6"/>
        <v>18.163786002237568</v>
      </c>
      <c r="J38" s="331">
        <f t="shared" si="7"/>
        <v>1.5157138754634594</v>
      </c>
      <c r="K38" s="339">
        <f t="shared" si="8"/>
        <v>1.0000043957070388</v>
      </c>
      <c r="L38" s="340">
        <f t="shared" si="9"/>
        <v>2.9650264541461707E-3</v>
      </c>
      <c r="M38" s="328">
        <f t="shared" si="10"/>
        <v>1.0000000011596677</v>
      </c>
      <c r="N38" s="331">
        <f t="shared" si="11"/>
        <v>4.8159478940182717E-5</v>
      </c>
      <c r="O38" s="332">
        <f t="shared" si="12"/>
        <v>1.0000000003740566</v>
      </c>
      <c r="P38" s="333">
        <f t="shared" si="13"/>
        <v>6.9859463187265381E-5</v>
      </c>
      <c r="Q38" s="334">
        <f t="shared" si="14"/>
        <v>71.939793483071895</v>
      </c>
      <c r="R38" s="335">
        <f t="shared" si="15"/>
        <v>-86.872793705491475</v>
      </c>
      <c r="S38" s="337">
        <f t="shared" si="16"/>
        <v>93.127206294508525</v>
      </c>
      <c r="U38" s="310">
        <f t="shared" si="23"/>
        <v>1000000000</v>
      </c>
      <c r="V38" s="310">
        <f t="shared" si="24"/>
        <v>100</v>
      </c>
      <c r="X38" s="336">
        <f t="shared" si="17"/>
        <v>51.845969694042282</v>
      </c>
      <c r="Y38" s="337">
        <f t="shared" si="25"/>
        <v>-86.676883945436259</v>
      </c>
      <c r="AA38" s="336">
        <f t="shared" si="19"/>
        <v>20.093823789029614</v>
      </c>
      <c r="AB38" s="337">
        <f t="shared" si="20"/>
        <v>-0.19590976005522032</v>
      </c>
      <c r="AD38">
        <f t="shared" si="26"/>
        <v>0</v>
      </c>
      <c r="AE38">
        <f t="shared" si="21"/>
        <v>0</v>
      </c>
    </row>
    <row r="39" spans="1:31" x14ac:dyDescent="0.25">
      <c r="A39" s="338">
        <v>10.965</v>
      </c>
      <c r="B39" s="355">
        <f t="shared" si="22"/>
        <v>1.0964999999999999E-2</v>
      </c>
      <c r="C39" s="328">
        <f t="shared" si="0"/>
        <v>1.0000067608399119</v>
      </c>
      <c r="D39" s="329">
        <f t="shared" si="1"/>
        <v>3.6771733223564611E-3</v>
      </c>
      <c r="E39" s="329">
        <f t="shared" si="2"/>
        <v>1.000000000010338</v>
      </c>
      <c r="F39" s="330">
        <f t="shared" si="3"/>
        <v>4.5470783697256614E-6</v>
      </c>
      <c r="G39" s="329">
        <f t="shared" si="4"/>
        <v>1</v>
      </c>
      <c r="H39" s="330">
        <f t="shared" si="5"/>
        <v>0</v>
      </c>
      <c r="I39" s="328">
        <f t="shared" si="6"/>
        <v>19.911511715859042</v>
      </c>
      <c r="J39" s="331">
        <f t="shared" si="7"/>
        <v>1.5205529866394585</v>
      </c>
      <c r="K39" s="339">
        <f t="shared" si="8"/>
        <v>1.00000528501007</v>
      </c>
      <c r="L39" s="340">
        <f t="shared" si="9"/>
        <v>3.2511495794727628E-3</v>
      </c>
      <c r="M39" s="328">
        <f t="shared" si="10"/>
        <v>1.0000000013942827</v>
      </c>
      <c r="N39" s="331">
        <f t="shared" si="11"/>
        <v>5.2806868649650835E-5</v>
      </c>
      <c r="O39" s="332">
        <f t="shared" si="12"/>
        <v>1.0000000004497327</v>
      </c>
      <c r="P39" s="333">
        <f t="shared" si="13"/>
        <v>7.6600901391644992E-5</v>
      </c>
      <c r="Q39" s="334">
        <f t="shared" si="14"/>
        <v>71.14183418213058</v>
      </c>
      <c r="R39" s="335">
        <f t="shared" si="15"/>
        <v>-87.152832113139311</v>
      </c>
      <c r="S39" s="337">
        <f t="shared" si="16"/>
        <v>92.847167886860689</v>
      </c>
      <c r="U39" s="310">
        <f t="shared" si="23"/>
        <v>1000000000</v>
      </c>
      <c r="V39" s="310">
        <f t="shared" si="24"/>
        <v>120.23122499999999</v>
      </c>
      <c r="X39" s="336">
        <f t="shared" si="17"/>
        <v>51.048020275085776</v>
      </c>
      <c r="Y39" s="337">
        <f t="shared" si="25"/>
        <v>-86.938017221027792</v>
      </c>
      <c r="AA39" s="336">
        <f t="shared" si="19"/>
        <v>20.093813907044801</v>
      </c>
      <c r="AB39" s="337">
        <f t="shared" si="20"/>
        <v>-0.21481489211152452</v>
      </c>
      <c r="AD39">
        <f t="shared" si="26"/>
        <v>0</v>
      </c>
      <c r="AE39">
        <f t="shared" si="21"/>
        <v>0</v>
      </c>
    </row>
    <row r="40" spans="1:31" x14ac:dyDescent="0.25">
      <c r="A40" s="338">
        <v>12.023</v>
      </c>
      <c r="B40" s="355">
        <f t="shared" si="22"/>
        <v>1.2022999999999999E-2</v>
      </c>
      <c r="C40" s="328">
        <f t="shared" si="0"/>
        <v>1.0000081284694484</v>
      </c>
      <c r="D40" s="329">
        <f t="shared" si="1"/>
        <v>4.0319757907644237E-3</v>
      </c>
      <c r="E40" s="329">
        <f t="shared" si="2"/>
        <v>1.0000000000124292</v>
      </c>
      <c r="F40" s="330">
        <f t="shared" si="3"/>
        <v>4.985820632844087E-6</v>
      </c>
      <c r="G40" s="329">
        <f t="shared" si="4"/>
        <v>1</v>
      </c>
      <c r="H40" s="330">
        <f t="shared" si="5"/>
        <v>0</v>
      </c>
      <c r="I40" s="328">
        <f t="shared" si="6"/>
        <v>21.828116987567061</v>
      </c>
      <c r="J40" s="331">
        <f t="shared" si="7"/>
        <v>1.5249678144935668</v>
      </c>
      <c r="K40" s="339">
        <f t="shared" si="8"/>
        <v>1.0000063540994699</v>
      </c>
      <c r="L40" s="340">
        <f t="shared" si="9"/>
        <v>3.5648466515894477E-3</v>
      </c>
      <c r="M40" s="328">
        <f t="shared" si="10"/>
        <v>1.0000000016763289</v>
      </c>
      <c r="N40" s="331">
        <f t="shared" si="11"/>
        <v>5.7902141509837813E-5</v>
      </c>
      <c r="O40" s="332">
        <f t="shared" si="12"/>
        <v>1.0000000005407081</v>
      </c>
      <c r="P40" s="333">
        <f t="shared" si="13"/>
        <v>8.3992032606489304E-5</v>
      </c>
      <c r="Q40" s="334">
        <f t="shared" si="14"/>
        <v>70.343590804681341</v>
      </c>
      <c r="R40" s="335">
        <f t="shared" si="15"/>
        <v>-87.408828562646576</v>
      </c>
      <c r="S40" s="337">
        <f t="shared" si="16"/>
        <v>92.591171437353424</v>
      </c>
      <c r="U40" s="310">
        <f t="shared" si="23"/>
        <v>1000000000</v>
      </c>
      <c r="V40" s="310">
        <f t="shared" si="24"/>
        <v>144.55252899999999</v>
      </c>
      <c r="X40" s="336">
        <f t="shared" si="17"/>
        <v>50.24978877739936</v>
      </c>
      <c r="Y40" s="337">
        <f t="shared" si="25"/>
        <v>-87.173286643966293</v>
      </c>
      <c r="AA40" s="336">
        <f t="shared" si="19"/>
        <v>20.093802027281981</v>
      </c>
      <c r="AB40" s="337">
        <f t="shared" si="20"/>
        <v>-0.23554191868027588</v>
      </c>
      <c r="AD40">
        <f t="shared" si="26"/>
        <v>0</v>
      </c>
      <c r="AE40">
        <f t="shared" si="21"/>
        <v>0</v>
      </c>
    </row>
    <row r="41" spans="1:31" x14ac:dyDescent="0.25">
      <c r="A41" s="338">
        <v>13.183</v>
      </c>
      <c r="B41" s="355">
        <f t="shared" si="22"/>
        <v>1.3183E-2</v>
      </c>
      <c r="C41" s="328">
        <f t="shared" si="0"/>
        <v>1.0000097726249217</v>
      </c>
      <c r="D41" s="329">
        <f t="shared" si="1"/>
        <v>4.4209829982763075E-3</v>
      </c>
      <c r="E41" s="329">
        <f t="shared" si="2"/>
        <v>1.0000000000149432</v>
      </c>
      <c r="F41" s="330">
        <f t="shared" si="3"/>
        <v>5.4668612993989386E-6</v>
      </c>
      <c r="G41" s="329">
        <f t="shared" si="4"/>
        <v>1</v>
      </c>
      <c r="H41" s="330">
        <f t="shared" si="5"/>
        <v>0</v>
      </c>
      <c r="I41" s="328">
        <f t="shared" si="6"/>
        <v>23.929905793301057</v>
      </c>
      <c r="J41" s="331">
        <f t="shared" si="7"/>
        <v>1.5289954401956269</v>
      </c>
      <c r="K41" s="339">
        <f t="shared" si="8"/>
        <v>1.000007639352325</v>
      </c>
      <c r="L41" s="340">
        <f t="shared" si="9"/>
        <v>3.9087859220523699E-3</v>
      </c>
      <c r="M41" s="328">
        <f t="shared" si="10"/>
        <v>1.0000000020154036</v>
      </c>
      <c r="N41" s="331">
        <f t="shared" si="11"/>
        <v>6.3488641050623201E-5</v>
      </c>
      <c r="O41" s="332">
        <f t="shared" si="12"/>
        <v>1.0000000006500784</v>
      </c>
      <c r="P41" s="333">
        <f t="shared" si="13"/>
        <v>9.2095730349628585E-5</v>
      </c>
      <c r="Q41" s="334">
        <f t="shared" si="14"/>
        <v>69.545093359824861</v>
      </c>
      <c r="R41" s="335">
        <f t="shared" si="15"/>
        <v>-87.642933548609889</v>
      </c>
      <c r="S41" s="337">
        <f t="shared" si="16"/>
        <v>92.357066451390111</v>
      </c>
      <c r="U41" s="310">
        <f t="shared" si="23"/>
        <v>1000000000</v>
      </c>
      <c r="V41" s="310">
        <f t="shared" si="24"/>
        <v>173.79148899999998</v>
      </c>
      <c r="X41" s="336">
        <f t="shared" si="17"/>
        <v>49.451305614296182</v>
      </c>
      <c r="Y41" s="337">
        <f t="shared" si="25"/>
        <v>-87.384666412633891</v>
      </c>
      <c r="AA41" s="336">
        <f t="shared" si="19"/>
        <v>20.093787745528665</v>
      </c>
      <c r="AB41" s="337">
        <f t="shared" si="20"/>
        <v>-0.25826713597600776</v>
      </c>
      <c r="AD41">
        <f t="shared" si="26"/>
        <v>0</v>
      </c>
      <c r="AE41">
        <f t="shared" si="21"/>
        <v>0</v>
      </c>
    </row>
    <row r="42" spans="1:31" x14ac:dyDescent="0.25">
      <c r="A42" s="338">
        <v>14.454000000000001</v>
      </c>
      <c r="B42" s="355">
        <f t="shared" si="22"/>
        <v>1.4454E-2</v>
      </c>
      <c r="C42" s="328">
        <f t="shared" si="0"/>
        <v>1.0000117478501531</v>
      </c>
      <c r="D42" s="329">
        <f t="shared" si="1"/>
        <v>4.8472126308154893E-3</v>
      </c>
      <c r="E42" s="329">
        <f t="shared" si="2"/>
        <v>1.0000000000179636</v>
      </c>
      <c r="F42" s="330">
        <f t="shared" si="3"/>
        <v>5.9939325814574188E-6</v>
      </c>
      <c r="G42" s="329">
        <f t="shared" si="4"/>
        <v>1</v>
      </c>
      <c r="H42" s="330">
        <f t="shared" si="5"/>
        <v>0</v>
      </c>
      <c r="I42" s="328">
        <f t="shared" si="6"/>
        <v>26.233184889280121</v>
      </c>
      <c r="J42" s="331">
        <f t="shared" si="7"/>
        <v>1.5326674321362244</v>
      </c>
      <c r="K42" s="339">
        <f t="shared" si="8"/>
        <v>1.0000091834063465</v>
      </c>
      <c r="L42" s="340">
        <f t="shared" si="9"/>
        <v>4.285635557979557E-3</v>
      </c>
      <c r="M42" s="328">
        <f t="shared" si="10"/>
        <v>1.0000000024227558</v>
      </c>
      <c r="N42" s="331">
        <f t="shared" si="11"/>
        <v>6.9609710801524631E-5</v>
      </c>
      <c r="O42" s="332">
        <f t="shared" si="12"/>
        <v>1.0000000007814718</v>
      </c>
      <c r="P42" s="333">
        <f t="shared" si="13"/>
        <v>1.0097486813919133E-4</v>
      </c>
      <c r="Q42" s="334">
        <f t="shared" si="14"/>
        <v>68.746888985428356</v>
      </c>
      <c r="R42" s="335">
        <f t="shared" si="15"/>
        <v>-87.856981704478926</v>
      </c>
      <c r="S42" s="337">
        <f t="shared" si="16"/>
        <v>92.143018295521074</v>
      </c>
      <c r="U42" s="310">
        <f t="shared" si="23"/>
        <v>1000000000</v>
      </c>
      <c r="V42" s="310">
        <f t="shared" si="24"/>
        <v>208.91811600000003</v>
      </c>
      <c r="X42" s="336">
        <f t="shared" si="17"/>
        <v>48.653118397418481</v>
      </c>
      <c r="Y42" s="337">
        <f t="shared" si="25"/>
        <v>-87.573814871265483</v>
      </c>
      <c r="AA42" s="336">
        <f t="shared" si="19"/>
        <v>20.093770588009875</v>
      </c>
      <c r="AB42" s="337">
        <f t="shared" si="20"/>
        <v>-0.28316683321345942</v>
      </c>
      <c r="AD42">
        <f t="shared" si="26"/>
        <v>0</v>
      </c>
      <c r="AE42">
        <f t="shared" si="21"/>
        <v>0</v>
      </c>
    </row>
    <row r="43" spans="1:31" x14ac:dyDescent="0.25">
      <c r="A43" s="338">
        <v>15.849</v>
      </c>
      <c r="B43" s="355">
        <f t="shared" si="22"/>
        <v>1.5848999999999999E-2</v>
      </c>
      <c r="C43" s="328">
        <f t="shared" si="0"/>
        <v>1.0000141249042409</v>
      </c>
      <c r="D43" s="329">
        <f t="shared" si="1"/>
        <v>5.3150236090133566E-3</v>
      </c>
      <c r="E43" s="329">
        <f t="shared" si="2"/>
        <v>1.0000000000215983</v>
      </c>
      <c r="F43" s="330">
        <f t="shared" si="3"/>
        <v>6.5724254520055645E-6</v>
      </c>
      <c r="G43" s="329">
        <f t="shared" si="4"/>
        <v>1</v>
      </c>
      <c r="H43" s="330">
        <f t="shared" si="5"/>
        <v>0</v>
      </c>
      <c r="I43" s="328">
        <f t="shared" si="6"/>
        <v>28.761512906363908</v>
      </c>
      <c r="J43" s="331">
        <f t="shared" si="7"/>
        <v>1.5360206322807488</v>
      </c>
      <c r="K43" s="339">
        <f t="shared" si="8"/>
        <v>1.0000110415750298</v>
      </c>
      <c r="L43" s="340">
        <f t="shared" si="9"/>
        <v>4.6992496068529637E-3</v>
      </c>
      <c r="M43" s="328">
        <f t="shared" si="10"/>
        <v>1.0000000029129785</v>
      </c>
      <c r="N43" s="331">
        <f t="shared" si="11"/>
        <v>7.6327958083077828E-5</v>
      </c>
      <c r="O43" s="332">
        <f t="shared" si="12"/>
        <v>1.0000000009395957</v>
      </c>
      <c r="P43" s="333">
        <f t="shared" si="13"/>
        <v>1.1072026327904095E-4</v>
      </c>
      <c r="Q43" s="334">
        <f t="shared" si="14"/>
        <v>67.947670336221464</v>
      </c>
      <c r="R43" s="335">
        <f t="shared" si="15"/>
        <v>-88.053121328186023</v>
      </c>
      <c r="S43" s="337">
        <f t="shared" si="16"/>
        <v>91.946878671813977</v>
      </c>
      <c r="U43" s="310">
        <f t="shared" si="23"/>
        <v>1000000000</v>
      </c>
      <c r="V43" s="310">
        <f t="shared" si="24"/>
        <v>251.19080099999999</v>
      </c>
      <c r="X43" s="336">
        <f t="shared" si="17"/>
        <v>47.853920396115839</v>
      </c>
      <c r="Y43" s="337">
        <f t="shared" si="25"/>
        <v>-87.742625675469469</v>
      </c>
      <c r="AA43" s="336">
        <f t="shared" si="19"/>
        <v>20.093749940105617</v>
      </c>
      <c r="AB43" s="337">
        <f t="shared" si="20"/>
        <v>-0.31049565271655138</v>
      </c>
      <c r="AD43">
        <f t="shared" si="26"/>
        <v>0</v>
      </c>
      <c r="AE43">
        <f t="shared" si="21"/>
        <v>0</v>
      </c>
    </row>
    <row r="44" spans="1:31" x14ac:dyDescent="0.25">
      <c r="A44" s="338">
        <v>17.378</v>
      </c>
      <c r="B44" s="355">
        <f t="shared" si="22"/>
        <v>1.7378000000000001E-2</v>
      </c>
      <c r="C44" s="328">
        <f t="shared" si="0"/>
        <v>1.0000169816836755</v>
      </c>
      <c r="D44" s="329">
        <f t="shared" si="1"/>
        <v>5.8277685891629013E-3</v>
      </c>
      <c r="E44" s="329">
        <f t="shared" si="2"/>
        <v>1.0000000000259668</v>
      </c>
      <c r="F44" s="330">
        <f t="shared" si="3"/>
        <v>7.2064868133396482E-6</v>
      </c>
      <c r="G44" s="329">
        <f t="shared" si="4"/>
        <v>1</v>
      </c>
      <c r="H44" s="330">
        <f t="shared" si="5"/>
        <v>0</v>
      </c>
      <c r="I44" s="328">
        <f t="shared" si="6"/>
        <v>31.533014453696424</v>
      </c>
      <c r="J44" s="331">
        <f t="shared" si="7"/>
        <v>1.5390782145205866</v>
      </c>
      <c r="K44" s="339">
        <f t="shared" si="8"/>
        <v>1.0000132747514392</v>
      </c>
      <c r="L44" s="340">
        <f t="shared" si="9"/>
        <v>5.1525924720576691E-3</v>
      </c>
      <c r="M44" s="328">
        <f t="shared" si="10"/>
        <v>1.000000003502137</v>
      </c>
      <c r="N44" s="331">
        <f t="shared" si="11"/>
        <v>8.3691542371552938E-5</v>
      </c>
      <c r="O44" s="332">
        <f t="shared" si="12"/>
        <v>1.0000000011296317</v>
      </c>
      <c r="P44" s="333">
        <f t="shared" si="13"/>
        <v>1.2140177523456567E-4</v>
      </c>
      <c r="Q44" s="334">
        <f t="shared" si="14"/>
        <v>67.148589654991284</v>
      </c>
      <c r="R44" s="335">
        <f t="shared" si="15"/>
        <v>-88.232708955544339</v>
      </c>
      <c r="S44" s="337">
        <f t="shared" si="16"/>
        <v>91.767291044455661</v>
      </c>
      <c r="U44" s="310">
        <f t="shared" si="23"/>
        <v>1000000000</v>
      </c>
      <c r="V44" s="310">
        <f t="shared" si="24"/>
        <v>301.99488400000001</v>
      </c>
      <c r="X44" s="336">
        <f t="shared" si="17"/>
        <v>47.054864529783309</v>
      </c>
      <c r="Y44" s="337">
        <f t="shared" si="25"/>
        <v>-87.892259502950537</v>
      </c>
      <c r="AA44" s="336">
        <f t="shared" si="19"/>
        <v>20.093725125207968</v>
      </c>
      <c r="AB44" s="337">
        <f t="shared" si="20"/>
        <v>-0.34044945259378007</v>
      </c>
      <c r="AD44">
        <f t="shared" si="26"/>
        <v>0</v>
      </c>
      <c r="AE44">
        <f t="shared" si="21"/>
        <v>0</v>
      </c>
    </row>
    <row r="45" spans="1:31" x14ac:dyDescent="0.25">
      <c r="A45" s="338">
        <v>19.055</v>
      </c>
      <c r="B45" s="355">
        <f t="shared" si="22"/>
        <v>1.9054999999999999E-2</v>
      </c>
      <c r="C45" s="328">
        <f t="shared" si="0"/>
        <v>1.0000204173005247</v>
      </c>
      <c r="D45" s="329">
        <f t="shared" si="1"/>
        <v>6.3901413352740665E-3</v>
      </c>
      <c r="E45" s="329">
        <f t="shared" si="2"/>
        <v>1.0000000000312201</v>
      </c>
      <c r="F45" s="330">
        <f t="shared" si="3"/>
        <v>7.9019223286745332E-6</v>
      </c>
      <c r="G45" s="329">
        <f t="shared" si="4"/>
        <v>1</v>
      </c>
      <c r="H45" s="330">
        <f t="shared" si="5"/>
        <v>0</v>
      </c>
      <c r="I45" s="328">
        <f t="shared" si="6"/>
        <v>34.573066299628749</v>
      </c>
      <c r="J45" s="331">
        <f t="shared" si="7"/>
        <v>1.5418680425859745</v>
      </c>
      <c r="K45" s="339">
        <f t="shared" si="8"/>
        <v>1.0000159604133685</v>
      </c>
      <c r="L45" s="340">
        <f t="shared" si="9"/>
        <v>5.6498143495702187E-3</v>
      </c>
      <c r="M45" s="328">
        <f t="shared" si="10"/>
        <v>1.0000000042106725</v>
      </c>
      <c r="N45" s="331">
        <f t="shared" si="11"/>
        <v>9.1767886933861984E-5</v>
      </c>
      <c r="O45" s="332">
        <f t="shared" si="12"/>
        <v>1.0000000013581734</v>
      </c>
      <c r="P45" s="333">
        <f t="shared" si="13"/>
        <v>1.3311720725719869E-4</v>
      </c>
      <c r="Q45" s="334">
        <f t="shared" si="14"/>
        <v>66.349134950381895</v>
      </c>
      <c r="R45" s="335">
        <f t="shared" si="15"/>
        <v>-88.397381338996098</v>
      </c>
      <c r="S45" s="337">
        <f t="shared" si="16"/>
        <v>91.602618661003902</v>
      </c>
      <c r="U45" s="310">
        <f t="shared" si="23"/>
        <v>1000000000</v>
      </c>
      <c r="V45" s="310">
        <f t="shared" si="24"/>
        <v>363.09302500000001</v>
      </c>
      <c r="X45" s="336">
        <f t="shared" si="17"/>
        <v>46.255439667944167</v>
      </c>
      <c r="Y45" s="337">
        <f t="shared" si="25"/>
        <v>-88.024078902209311</v>
      </c>
      <c r="AA45" s="336">
        <f t="shared" si="19"/>
        <v>20.093695282437732</v>
      </c>
      <c r="AB45" s="337">
        <f t="shared" si="20"/>
        <v>-0.37330243678678909</v>
      </c>
      <c r="AD45">
        <f t="shared" si="26"/>
        <v>0</v>
      </c>
      <c r="AE45">
        <f t="shared" si="21"/>
        <v>0</v>
      </c>
    </row>
    <row r="46" spans="1:31" x14ac:dyDescent="0.25">
      <c r="A46" s="338">
        <v>20.893000000000001</v>
      </c>
      <c r="B46" s="355">
        <f t="shared" si="22"/>
        <v>2.0893000000000002E-2</v>
      </c>
      <c r="C46" s="328">
        <f t="shared" si="0"/>
        <v>1.0000245460224473</v>
      </c>
      <c r="D46" s="329">
        <f t="shared" si="1"/>
        <v>7.0064998920392639E-3</v>
      </c>
      <c r="E46" s="329">
        <f t="shared" si="2"/>
        <v>1.0000000000375335</v>
      </c>
      <c r="F46" s="330">
        <f t="shared" si="3"/>
        <v>8.6641229709946037E-6</v>
      </c>
      <c r="G46" s="329">
        <f t="shared" si="4"/>
        <v>1</v>
      </c>
      <c r="H46" s="330">
        <f t="shared" si="5"/>
        <v>0</v>
      </c>
      <c r="I46" s="328">
        <f t="shared" si="6"/>
        <v>37.905234744586089</v>
      </c>
      <c r="J46" s="331">
        <f t="shared" si="7"/>
        <v>1.5444116851735343</v>
      </c>
      <c r="K46" s="339">
        <f t="shared" si="8"/>
        <v>1.0000191878863158</v>
      </c>
      <c r="L46" s="340">
        <f t="shared" si="9"/>
        <v>6.1947686814553607E-3</v>
      </c>
      <c r="M46" s="328">
        <f t="shared" si="10"/>
        <v>1.0000000050621518</v>
      </c>
      <c r="N46" s="331">
        <f t="shared" si="11"/>
        <v>1.0061959908794616E-4</v>
      </c>
      <c r="O46" s="332">
        <f t="shared" si="12"/>
        <v>1.0000000016328223</v>
      </c>
      <c r="P46" s="333">
        <f t="shared" si="13"/>
        <v>1.4595737665294223E-4</v>
      </c>
      <c r="Q46" s="334">
        <f t="shared" si="14"/>
        <v>65.549901282183171</v>
      </c>
      <c r="R46" s="335">
        <f t="shared" si="15"/>
        <v>-88.54841166713318</v>
      </c>
      <c r="S46" s="337">
        <f t="shared" si="16"/>
        <v>91.45158833286682</v>
      </c>
      <c r="U46" s="310">
        <f t="shared" si="23"/>
        <v>1000000000</v>
      </c>
      <c r="V46" s="310">
        <f t="shared" si="24"/>
        <v>436.51744900000006</v>
      </c>
      <c r="X46" s="336">
        <f t="shared" si="17"/>
        <v>45.456241862892938</v>
      </c>
      <c r="Y46" s="337">
        <f t="shared" si="25"/>
        <v>-88.139102469701157</v>
      </c>
      <c r="AA46" s="336">
        <f t="shared" si="19"/>
        <v>20.09365941929024</v>
      </c>
      <c r="AB46" s="337">
        <f t="shared" si="20"/>
        <v>-0.40930919743201521</v>
      </c>
      <c r="AD46">
        <f t="shared" si="26"/>
        <v>0</v>
      </c>
      <c r="AE46">
        <f t="shared" si="21"/>
        <v>0</v>
      </c>
    </row>
    <row r="47" spans="1:31" x14ac:dyDescent="0.25">
      <c r="A47" s="338">
        <v>22.909000000000002</v>
      </c>
      <c r="B47" s="355">
        <f t="shared" si="22"/>
        <v>2.2909000000000002E-2</v>
      </c>
      <c r="C47" s="328">
        <f t="shared" si="0"/>
        <v>1.0000295114606235</v>
      </c>
      <c r="D47" s="329">
        <f t="shared" si="1"/>
        <v>7.6825431817757707E-3</v>
      </c>
      <c r="E47" s="329">
        <f t="shared" si="2"/>
        <v>1.0000000000451263</v>
      </c>
      <c r="F47" s="330">
        <f t="shared" si="3"/>
        <v>9.500138474202398E-6</v>
      </c>
      <c r="G47" s="329">
        <f t="shared" si="4"/>
        <v>1</v>
      </c>
      <c r="H47" s="330">
        <f t="shared" si="5"/>
        <v>0</v>
      </c>
      <c r="I47" s="328">
        <f t="shared" si="6"/>
        <v>41.560339643416121</v>
      </c>
      <c r="J47" s="331">
        <f t="shared" si="7"/>
        <v>1.5467326034094531</v>
      </c>
      <c r="K47" s="339">
        <f t="shared" si="8"/>
        <v>1.0000230694345509</v>
      </c>
      <c r="L47" s="340">
        <f t="shared" si="9"/>
        <v>6.7924945433338602E-3</v>
      </c>
      <c r="M47" s="328">
        <f t="shared" si="10"/>
        <v>1.0000000060861944</v>
      </c>
      <c r="N47" s="331">
        <f t="shared" si="11"/>
        <v>1.103285499417069E-4</v>
      </c>
      <c r="O47" s="332">
        <f t="shared" si="12"/>
        <v>1.0000000019631323</v>
      </c>
      <c r="P47" s="333">
        <f t="shared" si="13"/>
        <v>1.6004104451440522E-4</v>
      </c>
      <c r="Q47" s="334">
        <f t="shared" si="14"/>
        <v>64.750293905545078</v>
      </c>
      <c r="R47" s="335">
        <f t="shared" si="15"/>
        <v>-88.687193061359437</v>
      </c>
      <c r="S47" s="337">
        <f t="shared" si="16"/>
        <v>91.312806938640563</v>
      </c>
      <c r="U47" s="310">
        <f t="shared" si="23"/>
        <v>1000000000</v>
      </c>
      <c r="V47" s="310">
        <f t="shared" si="24"/>
        <v>524.82228100000009</v>
      </c>
      <c r="X47" s="336">
        <f t="shared" si="17"/>
        <v>44.656677617140225</v>
      </c>
      <c r="Y47" s="337">
        <f t="shared" si="25"/>
        <v>-88.238390402043677</v>
      </c>
      <c r="AA47" s="336">
        <f t="shared" si="19"/>
        <v>20.093616288404846</v>
      </c>
      <c r="AB47" s="337">
        <f t="shared" si="20"/>
        <v>-0.4488026593157694</v>
      </c>
      <c r="AD47">
        <f t="shared" si="26"/>
        <v>0</v>
      </c>
      <c r="AE47">
        <f t="shared" si="21"/>
        <v>0</v>
      </c>
    </row>
    <row r="48" spans="1:31" x14ac:dyDescent="0.25">
      <c r="A48" s="338">
        <v>25.119</v>
      </c>
      <c r="B48" s="355">
        <f t="shared" si="22"/>
        <v>2.5118999999999999E-2</v>
      </c>
      <c r="C48" s="328">
        <f t="shared" si="0"/>
        <v>1.0000354798549902</v>
      </c>
      <c r="D48" s="329">
        <f t="shared" si="1"/>
        <v>8.423634133212515E-3</v>
      </c>
      <c r="E48" s="329">
        <f t="shared" si="2"/>
        <v>1.0000000000542528</v>
      </c>
      <c r="F48" s="330">
        <f t="shared" si="3"/>
        <v>1.0416603881969447E-5</v>
      </c>
      <c r="G48" s="329">
        <f t="shared" si="4"/>
        <v>1</v>
      </c>
      <c r="H48" s="330">
        <f t="shared" si="5"/>
        <v>0</v>
      </c>
      <c r="I48" s="328">
        <f t="shared" si="6"/>
        <v>45.567389838048584</v>
      </c>
      <c r="J48" s="331">
        <f t="shared" si="7"/>
        <v>1.5488490463255502</v>
      </c>
      <c r="K48" s="339">
        <f t="shared" si="8"/>
        <v>1.0000277350123794</v>
      </c>
      <c r="L48" s="340">
        <f t="shared" si="9"/>
        <v>7.4477340673404727E-3</v>
      </c>
      <c r="M48" s="328">
        <f t="shared" si="10"/>
        <v>1.0000000073170876</v>
      </c>
      <c r="N48" s="331">
        <f t="shared" si="11"/>
        <v>1.2097179465326221E-4</v>
      </c>
      <c r="O48" s="332">
        <f t="shared" si="12"/>
        <v>1.0000000023601632</v>
      </c>
      <c r="P48" s="333">
        <f t="shared" si="13"/>
        <v>1.7547998598943529E-4</v>
      </c>
      <c r="Q48" s="334">
        <f t="shared" si="14"/>
        <v>63.950781291328752</v>
      </c>
      <c r="R48" s="335">
        <f t="shared" si="15"/>
        <v>-88.814817122223957</v>
      </c>
      <c r="S48" s="337">
        <f t="shared" si="16"/>
        <v>91.185182877776043</v>
      </c>
      <c r="U48" s="310">
        <f t="shared" si="23"/>
        <v>1000000000</v>
      </c>
      <c r="V48" s="310">
        <f t="shared" si="24"/>
        <v>630.96416099999999</v>
      </c>
      <c r="X48" s="336">
        <f t="shared" si="17"/>
        <v>43.85721684542343</v>
      </c>
      <c r="Y48" s="337">
        <f t="shared" si="25"/>
        <v>-88.322721002519316</v>
      </c>
      <c r="AA48" s="336">
        <f t="shared" si="19"/>
        <v>20.093564445905315</v>
      </c>
      <c r="AB48" s="337">
        <f t="shared" si="20"/>
        <v>-0.49209611970463335</v>
      </c>
      <c r="AD48">
        <f t="shared" si="26"/>
        <v>0</v>
      </c>
      <c r="AE48">
        <f t="shared" si="21"/>
        <v>0</v>
      </c>
    </row>
    <row r="49" spans="1:31" x14ac:dyDescent="0.25">
      <c r="A49" s="338">
        <v>27.542000000000002</v>
      </c>
      <c r="B49" s="355">
        <f t="shared" si="22"/>
        <v>2.7542000000000001E-2</v>
      </c>
      <c r="C49" s="328">
        <f t="shared" si="0"/>
        <v>1.0000426546648813</v>
      </c>
      <c r="D49" s="329">
        <f t="shared" si="1"/>
        <v>9.2361408340143857E-3</v>
      </c>
      <c r="E49" s="329">
        <f t="shared" si="2"/>
        <v>1.0000000000652243</v>
      </c>
      <c r="F49" s="330">
        <f t="shared" si="3"/>
        <v>1.1421398308654967E-5</v>
      </c>
      <c r="G49" s="329">
        <f t="shared" si="4"/>
        <v>1</v>
      </c>
      <c r="H49" s="330">
        <f t="shared" si="5"/>
        <v>0</v>
      </c>
      <c r="I49" s="328">
        <f t="shared" si="6"/>
        <v>49.960835020590125</v>
      </c>
      <c r="J49" s="331">
        <f t="shared" si="7"/>
        <v>1.550779311809902</v>
      </c>
      <c r="K49" s="339">
        <f t="shared" si="8"/>
        <v>1.0000333436702384</v>
      </c>
      <c r="L49" s="340">
        <f t="shared" si="9"/>
        <v>8.1661182656754313E-3</v>
      </c>
      <c r="M49" s="328">
        <f t="shared" si="10"/>
        <v>1.0000000087967957</v>
      </c>
      <c r="N49" s="331">
        <f t="shared" si="11"/>
        <v>1.3264083622172121E-4</v>
      </c>
      <c r="O49" s="332">
        <f t="shared" si="12"/>
        <v>1.0000000028374503</v>
      </c>
      <c r="P49" s="333">
        <f t="shared" si="13"/>
        <v>1.9240693406705477E-4</v>
      </c>
      <c r="Q49" s="334">
        <f t="shared" si="14"/>
        <v>63.151256951395105</v>
      </c>
      <c r="R49" s="335">
        <f t="shared" si="15"/>
        <v>-88.932386869137787</v>
      </c>
      <c r="S49" s="337">
        <f t="shared" si="16"/>
        <v>91.067613130862213</v>
      </c>
      <c r="U49" s="310">
        <f t="shared" si="23"/>
        <v>1000000000</v>
      </c>
      <c r="V49" s="310">
        <f t="shared" si="24"/>
        <v>758.56176400000004</v>
      </c>
      <c r="X49" s="336">
        <f t="shared" si="17"/>
        <v>43.057754826712483</v>
      </c>
      <c r="Y49" s="337">
        <f t="shared" si="25"/>
        <v>-88.392825272391903</v>
      </c>
      <c r="AA49" s="336">
        <f t="shared" si="19"/>
        <v>20.093502124682626</v>
      </c>
      <c r="AB49" s="337">
        <f t="shared" si="20"/>
        <v>-0.53956159674587389</v>
      </c>
      <c r="AD49">
        <f t="shared" si="26"/>
        <v>0</v>
      </c>
      <c r="AE49">
        <f t="shared" si="21"/>
        <v>0</v>
      </c>
    </row>
    <row r="50" spans="1:31" x14ac:dyDescent="0.25">
      <c r="A50" s="338">
        <v>30.2</v>
      </c>
      <c r="B50" s="355">
        <f t="shared" si="22"/>
        <v>3.0199999999999998E-2</v>
      </c>
      <c r="C50" s="328">
        <f t="shared" si="0"/>
        <v>1.0000512846738965</v>
      </c>
      <c r="D50" s="329">
        <f t="shared" si="1"/>
        <v>1.0127436223216204E-2</v>
      </c>
      <c r="E50" s="329">
        <f t="shared" si="2"/>
        <v>1.0000000000784208</v>
      </c>
      <c r="F50" s="330">
        <f t="shared" si="3"/>
        <v>1.2523644939305257E-5</v>
      </c>
      <c r="G50" s="329">
        <f t="shared" si="4"/>
        <v>1</v>
      </c>
      <c r="H50" s="330">
        <f t="shared" si="5"/>
        <v>0</v>
      </c>
      <c r="I50" s="328">
        <f t="shared" si="6"/>
        <v>54.780566273969058</v>
      </c>
      <c r="J50" s="331">
        <f t="shared" si="7"/>
        <v>1.5525406639740873</v>
      </c>
      <c r="K50" s="339">
        <f t="shared" si="8"/>
        <v>1.0000400898909894</v>
      </c>
      <c r="L50" s="340">
        <f t="shared" si="9"/>
        <v>8.9541668180101053E-3</v>
      </c>
      <c r="M50" s="328">
        <f t="shared" si="10"/>
        <v>1.0000000105766333</v>
      </c>
      <c r="N50" s="331">
        <f t="shared" si="11"/>
        <v>1.4544162548627262E-4</v>
      </c>
      <c r="O50" s="332">
        <f t="shared" si="12"/>
        <v>1.0000000034115459</v>
      </c>
      <c r="P50" s="333">
        <f t="shared" si="13"/>
        <v>2.109755795782114E-4</v>
      </c>
      <c r="Q50" s="334">
        <f t="shared" si="14"/>
        <v>62.351303990943322</v>
      </c>
      <c r="R50" s="335">
        <f t="shared" si="15"/>
        <v>-89.040954704644889</v>
      </c>
      <c r="S50" s="337">
        <f t="shared" si="16"/>
        <v>90.959045295355111</v>
      </c>
      <c r="U50" s="310">
        <f t="shared" si="23"/>
        <v>1000000000</v>
      </c>
      <c r="V50" s="310">
        <f t="shared" si="24"/>
        <v>912.04</v>
      </c>
      <c r="X50" s="336">
        <f t="shared" si="17"/>
        <v>42.257876826917837</v>
      </c>
      <c r="Y50" s="337">
        <f t="shared" si="25"/>
        <v>-88.449324892799638</v>
      </c>
      <c r="AA50" s="336">
        <f t="shared" si="19"/>
        <v>20.093427164025481</v>
      </c>
      <c r="AB50" s="337">
        <f t="shared" si="20"/>
        <v>-0.59162981184524976</v>
      </c>
      <c r="AD50">
        <f t="shared" si="26"/>
        <v>0</v>
      </c>
      <c r="AE50">
        <f t="shared" si="21"/>
        <v>0</v>
      </c>
    </row>
    <row r="51" spans="1:31" x14ac:dyDescent="0.25">
      <c r="A51" s="338">
        <v>33.113</v>
      </c>
      <c r="B51" s="355">
        <f t="shared" si="22"/>
        <v>3.3112999999999997E-2</v>
      </c>
      <c r="C51" s="328">
        <f t="shared" si="0"/>
        <v>1.0000616550307668</v>
      </c>
      <c r="D51" s="329">
        <f t="shared" si="1"/>
        <v>1.1104221102605069E-2</v>
      </c>
      <c r="E51" s="329">
        <f t="shared" si="2"/>
        <v>1.0000000000942788</v>
      </c>
      <c r="F51" s="330">
        <f t="shared" si="3"/>
        <v>1.3731637578504332E-5</v>
      </c>
      <c r="G51" s="329">
        <f t="shared" si="4"/>
        <v>1</v>
      </c>
      <c r="H51" s="330">
        <f t="shared" si="5"/>
        <v>0</v>
      </c>
      <c r="I51" s="328">
        <f t="shared" si="6"/>
        <v>60.062849453721341</v>
      </c>
      <c r="J51" s="331">
        <f t="shared" si="7"/>
        <v>1.554146330760444</v>
      </c>
      <c r="K51" s="339">
        <f t="shared" si="8"/>
        <v>1.0000481965872461</v>
      </c>
      <c r="L51" s="340">
        <f t="shared" si="9"/>
        <v>9.8178054132776957E-3</v>
      </c>
      <c r="M51" s="328">
        <f t="shared" si="10"/>
        <v>1.0000000127154174</v>
      </c>
      <c r="N51" s="331">
        <f t="shared" si="11"/>
        <v>1.5947048138609306E-4</v>
      </c>
      <c r="O51" s="332">
        <f t="shared" si="12"/>
        <v>1.0000000041014214</v>
      </c>
      <c r="P51" s="333">
        <f t="shared" si="13"/>
        <v>2.3132564146469768E-4</v>
      </c>
      <c r="Q51" s="334">
        <f t="shared" si="14"/>
        <v>61.551696016526627</v>
      </c>
      <c r="R51" s="335">
        <f t="shared" si="15"/>
        <v>-89.141335993483381</v>
      </c>
      <c r="S51" s="337">
        <f t="shared" si="16"/>
        <v>90.858664006516619</v>
      </c>
      <c r="U51" s="310">
        <f t="shared" si="23"/>
        <v>1000000000</v>
      </c>
      <c r="V51" s="310">
        <f t="shared" si="24"/>
        <v>1096.470769</v>
      </c>
      <c r="X51" s="336">
        <f t="shared" si="17"/>
        <v>41.458358929044593</v>
      </c>
      <c r="Y51" s="337">
        <f t="shared" si="25"/>
        <v>-88.492643770712732</v>
      </c>
      <c r="AA51" s="336">
        <f t="shared" si="19"/>
        <v>20.093337087482034</v>
      </c>
      <c r="AB51" s="337">
        <f t="shared" si="20"/>
        <v>-0.64869222277064698</v>
      </c>
      <c r="AD51">
        <f t="shared" si="26"/>
        <v>0</v>
      </c>
      <c r="AE51">
        <f t="shared" si="21"/>
        <v>0</v>
      </c>
    </row>
    <row r="52" spans="1:31" x14ac:dyDescent="0.25">
      <c r="A52" s="338">
        <v>36.308</v>
      </c>
      <c r="B52" s="355">
        <f t="shared" si="22"/>
        <v>3.6308E-2</v>
      </c>
      <c r="C52" s="328">
        <f t="shared" si="0"/>
        <v>1.0000741264848714</v>
      </c>
      <c r="D52" s="329">
        <f t="shared" si="1"/>
        <v>1.2175541566141359E-2</v>
      </c>
      <c r="E52" s="329">
        <f t="shared" si="2"/>
        <v>1.0000000001133502</v>
      </c>
      <c r="F52" s="330">
        <f t="shared" si="3"/>
        <v>1.5056572862440623E-5</v>
      </c>
      <c r="G52" s="329">
        <f t="shared" si="4"/>
        <v>1</v>
      </c>
      <c r="H52" s="330">
        <f t="shared" si="5"/>
        <v>0</v>
      </c>
      <c r="I52" s="328">
        <f t="shared" si="6"/>
        <v>65.856644929948942</v>
      </c>
      <c r="J52" s="331">
        <f t="shared" si="7"/>
        <v>1.5556112466377232</v>
      </c>
      <c r="K52" s="339">
        <f t="shared" si="8"/>
        <v>1.0000579457736614</v>
      </c>
      <c r="L52" s="340">
        <f t="shared" si="9"/>
        <v>1.0765033739456083E-2</v>
      </c>
      <c r="M52" s="328">
        <f t="shared" si="10"/>
        <v>1.0000000152875614</v>
      </c>
      <c r="N52" s="331">
        <f t="shared" si="11"/>
        <v>1.7485743448910393E-4</v>
      </c>
      <c r="O52" s="332">
        <f t="shared" si="12"/>
        <v>1.0000000049310793</v>
      </c>
      <c r="P52" s="333">
        <f t="shared" si="13"/>
        <v>2.5364574029790619E-4</v>
      </c>
      <c r="Q52" s="334">
        <f t="shared" si="14"/>
        <v>60.751798945049742</v>
      </c>
      <c r="R52" s="335">
        <f t="shared" si="15"/>
        <v>-89.23446398817488</v>
      </c>
      <c r="S52" s="337">
        <f t="shared" si="16"/>
        <v>90.76553601182512</v>
      </c>
      <c r="U52" s="310">
        <f t="shared" si="23"/>
        <v>1000000000</v>
      </c>
      <c r="V52" s="310">
        <f t="shared" si="24"/>
        <v>1318.2708640000001</v>
      </c>
      <c r="X52" s="336">
        <f t="shared" si="17"/>
        <v>40.658570182928536</v>
      </c>
      <c r="Y52" s="337">
        <f t="shared" si="25"/>
        <v>-88.523186690004536</v>
      </c>
      <c r="AA52" s="336">
        <f t="shared" si="19"/>
        <v>20.093228762121203</v>
      </c>
      <c r="AB52" s="337">
        <f t="shared" si="20"/>
        <v>-0.71127729817034946</v>
      </c>
      <c r="AD52">
        <f t="shared" si="26"/>
        <v>0</v>
      </c>
      <c r="AE52">
        <f t="shared" si="21"/>
        <v>0</v>
      </c>
    </row>
    <row r="53" spans="1:31" x14ac:dyDescent="0.25">
      <c r="A53" s="338">
        <v>39.811</v>
      </c>
      <c r="B53" s="355">
        <f t="shared" si="22"/>
        <v>3.9810999999999999E-2</v>
      </c>
      <c r="C53" s="328">
        <f t="shared" si="0"/>
        <v>1.0000891192802284</v>
      </c>
      <c r="D53" s="329">
        <f t="shared" si="1"/>
        <v>1.3350105781842815E-2</v>
      </c>
      <c r="E53" s="329">
        <f t="shared" si="2"/>
        <v>1.0000000001362774</v>
      </c>
      <c r="F53" s="330">
        <f t="shared" si="3"/>
        <v>1.6509232737067913E-5</v>
      </c>
      <c r="G53" s="329">
        <f t="shared" si="4"/>
        <v>1</v>
      </c>
      <c r="H53" s="330">
        <f t="shared" si="5"/>
        <v>0</v>
      </c>
      <c r="I53" s="328">
        <f t="shared" si="6"/>
        <v>72.209101016098415</v>
      </c>
      <c r="J53" s="331">
        <f t="shared" si="7"/>
        <v>1.5569472142458831</v>
      </c>
      <c r="K53" s="339">
        <f t="shared" si="8"/>
        <v>1.0000696659783519</v>
      </c>
      <c r="L53" s="340">
        <f t="shared" si="9"/>
        <v>1.1803553205294236E-2</v>
      </c>
      <c r="M53" s="328">
        <f t="shared" si="10"/>
        <v>1.0000000183797557</v>
      </c>
      <c r="N53" s="331">
        <f t="shared" si="11"/>
        <v>1.9172769940771619E-4</v>
      </c>
      <c r="O53" s="332">
        <f t="shared" si="12"/>
        <v>1.0000000059284824</v>
      </c>
      <c r="P53" s="333">
        <f t="shared" si="13"/>
        <v>2.7811751070918906E-4</v>
      </c>
      <c r="Q53" s="334">
        <f t="shared" si="14"/>
        <v>59.95192376063342</v>
      </c>
      <c r="R53" s="335">
        <f t="shared" si="15"/>
        <v>-89.321089576640702</v>
      </c>
      <c r="S53" s="337">
        <f t="shared" si="16"/>
        <v>90.678910423359298</v>
      </c>
      <c r="U53" s="310">
        <f t="shared" si="23"/>
        <v>1000000000</v>
      </c>
      <c r="V53" s="310">
        <f t="shared" si="24"/>
        <v>1584.9157210000001</v>
      </c>
      <c r="X53" s="336">
        <f t="shared" si="17"/>
        <v>39.858825222113701</v>
      </c>
      <c r="Y53" s="337">
        <f t="shared" si="25"/>
        <v>-88.541195808183261</v>
      </c>
      <c r="AA53" s="336">
        <f t="shared" si="19"/>
        <v>20.093098538519708</v>
      </c>
      <c r="AB53" s="337">
        <f t="shared" si="20"/>
        <v>-0.77989376845743785</v>
      </c>
      <c r="AD53">
        <f t="shared" si="26"/>
        <v>0</v>
      </c>
      <c r="AE53">
        <f t="shared" si="21"/>
        <v>0</v>
      </c>
    </row>
    <row r="54" spans="1:31" x14ac:dyDescent="0.25">
      <c r="A54" s="338">
        <v>43.652000000000001</v>
      </c>
      <c r="B54" s="355">
        <f t="shared" si="22"/>
        <v>4.3652000000000003E-2</v>
      </c>
      <c r="C54" s="328">
        <f t="shared" si="0"/>
        <v>1.0001071444984282</v>
      </c>
      <c r="D54" s="329">
        <f t="shared" si="1"/>
        <v>1.4637959740568073E-2</v>
      </c>
      <c r="E54" s="329">
        <f t="shared" si="2"/>
        <v>1.0000000001638423</v>
      </c>
      <c r="F54" s="330">
        <f t="shared" si="3"/>
        <v>1.8102057909252345E-5</v>
      </c>
      <c r="G54" s="329">
        <f t="shared" si="4"/>
        <v>1</v>
      </c>
      <c r="H54" s="330">
        <f t="shared" si="5"/>
        <v>0</v>
      </c>
      <c r="I54" s="328">
        <f t="shared" si="6"/>
        <v>79.174620699182157</v>
      </c>
      <c r="J54" s="331">
        <f t="shared" si="7"/>
        <v>1.5581656810079942</v>
      </c>
      <c r="K54" s="339">
        <f t="shared" si="8"/>
        <v>1.0000837567468188</v>
      </c>
      <c r="L54" s="340">
        <f t="shared" si="9"/>
        <v>1.2942248741445913E-2</v>
      </c>
      <c r="M54" s="328">
        <f t="shared" si="10"/>
        <v>1.0000000220974343</v>
      </c>
      <c r="N54" s="331">
        <f t="shared" si="11"/>
        <v>2.1022575453524708E-4</v>
      </c>
      <c r="O54" s="332">
        <f t="shared" si="12"/>
        <v>1.0000000071276383</v>
      </c>
      <c r="P54" s="333">
        <f t="shared" si="13"/>
        <v>3.0495053112396887E-4</v>
      </c>
      <c r="Q54" s="334">
        <f t="shared" si="14"/>
        <v>59.152008483918365</v>
      </c>
      <c r="R54" s="335">
        <f t="shared" si="15"/>
        <v>-89.401954744920829</v>
      </c>
      <c r="S54" s="337">
        <f t="shared" si="16"/>
        <v>90.598045255079171</v>
      </c>
      <c r="U54" s="310">
        <f t="shared" si="23"/>
        <v>1000000000</v>
      </c>
      <c r="V54" s="310">
        <f t="shared" si="24"/>
        <v>1905.497104</v>
      </c>
      <c r="X54" s="336">
        <f t="shared" si="17"/>
        <v>39.05906650526844</v>
      </c>
      <c r="Y54" s="337">
        <f t="shared" si="25"/>
        <v>-88.54682622325177</v>
      </c>
      <c r="AA54" s="336">
        <f t="shared" si="19"/>
        <v>20.092941978649925</v>
      </c>
      <c r="AB54" s="337">
        <f t="shared" si="20"/>
        <v>-0.8551285216690655</v>
      </c>
      <c r="AD54">
        <f t="shared" si="26"/>
        <v>0</v>
      </c>
      <c r="AE54">
        <f t="shared" si="21"/>
        <v>0</v>
      </c>
    </row>
    <row r="55" spans="1:31" x14ac:dyDescent="0.25">
      <c r="A55" s="338">
        <v>47.863</v>
      </c>
      <c r="B55" s="355">
        <f t="shared" si="22"/>
        <v>4.7863000000000003E-2</v>
      </c>
      <c r="C55" s="328">
        <f t="shared" si="0"/>
        <v>1.0001288121149003</v>
      </c>
      <c r="D55" s="329">
        <f t="shared" si="1"/>
        <v>1.6049815530771745E-2</v>
      </c>
      <c r="E55" s="329">
        <f t="shared" si="2"/>
        <v>1.000000000196978</v>
      </c>
      <c r="F55" s="330">
        <f t="shared" si="3"/>
        <v>1.984831846631095E-5</v>
      </c>
      <c r="G55" s="329">
        <f t="shared" si="4"/>
        <v>1</v>
      </c>
      <c r="H55" s="330">
        <f t="shared" si="5"/>
        <v>0</v>
      </c>
      <c r="I55" s="328">
        <f t="shared" si="6"/>
        <v>86.811234848769018</v>
      </c>
      <c r="J55" s="331">
        <f t="shared" si="7"/>
        <v>1.559276825677687</v>
      </c>
      <c r="K55" s="339">
        <f t="shared" si="8"/>
        <v>1.0001006949433997</v>
      </c>
      <c r="L55" s="340">
        <f t="shared" si="9"/>
        <v>1.4190595094359925E-2</v>
      </c>
      <c r="M55" s="328">
        <f t="shared" si="10"/>
        <v>1.0000000265664417</v>
      </c>
      <c r="N55" s="331">
        <f t="shared" si="11"/>
        <v>2.3050571014712556E-4</v>
      </c>
      <c r="O55" s="332">
        <f t="shared" si="12"/>
        <v>1.0000000085691392</v>
      </c>
      <c r="P55" s="333">
        <f t="shared" si="13"/>
        <v>3.3436835187157916E-4</v>
      </c>
      <c r="Q55" s="334">
        <f t="shared" si="14"/>
        <v>58.352168513910655</v>
      </c>
      <c r="R55" s="335">
        <f t="shared" si="15"/>
        <v>-89.477734465153262</v>
      </c>
      <c r="S55" s="337">
        <f t="shared" si="16"/>
        <v>90.522265534846738</v>
      </c>
      <c r="U55" s="310">
        <f t="shared" si="23"/>
        <v>1000000000</v>
      </c>
      <c r="V55" s="310">
        <f t="shared" si="24"/>
        <v>2290.8667689999997</v>
      </c>
      <c r="X55" s="336">
        <f t="shared" si="17"/>
        <v>38.259414727817834</v>
      </c>
      <c r="Y55" s="337">
        <f t="shared" si="25"/>
        <v>-88.54012710171871</v>
      </c>
      <c r="AA55" s="336">
        <f t="shared" si="19"/>
        <v>20.092753786092814</v>
      </c>
      <c r="AB55" s="337">
        <f t="shared" si="20"/>
        <v>-0.9376073634345502</v>
      </c>
      <c r="AD55">
        <f t="shared" si="26"/>
        <v>0</v>
      </c>
      <c r="AE55">
        <f t="shared" si="21"/>
        <v>0</v>
      </c>
    </row>
    <row r="56" spans="1:31" x14ac:dyDescent="0.25">
      <c r="A56" s="338">
        <v>52.481000000000002</v>
      </c>
      <c r="B56" s="355">
        <f t="shared" si="22"/>
        <v>5.2481E-2</v>
      </c>
      <c r="C56" s="328">
        <f t="shared" si="0"/>
        <v>1.000154865765879</v>
      </c>
      <c r="D56" s="329">
        <f t="shared" si="1"/>
        <v>1.7598055707863516E-2</v>
      </c>
      <c r="E56" s="329">
        <f t="shared" si="2"/>
        <v>1.0000000002368219</v>
      </c>
      <c r="F56" s="330">
        <f t="shared" si="3"/>
        <v>2.1763357946697776E-5</v>
      </c>
      <c r="G56" s="329">
        <f t="shared" si="4"/>
        <v>1</v>
      </c>
      <c r="H56" s="330">
        <f t="shared" si="5"/>
        <v>0</v>
      </c>
      <c r="I56" s="328">
        <f t="shared" si="6"/>
        <v>95.186042671525882</v>
      </c>
      <c r="J56" s="331">
        <f t="shared" si="7"/>
        <v>1.5602903915973712</v>
      </c>
      <c r="K56" s="339">
        <f t="shared" si="8"/>
        <v>1.0001210619348631</v>
      </c>
      <c r="L56" s="340">
        <f t="shared" si="9"/>
        <v>1.555954516031764E-2</v>
      </c>
      <c r="M56" s="328">
        <f t="shared" si="10"/>
        <v>1.0000000319402096</v>
      </c>
      <c r="N56" s="331">
        <f t="shared" si="11"/>
        <v>2.5274575623953873E-4</v>
      </c>
      <c r="O56" s="332">
        <f t="shared" si="12"/>
        <v>1.0000000103024753</v>
      </c>
      <c r="P56" s="333">
        <f t="shared" si="13"/>
        <v>3.666294530283718E-4</v>
      </c>
      <c r="Q56" s="334">
        <f t="shared" si="14"/>
        <v>57.552172318384279</v>
      </c>
      <c r="R56" s="335">
        <f t="shared" si="15"/>
        <v>-89.549093043403587</v>
      </c>
      <c r="S56" s="337">
        <f t="shared" si="16"/>
        <v>90.450906956596413</v>
      </c>
      <c r="U56" s="310">
        <f t="shared" si="23"/>
        <v>1000000000</v>
      </c>
      <c r="V56" s="310">
        <f t="shared" si="24"/>
        <v>2754.255361</v>
      </c>
      <c r="X56" s="336">
        <f t="shared" si="17"/>
        <v>37.459644814044552</v>
      </c>
      <c r="Y56" s="337">
        <f t="shared" si="25"/>
        <v>-88.521039350786836</v>
      </c>
      <c r="AA56" s="336">
        <f t="shared" si="19"/>
        <v>20.092527504339724</v>
      </c>
      <c r="AB56" s="337">
        <f t="shared" si="20"/>
        <v>-1.0280536926167476</v>
      </c>
      <c r="AD56">
        <f t="shared" si="26"/>
        <v>0</v>
      </c>
      <c r="AE56">
        <f t="shared" si="21"/>
        <v>0</v>
      </c>
    </row>
    <row r="57" spans="1:31" x14ac:dyDescent="0.25">
      <c r="A57" s="338">
        <v>57.544000000000004</v>
      </c>
      <c r="B57" s="355">
        <f t="shared" si="22"/>
        <v>5.7544000000000005E-2</v>
      </c>
      <c r="C57" s="328">
        <f t="shared" si="0"/>
        <v>1.0001861849255773</v>
      </c>
      <c r="D57" s="329">
        <f t="shared" si="1"/>
        <v>1.9295390268699471E-2</v>
      </c>
      <c r="E57" s="329">
        <f t="shared" si="2"/>
        <v>1.0000000002847198</v>
      </c>
      <c r="F57" s="330">
        <f t="shared" si="3"/>
        <v>2.3862934579081702E-5</v>
      </c>
      <c r="G57" s="329">
        <f t="shared" si="4"/>
        <v>1</v>
      </c>
      <c r="H57" s="330">
        <f t="shared" si="5"/>
        <v>0</v>
      </c>
      <c r="I57" s="328">
        <f t="shared" si="6"/>
        <v>104.36795771164724</v>
      </c>
      <c r="J57" s="331">
        <f t="shared" si="7"/>
        <v>1.5612146953884116</v>
      </c>
      <c r="K57" s="339">
        <f t="shared" si="8"/>
        <v>1.0001455453000367</v>
      </c>
      <c r="L57" s="340">
        <f t="shared" si="9"/>
        <v>1.7060342866831307E-2</v>
      </c>
      <c r="M57" s="328">
        <f t="shared" si="10"/>
        <v>1.0000000384002146</v>
      </c>
      <c r="N57" s="331">
        <f t="shared" si="11"/>
        <v>2.7712889873309968E-4</v>
      </c>
      <c r="O57" s="332">
        <f t="shared" si="12"/>
        <v>1.000000012386183</v>
      </c>
      <c r="P57" s="333">
        <f t="shared" si="13"/>
        <v>4.0199930063636264E-4</v>
      </c>
      <c r="Q57" s="334">
        <f t="shared" si="14"/>
        <v>56.752234614392911</v>
      </c>
      <c r="R57" s="335">
        <f t="shared" si="15"/>
        <v>-89.616615779233044</v>
      </c>
      <c r="S57" s="337">
        <f t="shared" si="16"/>
        <v>90.383384220766956</v>
      </c>
      <c r="U57" s="310">
        <f t="shared" si="23"/>
        <v>1000000000</v>
      </c>
      <c r="V57" s="310">
        <f t="shared" si="24"/>
        <v>3311.3119360000005</v>
      </c>
      <c r="X57" s="336">
        <f t="shared" si="17"/>
        <v>36.659979116119814</v>
      </c>
      <c r="Y57" s="337">
        <f t="shared" si="25"/>
        <v>-88.489405733635266</v>
      </c>
      <c r="AA57" s="336">
        <f t="shared" si="19"/>
        <v>20.092255498273097</v>
      </c>
      <c r="AB57" s="337">
        <f t="shared" si="20"/>
        <v>-1.1272100455978007</v>
      </c>
      <c r="AD57">
        <f t="shared" si="26"/>
        <v>0</v>
      </c>
      <c r="AE57">
        <f t="shared" si="21"/>
        <v>0</v>
      </c>
    </row>
    <row r="58" spans="1:31" x14ac:dyDescent="0.25">
      <c r="A58" s="338">
        <v>63.095999999999997</v>
      </c>
      <c r="B58" s="355">
        <f t="shared" si="22"/>
        <v>6.3095999999999999E-2</v>
      </c>
      <c r="C58" s="328">
        <f t="shared" si="0"/>
        <v>1.000223841135611</v>
      </c>
      <c r="D58" s="329">
        <f t="shared" si="1"/>
        <v>2.1156530412145068E-2</v>
      </c>
      <c r="E58" s="329">
        <f t="shared" si="2"/>
        <v>1.0000000003423113</v>
      </c>
      <c r="F58" s="330">
        <f t="shared" si="3"/>
        <v>2.6165294733489684E-5</v>
      </c>
      <c r="G58" s="329">
        <f t="shared" si="4"/>
        <v>1</v>
      </c>
      <c r="H58" s="330">
        <f t="shared" si="5"/>
        <v>0</v>
      </c>
      <c r="I58" s="328">
        <f t="shared" si="6"/>
        <v>114.43677540016392</v>
      </c>
      <c r="J58" s="331">
        <f t="shared" si="7"/>
        <v>1.5620577659285066</v>
      </c>
      <c r="K58" s="339">
        <f t="shared" si="8"/>
        <v>1.0001749827973274</v>
      </c>
      <c r="L58" s="340">
        <f t="shared" si="9"/>
        <v>1.8706003598883053E-2</v>
      </c>
      <c r="M58" s="328">
        <f t="shared" si="10"/>
        <v>1.0000000461675906</v>
      </c>
      <c r="N58" s="331">
        <f t="shared" si="11"/>
        <v>3.038670392033607E-4</v>
      </c>
      <c r="O58" s="332">
        <f t="shared" si="12"/>
        <v>1.00000001489159</v>
      </c>
      <c r="P58" s="333">
        <f t="shared" si="13"/>
        <v>4.4078527644220795E-4</v>
      </c>
      <c r="Q58" s="334">
        <f t="shared" si="14"/>
        <v>55.952194633992171</v>
      </c>
      <c r="R58" s="335">
        <f t="shared" si="15"/>
        <v>-89.680888563729766</v>
      </c>
      <c r="S58" s="337">
        <f t="shared" si="16"/>
        <v>90.319111436270234</v>
      </c>
      <c r="U58" s="310">
        <f t="shared" si="23"/>
        <v>1000000000</v>
      </c>
      <c r="V58" s="310">
        <f t="shared" si="24"/>
        <v>3981.1052159999995</v>
      </c>
      <c r="X58" s="336">
        <f t="shared" si="17"/>
        <v>35.860266167623664</v>
      </c>
      <c r="Y58" s="337">
        <f t="shared" si="25"/>
        <v>-88.444952685507715</v>
      </c>
      <c r="AA58" s="336">
        <f t="shared" si="19"/>
        <v>20.091928466368504</v>
      </c>
      <c r="AB58" s="337">
        <f t="shared" si="20"/>
        <v>-1.235935878222048</v>
      </c>
      <c r="AD58">
        <f t="shared" si="26"/>
        <v>0</v>
      </c>
      <c r="AE58">
        <f t="shared" si="21"/>
        <v>0</v>
      </c>
    </row>
    <row r="59" spans="1:31" x14ac:dyDescent="0.25">
      <c r="A59" s="338">
        <v>69.183000000000007</v>
      </c>
      <c r="B59" s="355">
        <f t="shared" si="22"/>
        <v>6.9183000000000008E-2</v>
      </c>
      <c r="C59" s="328">
        <f t="shared" si="0"/>
        <v>1.0002691071257268</v>
      </c>
      <c r="D59" s="329">
        <f t="shared" si="1"/>
        <v>2.3196844212566615E-2</v>
      </c>
      <c r="E59" s="329">
        <f t="shared" si="2"/>
        <v>1.0000000004115441</v>
      </c>
      <c r="F59" s="330">
        <f t="shared" si="3"/>
        <v>2.8689514160382069E-5</v>
      </c>
      <c r="G59" s="329">
        <f t="shared" si="4"/>
        <v>1</v>
      </c>
      <c r="H59" s="330">
        <f t="shared" si="5"/>
        <v>0</v>
      </c>
      <c r="I59" s="328">
        <f t="shared" si="6"/>
        <v>125.47591893908175</v>
      </c>
      <c r="J59" s="331">
        <f t="shared" si="7"/>
        <v>1.5628265857110097</v>
      </c>
      <c r="K59" s="339">
        <f t="shared" si="8"/>
        <v>1.0002103695107898</v>
      </c>
      <c r="L59" s="340">
        <f t="shared" si="9"/>
        <v>2.0510126180328148E-2</v>
      </c>
      <c r="M59" s="328">
        <f t="shared" si="10"/>
        <v>1.000000055505029</v>
      </c>
      <c r="N59" s="331">
        <f t="shared" si="11"/>
        <v>3.3318171108061257E-4</v>
      </c>
      <c r="O59" s="332">
        <f t="shared" si="12"/>
        <v>1.0000000179034287</v>
      </c>
      <c r="P59" s="333">
        <f t="shared" si="13"/>
        <v>4.8330873411904041E-4</v>
      </c>
      <c r="Q59" s="334">
        <f t="shared" si="14"/>
        <v>55.152213290232964</v>
      </c>
      <c r="R59" s="335">
        <f t="shared" si="15"/>
        <v>-89.742442847060914</v>
      </c>
      <c r="S59" s="337">
        <f t="shared" si="16"/>
        <v>90.257557152939086</v>
      </c>
      <c r="U59" s="310">
        <f t="shared" si="23"/>
        <v>1000000000</v>
      </c>
      <c r="V59" s="310">
        <f t="shared" si="24"/>
        <v>4786.2874890000012</v>
      </c>
      <c r="X59" s="336">
        <f t="shared" si="17"/>
        <v>35.060677927934492</v>
      </c>
      <c r="Y59" s="337">
        <f t="shared" si="25"/>
        <v>-88.387313811520769</v>
      </c>
      <c r="AA59" s="336">
        <f t="shared" si="19"/>
        <v>20.091535362298472</v>
      </c>
      <c r="AB59" s="337">
        <f t="shared" si="20"/>
        <v>-1.355129035540158</v>
      </c>
      <c r="AD59">
        <f t="shared" si="26"/>
        <v>0</v>
      </c>
      <c r="AE59">
        <f t="shared" si="21"/>
        <v>0</v>
      </c>
    </row>
    <row r="60" spans="1:31" x14ac:dyDescent="0.25">
      <c r="A60" s="338">
        <v>75.858000000000004</v>
      </c>
      <c r="B60" s="355">
        <f t="shared" si="22"/>
        <v>7.5858000000000009E-2</v>
      </c>
      <c r="C60" s="328">
        <f t="shared" si="0"/>
        <v>1.0003235321000847</v>
      </c>
      <c r="D60" s="329">
        <f t="shared" si="1"/>
        <v>2.5434028255203585E-2</v>
      </c>
      <c r="E60" s="329">
        <f t="shared" si="2"/>
        <v>1.0000000004947893</v>
      </c>
      <c r="F60" s="330">
        <f t="shared" si="3"/>
        <v>3.1457571441791822E-5</v>
      </c>
      <c r="G60" s="329">
        <f t="shared" si="4"/>
        <v>1</v>
      </c>
      <c r="H60" s="330">
        <f t="shared" si="5"/>
        <v>0</v>
      </c>
      <c r="I60" s="328">
        <f t="shared" si="6"/>
        <v>137.58150704360722</v>
      </c>
      <c r="J60" s="331">
        <f t="shared" si="7"/>
        <v>1.5635278440846625</v>
      </c>
      <c r="K60" s="339">
        <f t="shared" si="8"/>
        <v>1.0002529167280059</v>
      </c>
      <c r="L60" s="340">
        <f t="shared" si="9"/>
        <v>2.2488371829980217E-2</v>
      </c>
      <c r="M60" s="328">
        <f t="shared" si="10"/>
        <v>1.0000000667323357</v>
      </c>
      <c r="N60" s="331">
        <f t="shared" si="11"/>
        <v>3.6532815937407676E-4</v>
      </c>
      <c r="O60" s="332">
        <f t="shared" si="12"/>
        <v>1.0000000215248546</v>
      </c>
      <c r="P60" s="333">
        <f t="shared" si="13"/>
        <v>5.2993992901065453E-4</v>
      </c>
      <c r="Q60" s="334">
        <f t="shared" si="14"/>
        <v>54.352116500594576</v>
      </c>
      <c r="R60" s="335">
        <f t="shared" si="15"/>
        <v>-89.801813097834042</v>
      </c>
      <c r="S60" s="337">
        <f t="shared" si="16"/>
        <v>90.198186902165958</v>
      </c>
      <c r="U60" s="310">
        <f t="shared" si="23"/>
        <v>1000000000</v>
      </c>
      <c r="V60" s="310">
        <f t="shared" si="24"/>
        <v>5754.4361640000006</v>
      </c>
      <c r="X60" s="336">
        <f t="shared" si="17"/>
        <v>34.261053758311817</v>
      </c>
      <c r="Y60" s="337">
        <f t="shared" si="25"/>
        <v>-88.315989685846162</v>
      </c>
      <c r="AA60" s="336">
        <f t="shared" si="19"/>
        <v>20.091062742282752</v>
      </c>
      <c r="AB60" s="337">
        <f t="shared" si="20"/>
        <v>-1.4858234119878782</v>
      </c>
      <c r="AD60">
        <f t="shared" si="26"/>
        <v>0</v>
      </c>
      <c r="AE60">
        <f t="shared" si="21"/>
        <v>0</v>
      </c>
    </row>
    <row r="61" spans="1:31" x14ac:dyDescent="0.25">
      <c r="A61" s="338">
        <v>83.176000000000002</v>
      </c>
      <c r="B61" s="355">
        <f t="shared" si="22"/>
        <v>8.3176E-2</v>
      </c>
      <c r="C61" s="328">
        <f t="shared" si="0"/>
        <v>1.0003889524028391</v>
      </c>
      <c r="D61" s="329">
        <f t="shared" si="1"/>
        <v>2.7886425898345935E-2</v>
      </c>
      <c r="E61" s="329">
        <f t="shared" si="2"/>
        <v>1.0000000005948584</v>
      </c>
      <c r="F61" s="330">
        <f t="shared" si="3"/>
        <v>3.4492274540166121E-5</v>
      </c>
      <c r="G61" s="329">
        <f t="shared" si="4"/>
        <v>1</v>
      </c>
      <c r="H61" s="330">
        <f t="shared" si="5"/>
        <v>0</v>
      </c>
      <c r="I61" s="328">
        <f t="shared" si="6"/>
        <v>150.85328613138844</v>
      </c>
      <c r="J61" s="331">
        <f t="shared" si="7"/>
        <v>1.564167320893628</v>
      </c>
      <c r="K61" s="339">
        <f t="shared" si="8"/>
        <v>1.0003040603113222</v>
      </c>
      <c r="L61" s="340">
        <f t="shared" si="9"/>
        <v>2.4656978217663078E-2</v>
      </c>
      <c r="M61" s="328">
        <f t="shared" si="10"/>
        <v>1.000000080228673</v>
      </c>
      <c r="N61" s="331">
        <f t="shared" si="11"/>
        <v>4.0057126091768314E-4</v>
      </c>
      <c r="O61" s="332">
        <f t="shared" si="12"/>
        <v>1.0000000258781687</v>
      </c>
      <c r="P61" s="333">
        <f t="shared" si="13"/>
        <v>5.8106308841207534E-4</v>
      </c>
      <c r="Q61" s="334">
        <f t="shared" si="14"/>
        <v>53.552098163149573</v>
      </c>
      <c r="R61" s="335">
        <f t="shared" si="15"/>
        <v>-89.859487007915561</v>
      </c>
      <c r="S61" s="337">
        <f t="shared" si="16"/>
        <v>90.140512992084439</v>
      </c>
      <c r="U61" s="310">
        <f t="shared" si="23"/>
        <v>1000000000</v>
      </c>
      <c r="V61" s="310">
        <f t="shared" si="24"/>
        <v>6918.2469760000004</v>
      </c>
      <c r="X61" s="336">
        <f t="shared" si="17"/>
        <v>33.461603488983343</v>
      </c>
      <c r="Y61" s="337">
        <f t="shared" si="25"/>
        <v>-88.230396295534632</v>
      </c>
      <c r="AA61" s="336">
        <f t="shared" si="19"/>
        <v>20.09049467416623</v>
      </c>
      <c r="AB61" s="337">
        <f t="shared" si="20"/>
        <v>-1.6290907123809357</v>
      </c>
      <c r="AD61">
        <f t="shared" si="26"/>
        <v>0</v>
      </c>
      <c r="AE61">
        <f t="shared" si="21"/>
        <v>0</v>
      </c>
    </row>
    <row r="62" spans="1:31" x14ac:dyDescent="0.25">
      <c r="A62" s="338">
        <v>91.201000000000008</v>
      </c>
      <c r="B62" s="355">
        <f t="shared" si="22"/>
        <v>9.1201000000000004E-2</v>
      </c>
      <c r="C62" s="328">
        <f t="shared" si="0"/>
        <v>1.0004676086336648</v>
      </c>
      <c r="D62" s="329">
        <f t="shared" si="1"/>
        <v>3.057536562272975E-2</v>
      </c>
      <c r="E62" s="329">
        <f t="shared" si="2"/>
        <v>1.0000000007151824</v>
      </c>
      <c r="F62" s="330">
        <f t="shared" si="3"/>
        <v>3.7820163629957593E-5</v>
      </c>
      <c r="G62" s="329">
        <f t="shared" si="4"/>
        <v>1</v>
      </c>
      <c r="H62" s="330">
        <f t="shared" si="5"/>
        <v>0</v>
      </c>
      <c r="I62" s="328">
        <f t="shared" si="6"/>
        <v>165.40732532793362</v>
      </c>
      <c r="J62" s="331">
        <f t="shared" si="7"/>
        <v>1.5647506085062517</v>
      </c>
      <c r="K62" s="339">
        <f t="shared" si="8"/>
        <v>1.0003655523026658</v>
      </c>
      <c r="L62" s="340">
        <f t="shared" si="9"/>
        <v>2.7034828659325154E-2</v>
      </c>
      <c r="M62" s="328">
        <f t="shared" si="10"/>
        <v>1.0000000964567763</v>
      </c>
      <c r="N62" s="331">
        <f t="shared" si="11"/>
        <v>4.3921923597814503E-4</v>
      </c>
      <c r="O62" s="332">
        <f t="shared" si="12"/>
        <v>1.0000000311126294</v>
      </c>
      <c r="P62" s="333">
        <f t="shared" si="13"/>
        <v>6.3712531321619614E-4</v>
      </c>
      <c r="Q62" s="334">
        <f t="shared" si="14"/>
        <v>52.751949725874248</v>
      </c>
      <c r="R62" s="335">
        <f t="shared" si="15"/>
        <v>-89.915966850106955</v>
      </c>
      <c r="S62" s="337">
        <f t="shared" si="16"/>
        <v>90.084033149893045</v>
      </c>
      <c r="U62" s="310">
        <f t="shared" si="23"/>
        <v>1000000000</v>
      </c>
      <c r="V62" s="310">
        <f t="shared" si="24"/>
        <v>8317.6224010000005</v>
      </c>
      <c r="X62" s="336">
        <f t="shared" si="17"/>
        <v>32.662138002993792</v>
      </c>
      <c r="Y62" s="337">
        <f t="shared" si="25"/>
        <v>-88.129789785102403</v>
      </c>
      <c r="AA62" s="336">
        <f t="shared" si="19"/>
        <v>20.089811722880455</v>
      </c>
      <c r="AB62" s="337">
        <f t="shared" si="20"/>
        <v>-1.7861770650045534</v>
      </c>
      <c r="AD62">
        <f t="shared" si="26"/>
        <v>0</v>
      </c>
      <c r="AE62">
        <f t="shared" si="21"/>
        <v>0</v>
      </c>
    </row>
    <row r="63" spans="1:31" x14ac:dyDescent="0.25">
      <c r="A63" s="338">
        <v>100</v>
      </c>
      <c r="B63" s="355">
        <f t="shared" si="22"/>
        <v>0.1</v>
      </c>
      <c r="C63" s="328">
        <f t="shared" si="0"/>
        <v>1.0005621636928839</v>
      </c>
      <c r="D63" s="329">
        <f t="shared" si="1"/>
        <v>3.3523140141592675E-2</v>
      </c>
      <c r="E63" s="329">
        <f t="shared" si="2"/>
        <v>1.00000000085984</v>
      </c>
      <c r="F63" s="330">
        <f t="shared" si="3"/>
        <v>4.1469022956228856E-5</v>
      </c>
      <c r="G63" s="329">
        <f t="shared" si="4"/>
        <v>1</v>
      </c>
      <c r="H63" s="330">
        <f t="shared" si="5"/>
        <v>0</v>
      </c>
      <c r="I63" s="328">
        <f t="shared" si="6"/>
        <v>181.36513499983434</v>
      </c>
      <c r="J63" s="331">
        <f t="shared" si="7"/>
        <v>1.5652825599567646</v>
      </c>
      <c r="K63" s="339">
        <f t="shared" si="8"/>
        <v>1.0004394751007999</v>
      </c>
      <c r="L63" s="340">
        <f t="shared" si="9"/>
        <v>2.9641667041471097E-2</v>
      </c>
      <c r="M63" s="328">
        <f t="shared" si="10"/>
        <v>1.000000115966764</v>
      </c>
      <c r="N63" s="331">
        <f t="shared" si="11"/>
        <v>4.8159475254149728E-4</v>
      </c>
      <c r="O63" s="332">
        <f t="shared" si="12"/>
        <v>1.0000000374056799</v>
      </c>
      <c r="P63" s="333">
        <f t="shared" si="13"/>
        <v>6.9859466225737933E-4</v>
      </c>
      <c r="Q63" s="334">
        <f t="shared" si="14"/>
        <v>51.951789169275372</v>
      </c>
      <c r="R63" s="335">
        <f t="shared" si="15"/>
        <v>-89.971720433192104</v>
      </c>
      <c r="S63" s="337">
        <f t="shared" si="16"/>
        <v>90.028279566807896</v>
      </c>
      <c r="U63" s="310">
        <f t="shared" si="23"/>
        <v>1000000000</v>
      </c>
      <c r="V63" s="310">
        <f t="shared" si="24"/>
        <v>10000</v>
      </c>
      <c r="X63" s="336">
        <f t="shared" si="17"/>
        <v>31.862798371953165</v>
      </c>
      <c r="Y63" s="337">
        <f t="shared" si="25"/>
        <v>-88.013335459073673</v>
      </c>
      <c r="AA63" s="336">
        <f t="shared" si="19"/>
        <v>20.088990797322204</v>
      </c>
      <c r="AB63" s="337">
        <f t="shared" si="20"/>
        <v>-1.958384974118426</v>
      </c>
      <c r="AD63">
        <f t="shared" si="26"/>
        <v>0</v>
      </c>
      <c r="AE63">
        <f t="shared" si="21"/>
        <v>0</v>
      </c>
    </row>
    <row r="64" spans="1:31" x14ac:dyDescent="0.25">
      <c r="A64" s="338">
        <v>109.65</v>
      </c>
      <c r="B64" s="355">
        <f t="shared" si="22"/>
        <v>0.10965000000000001</v>
      </c>
      <c r="C64" s="328">
        <f t="shared" si="0"/>
        <v>1.0006758578846979</v>
      </c>
      <c r="D64" s="329">
        <f t="shared" si="1"/>
        <v>3.6755338411450587E-2</v>
      </c>
      <c r="E64" s="329">
        <f t="shared" si="2"/>
        <v>1.0000000010337959</v>
      </c>
      <c r="F64" s="330">
        <f t="shared" si="3"/>
        <v>4.5470783666231663E-5</v>
      </c>
      <c r="G64" s="329">
        <f t="shared" si="4"/>
        <v>1</v>
      </c>
      <c r="H64" s="330">
        <f t="shared" si="5"/>
        <v>0</v>
      </c>
      <c r="I64" s="328">
        <f t="shared" si="6"/>
        <v>198.86636186414034</v>
      </c>
      <c r="J64" s="331">
        <f t="shared" si="7"/>
        <v>1.565767803091942</v>
      </c>
      <c r="K64" s="339">
        <f t="shared" si="8"/>
        <v>1.0005283628199375</v>
      </c>
      <c r="L64" s="340">
        <f t="shared" si="9"/>
        <v>3.2500162626920584E-2</v>
      </c>
      <c r="M64" s="328">
        <f t="shared" si="10"/>
        <v>1.0000001394282594</v>
      </c>
      <c r="N64" s="331">
        <f t="shared" si="11"/>
        <v>5.2806863790223258E-4</v>
      </c>
      <c r="O64" s="332">
        <f t="shared" si="12"/>
        <v>1.0000000449733122</v>
      </c>
      <c r="P64" s="333">
        <f t="shared" si="13"/>
        <v>7.6600905397370669E-4</v>
      </c>
      <c r="Q64" s="334">
        <f t="shared" si="14"/>
        <v>51.151423169056415</v>
      </c>
      <c r="R64" s="335">
        <f t="shared" si="15"/>
        <v>-90.027230437161435</v>
      </c>
      <c r="S64" s="337">
        <f t="shared" si="16"/>
        <v>89.972769562838565</v>
      </c>
      <c r="U64" s="310">
        <f t="shared" si="23"/>
        <v>1000000000</v>
      </c>
      <c r="V64" s="310">
        <f t="shared" si="24"/>
        <v>12023.122500000001</v>
      </c>
      <c r="X64" s="336">
        <f t="shared" si="17"/>
        <v>31.063419360241731</v>
      </c>
      <c r="Y64" s="337">
        <f t="shared" si="25"/>
        <v>-87.880020867290426</v>
      </c>
      <c r="AA64" s="336">
        <f t="shared" si="19"/>
        <v>20.08800380881468</v>
      </c>
      <c r="AB64" s="337">
        <f t="shared" si="20"/>
        <v>-2.1472095698710172</v>
      </c>
      <c r="AD64">
        <f t="shared" si="26"/>
        <v>0</v>
      </c>
      <c r="AE64">
        <f t="shared" si="21"/>
        <v>0</v>
      </c>
    </row>
    <row r="65" spans="1:31" x14ac:dyDescent="0.25">
      <c r="A65" s="338">
        <v>120.23</v>
      </c>
      <c r="B65" s="355">
        <f t="shared" si="22"/>
        <v>0.12023</v>
      </c>
      <c r="C65" s="328">
        <f t="shared" si="0"/>
        <v>1.0008125201539291</v>
      </c>
      <c r="D65" s="329">
        <f t="shared" si="1"/>
        <v>4.0298148285276364E-2</v>
      </c>
      <c r="E65" s="329">
        <f t="shared" si="2"/>
        <v>1.0000000012429202</v>
      </c>
      <c r="F65" s="330">
        <f t="shared" si="3"/>
        <v>4.9858206287540817E-5</v>
      </c>
      <c r="G65" s="329">
        <f t="shared" si="4"/>
        <v>1</v>
      </c>
      <c r="H65" s="330">
        <f t="shared" si="5"/>
        <v>0</v>
      </c>
      <c r="I65" s="328">
        <f t="shared" si="6"/>
        <v>218.05428022006674</v>
      </c>
      <c r="J65" s="331">
        <f t="shared" si="7"/>
        <v>1.5662102966363594</v>
      </c>
      <c r="K65" s="339">
        <f t="shared" si="8"/>
        <v>1.0006352102197149</v>
      </c>
      <c r="L65" s="340">
        <f t="shared" si="9"/>
        <v>3.5633527990387721E-2</v>
      </c>
      <c r="M65" s="328">
        <f t="shared" si="10"/>
        <v>1.0000001676328858</v>
      </c>
      <c r="N65" s="331">
        <f t="shared" si="11"/>
        <v>5.7902135103678545E-4</v>
      </c>
      <c r="O65" s="332">
        <f t="shared" si="12"/>
        <v>1.0000000540708696</v>
      </c>
      <c r="P65" s="333">
        <f t="shared" si="13"/>
        <v>8.3992037887217481E-4</v>
      </c>
      <c r="Q65" s="334">
        <f t="shared" si="14"/>
        <v>50.3510984760862</v>
      </c>
      <c r="R65" s="335">
        <f t="shared" si="15"/>
        <v>-90.082945693763477</v>
      </c>
      <c r="S65" s="337">
        <f t="shared" si="16"/>
        <v>89.917054306236523</v>
      </c>
      <c r="U65" s="310">
        <f t="shared" si="23"/>
        <v>1000000000</v>
      </c>
      <c r="V65" s="310">
        <f t="shared" si="24"/>
        <v>14455.252900000001</v>
      </c>
      <c r="X65" s="336">
        <f t="shared" si="17"/>
        <v>30.264280895145234</v>
      </c>
      <c r="Y65" s="337">
        <f t="shared" si="25"/>
        <v>-87.728764644092706</v>
      </c>
      <c r="AA65" s="336">
        <f t="shared" si="19"/>
        <v>20.086817580940959</v>
      </c>
      <c r="AB65" s="337">
        <f t="shared" si="20"/>
        <v>-2.3541810496707711</v>
      </c>
      <c r="AD65">
        <f t="shared" si="26"/>
        <v>0</v>
      </c>
      <c r="AE65">
        <f t="shared" si="21"/>
        <v>0</v>
      </c>
    </row>
    <row r="66" spans="1:31" x14ac:dyDescent="0.25">
      <c r="A66" s="338">
        <v>131.83000000000001</v>
      </c>
      <c r="B66" s="355">
        <f t="shared" si="22"/>
        <v>0.13183</v>
      </c>
      <c r="C66" s="328">
        <f t="shared" si="0"/>
        <v>1.0009767902078242</v>
      </c>
      <c r="D66" s="329">
        <f t="shared" si="1"/>
        <v>4.4181348343837856E-2</v>
      </c>
      <c r="E66" s="329">
        <f t="shared" si="2"/>
        <v>1.0000000014943287</v>
      </c>
      <c r="F66" s="330">
        <f t="shared" si="3"/>
        <v>5.4668612940072096E-5</v>
      </c>
      <c r="G66" s="329">
        <f t="shared" si="4"/>
        <v>1</v>
      </c>
      <c r="H66" s="330">
        <f t="shared" si="5"/>
        <v>0</v>
      </c>
      <c r="I66" s="328">
        <f t="shared" si="6"/>
        <v>239.0921143150195</v>
      </c>
      <c r="J66" s="331">
        <f t="shared" si="7"/>
        <v>1.5666138261782503</v>
      </c>
      <c r="K66" s="339">
        <f t="shared" si="8"/>
        <v>1.0007636465724401</v>
      </c>
      <c r="L66" s="340">
        <f t="shared" si="9"/>
        <v>3.9068169281373959E-2</v>
      </c>
      <c r="M66" s="328">
        <f t="shared" si="10"/>
        <v>1.0000002015403573</v>
      </c>
      <c r="N66" s="331">
        <f t="shared" si="11"/>
        <v>6.3488632605578955E-4</v>
      </c>
      <c r="O66" s="332">
        <f t="shared" si="12"/>
        <v>1.0000000650079146</v>
      </c>
      <c r="P66" s="333">
        <f t="shared" si="13"/>
        <v>9.2095737311051148E-4</v>
      </c>
      <c r="Q66" s="334">
        <f t="shared" si="14"/>
        <v>49.550774604438899</v>
      </c>
      <c r="R66" s="335">
        <f t="shared" si="15"/>
        <v>-90.139335046779294</v>
      </c>
      <c r="S66" s="337">
        <f t="shared" si="16"/>
        <v>89.860664953220706</v>
      </c>
      <c r="U66" s="310">
        <f t="shared" si="23"/>
        <v>1000000000</v>
      </c>
      <c r="V66" s="310">
        <f t="shared" si="24"/>
        <v>17379.148900000004</v>
      </c>
      <c r="X66" s="336">
        <f t="shared" si="17"/>
        <v>29.465382672493149</v>
      </c>
      <c r="Y66" s="337">
        <f t="shared" si="25"/>
        <v>-87.558295560733413</v>
      </c>
      <c r="AA66" s="336">
        <f t="shared" si="19"/>
        <v>20.085391931945757</v>
      </c>
      <c r="AB66" s="337">
        <f t="shared" si="20"/>
        <v>-2.581039486045873</v>
      </c>
      <c r="AD66">
        <f t="shared" si="26"/>
        <v>0</v>
      </c>
      <c r="AE66">
        <f t="shared" si="21"/>
        <v>0</v>
      </c>
    </row>
    <row r="67" spans="1:31" x14ac:dyDescent="0.25">
      <c r="A67" s="338">
        <v>144.54</v>
      </c>
      <c r="B67" s="355">
        <f t="shared" si="22"/>
        <v>0.14454</v>
      </c>
      <c r="C67" s="328">
        <f t="shared" si="0"/>
        <v>1.0011741026573744</v>
      </c>
      <c r="D67" s="329">
        <f t="shared" si="1"/>
        <v>4.8434595960711743E-2</v>
      </c>
      <c r="E67" s="329">
        <f t="shared" si="2"/>
        <v>1.0000000017963613</v>
      </c>
      <c r="F67" s="330">
        <f t="shared" si="3"/>
        <v>5.9939325743510206E-5</v>
      </c>
      <c r="G67" s="329">
        <f t="shared" si="4"/>
        <v>1</v>
      </c>
      <c r="H67" s="330">
        <f t="shared" si="5"/>
        <v>0</v>
      </c>
      <c r="I67" s="328">
        <f t="shared" si="6"/>
        <v>262.14308868157383</v>
      </c>
      <c r="J67" s="331">
        <f t="shared" si="7"/>
        <v>1.5669816070157814</v>
      </c>
      <c r="K67" s="339">
        <f t="shared" si="8"/>
        <v>1.0009179235595655</v>
      </c>
      <c r="L67" s="340">
        <f t="shared" si="9"/>
        <v>4.2830408731839527E-2</v>
      </c>
      <c r="M67" s="328">
        <f t="shared" si="10"/>
        <v>1.0000002422755634</v>
      </c>
      <c r="N67" s="331">
        <f t="shared" si="11"/>
        <v>6.9609699670803479E-4</v>
      </c>
      <c r="O67" s="332">
        <f t="shared" si="12"/>
        <v>1.0000000781472889</v>
      </c>
      <c r="P67" s="333">
        <f t="shared" si="13"/>
        <v>1.0097487731447192E-3</v>
      </c>
      <c r="Q67" s="334">
        <f t="shared" si="14"/>
        <v>48.750937860822518</v>
      </c>
      <c r="R67" s="335">
        <f t="shared" si="15"/>
        <v>-90.196832528232861</v>
      </c>
      <c r="S67" s="337">
        <f t="shared" si="16"/>
        <v>89.803167471767139</v>
      </c>
      <c r="U67" s="310">
        <f t="shared" si="23"/>
        <v>1000000000</v>
      </c>
      <c r="V67" s="310">
        <f t="shared" si="24"/>
        <v>20891.811599999997</v>
      </c>
      <c r="X67" s="336">
        <f t="shared" si="17"/>
        <v>28.667258033390262</v>
      </c>
      <c r="Y67" s="337">
        <f t="shared" si="25"/>
        <v>-87.367314521351744</v>
      </c>
      <c r="AA67" s="336">
        <f t="shared" si="19"/>
        <v>20.083679827432249</v>
      </c>
      <c r="AB67" s="337">
        <f t="shared" si="20"/>
        <v>-2.8295180068811057</v>
      </c>
      <c r="AD67">
        <f t="shared" si="26"/>
        <v>0</v>
      </c>
      <c r="AE67">
        <f t="shared" si="21"/>
        <v>0</v>
      </c>
    </row>
    <row r="68" spans="1:31" x14ac:dyDescent="0.25">
      <c r="A68" s="338">
        <v>158.49</v>
      </c>
      <c r="B68" s="355">
        <f t="shared" si="22"/>
        <v>0.15849000000000002</v>
      </c>
      <c r="C68" s="328">
        <f t="shared" si="0"/>
        <v>1.0014115042276484</v>
      </c>
      <c r="D68" s="329">
        <f t="shared" si="1"/>
        <v>5.3100770957903769E-2</v>
      </c>
      <c r="E68" s="329">
        <f t="shared" si="2"/>
        <v>1.0000000021598388</v>
      </c>
      <c r="F68" s="330">
        <f t="shared" si="3"/>
        <v>6.5724254426366148E-5</v>
      </c>
      <c r="G68" s="329">
        <f t="shared" si="4"/>
        <v>1</v>
      </c>
      <c r="H68" s="330">
        <f t="shared" si="5"/>
        <v>0</v>
      </c>
      <c r="I68" s="328">
        <f t="shared" si="6"/>
        <v>287.44297254637098</v>
      </c>
      <c r="J68" s="331">
        <f t="shared" si="7"/>
        <v>1.5673173688355646</v>
      </c>
      <c r="K68" s="339">
        <f t="shared" si="8"/>
        <v>1.0011035546823284</v>
      </c>
      <c r="L68" s="340">
        <f t="shared" si="9"/>
        <v>4.6958295887411912E-2</v>
      </c>
      <c r="M68" s="328">
        <f t="shared" si="10"/>
        <v>1.0000002912978179</v>
      </c>
      <c r="N68" s="331">
        <f t="shared" si="11"/>
        <v>7.6327943408530216E-4</v>
      </c>
      <c r="O68" s="332">
        <f t="shared" si="12"/>
        <v>1.0000000939597058</v>
      </c>
      <c r="P68" s="333">
        <f t="shared" si="13"/>
        <v>1.1072027537556951E-3</v>
      </c>
      <c r="Q68" s="334">
        <f t="shared" si="14"/>
        <v>47.950222997928186</v>
      </c>
      <c r="R68" s="335">
        <f t="shared" si="15"/>
        <v>-90.256013404890268</v>
      </c>
      <c r="S68" s="337">
        <f t="shared" si="16"/>
        <v>89.743986595109732</v>
      </c>
      <c r="U68" s="310">
        <f t="shared" si="23"/>
        <v>1000000000</v>
      </c>
      <c r="V68" s="310">
        <f t="shared" si="24"/>
        <v>25119.080100000003</v>
      </c>
      <c r="X68" s="336">
        <f t="shared" si="17"/>
        <v>27.868602686157207</v>
      </c>
      <c r="Y68" s="337">
        <f t="shared" si="25"/>
        <v>-87.153891014101646</v>
      </c>
      <c r="AA68" s="336">
        <f t="shared" si="19"/>
        <v>20.081620311770973</v>
      </c>
      <c r="AB68" s="337">
        <f t="shared" si="20"/>
        <v>-3.1021223907886202</v>
      </c>
      <c r="AD68">
        <f t="shared" si="26"/>
        <v>0</v>
      </c>
      <c r="AE68">
        <f t="shared" si="21"/>
        <v>0</v>
      </c>
    </row>
    <row r="69" spans="1:31" x14ac:dyDescent="0.25">
      <c r="A69" s="338">
        <v>173.78</v>
      </c>
      <c r="B69" s="355">
        <f t="shared" si="22"/>
        <v>0.17377999999999999</v>
      </c>
      <c r="C69" s="328">
        <f t="shared" si="0"/>
        <v>1.0016967433174948</v>
      </c>
      <c r="D69" s="329">
        <f t="shared" si="1"/>
        <v>5.8212501597438258E-2</v>
      </c>
      <c r="E69" s="329">
        <f t="shared" si="2"/>
        <v>1.0000000025966727</v>
      </c>
      <c r="F69" s="330">
        <f t="shared" si="3"/>
        <v>7.2064868009891415E-5</v>
      </c>
      <c r="G69" s="329">
        <f t="shared" si="4"/>
        <v>1</v>
      </c>
      <c r="H69" s="330">
        <f t="shared" si="5"/>
        <v>0</v>
      </c>
      <c r="I69" s="328">
        <f t="shared" si="6"/>
        <v>315.17312711223138</v>
      </c>
      <c r="J69" s="331">
        <f t="shared" si="7"/>
        <v>1.5676234621315621</v>
      </c>
      <c r="K69" s="339">
        <f t="shared" si="8"/>
        <v>1.0013266040157518</v>
      </c>
      <c r="L69" s="340">
        <f t="shared" si="9"/>
        <v>5.1480852923423297E-2</v>
      </c>
      <c r="M69" s="328">
        <f t="shared" si="10"/>
        <v>1.0000003502136536</v>
      </c>
      <c r="N69" s="331">
        <f t="shared" si="11"/>
        <v>8.3691523027009979E-4</v>
      </c>
      <c r="O69" s="332">
        <f t="shared" si="12"/>
        <v>1.000000112963366</v>
      </c>
      <c r="P69" s="333">
        <f t="shared" si="13"/>
        <v>1.214017911806657E-3</v>
      </c>
      <c r="Q69" s="334">
        <f t="shared" si="14"/>
        <v>47.14973393779286</v>
      </c>
      <c r="R69" s="335">
        <f t="shared" si="15"/>
        <v>-90.317284207529539</v>
      </c>
      <c r="S69" s="337">
        <f t="shared" si="16"/>
        <v>89.682715792470461</v>
      </c>
      <c r="U69" s="310">
        <f t="shared" si="23"/>
        <v>1000000000</v>
      </c>
      <c r="V69" s="310">
        <f t="shared" si="24"/>
        <v>30199.488400000002</v>
      </c>
      <c r="X69" s="336">
        <f t="shared" si="17"/>
        <v>27.0705874981101</v>
      </c>
      <c r="Y69" s="337">
        <f t="shared" si="25"/>
        <v>-86.916524457400158</v>
      </c>
      <c r="AA69" s="336">
        <f t="shared" si="19"/>
        <v>20.079146439682766</v>
      </c>
      <c r="AB69" s="337">
        <f t="shared" si="20"/>
        <v>-3.400759750129382</v>
      </c>
      <c r="AD69">
        <f t="shared" si="26"/>
        <v>0</v>
      </c>
      <c r="AE69">
        <f t="shared" si="21"/>
        <v>0</v>
      </c>
    </row>
    <row r="70" spans="1:31" x14ac:dyDescent="0.25">
      <c r="A70" s="338">
        <v>190.55</v>
      </c>
      <c r="B70" s="355">
        <f t="shared" si="22"/>
        <v>0.19055000000000002</v>
      </c>
      <c r="C70" s="328">
        <f t="shared" si="0"/>
        <v>1.0020396707673687</v>
      </c>
      <c r="D70" s="329">
        <f t="shared" si="1"/>
        <v>6.3815513946787888E-2</v>
      </c>
      <c r="E70" s="329">
        <f t="shared" si="2"/>
        <v>1.0000000031220189</v>
      </c>
      <c r="F70" s="330">
        <f t="shared" si="3"/>
        <v>7.9019223123923672E-5</v>
      </c>
      <c r="G70" s="329">
        <f t="shared" si="4"/>
        <v>1</v>
      </c>
      <c r="H70" s="330">
        <f t="shared" si="5"/>
        <v>0</v>
      </c>
      <c r="I70" s="328">
        <f t="shared" si="6"/>
        <v>345.58745830231243</v>
      </c>
      <c r="J70" s="331">
        <f t="shared" si="7"/>
        <v>1.5679026992297436</v>
      </c>
      <c r="K70" s="339">
        <f t="shared" si="8"/>
        <v>1.0015947824081159</v>
      </c>
      <c r="L70" s="340">
        <f t="shared" si="9"/>
        <v>5.6438742827693754E-2</v>
      </c>
      <c r="M70" s="328">
        <f t="shared" si="10"/>
        <v>1.0000004210671674</v>
      </c>
      <c r="N70" s="331">
        <f t="shared" si="11"/>
        <v>9.1767861431176401E-4</v>
      </c>
      <c r="O70" s="332">
        <f t="shared" si="12"/>
        <v>1.0000001358176123</v>
      </c>
      <c r="P70" s="333">
        <f t="shared" si="13"/>
        <v>1.3311722827957964E-3</v>
      </c>
      <c r="Q70" s="334">
        <f t="shared" si="14"/>
        <v>46.348910175633542</v>
      </c>
      <c r="R70" s="335">
        <f t="shared" si="15"/>
        <v>-90.381187505040728</v>
      </c>
      <c r="S70" s="337">
        <f t="shared" si="16"/>
        <v>89.618812494959272</v>
      </c>
      <c r="U70" s="310">
        <f t="shared" si="23"/>
        <v>1000000000</v>
      </c>
      <c r="V70" s="310">
        <f t="shared" si="24"/>
        <v>36309.302500000005</v>
      </c>
      <c r="X70" s="336">
        <f t="shared" si="17"/>
        <v>26.272737005588716</v>
      </c>
      <c r="Y70" s="337">
        <f t="shared" si="25"/>
        <v>-86.653084798547965</v>
      </c>
      <c r="AA70" s="336">
        <f t="shared" si="19"/>
        <v>20.076173170044818</v>
      </c>
      <c r="AB70" s="337">
        <f t="shared" si="20"/>
        <v>-3.7281027064927579</v>
      </c>
      <c r="AD70">
        <f t="shared" si="26"/>
        <v>0</v>
      </c>
      <c r="AE70">
        <f t="shared" si="21"/>
        <v>0</v>
      </c>
    </row>
    <row r="71" spans="1:31" x14ac:dyDescent="0.25">
      <c r="A71" s="338">
        <v>208.93</v>
      </c>
      <c r="B71" s="355">
        <f t="shared" si="22"/>
        <v>0.20893</v>
      </c>
      <c r="C71" s="328">
        <f t="shared" si="0"/>
        <v>1.0024516271323034</v>
      </c>
      <c r="D71" s="329">
        <f t="shared" si="1"/>
        <v>6.9951824263042431E-2</v>
      </c>
      <c r="E71" s="329">
        <f t="shared" si="2"/>
        <v>1.0000000037533512</v>
      </c>
      <c r="F71" s="330">
        <f t="shared" si="3"/>
        <v>8.6641229495317362E-5</v>
      </c>
      <c r="G71" s="329">
        <f t="shared" si="4"/>
        <v>1</v>
      </c>
      <c r="H71" s="330">
        <f t="shared" si="5"/>
        <v>0</v>
      </c>
      <c r="I71" s="328">
        <f t="shared" si="6"/>
        <v>378.92173612003</v>
      </c>
      <c r="J71" s="331">
        <f t="shared" si="7"/>
        <v>1.5681572563340078</v>
      </c>
      <c r="K71" s="339">
        <f t="shared" si="8"/>
        <v>1.0019169696540051</v>
      </c>
      <c r="L71" s="340">
        <f t="shared" si="9"/>
        <v>6.186941642661594E-2</v>
      </c>
      <c r="M71" s="328">
        <f t="shared" si="10"/>
        <v>1.0000005062150612</v>
      </c>
      <c r="N71" s="331">
        <f t="shared" si="11"/>
        <v>1.0061956547075485E-3</v>
      </c>
      <c r="O71" s="332">
        <f t="shared" si="12"/>
        <v>1.0000001632826234</v>
      </c>
      <c r="P71" s="333">
        <f t="shared" si="13"/>
        <v>1.4595740436427267E-3</v>
      </c>
      <c r="Q71" s="334">
        <f t="shared" si="14"/>
        <v>45.548301683939208</v>
      </c>
      <c r="R71" s="335">
        <f t="shared" si="15"/>
        <v>-90.448194381621065</v>
      </c>
      <c r="S71" s="337">
        <f t="shared" si="16"/>
        <v>89.551805618378935</v>
      </c>
      <c r="U71" s="310">
        <f t="shared" si="23"/>
        <v>1000000000</v>
      </c>
      <c r="V71" s="310">
        <f t="shared" si="24"/>
        <v>43651.744900000005</v>
      </c>
      <c r="X71" s="336">
        <f t="shared" si="17"/>
        <v>25.475698937146799</v>
      </c>
      <c r="Y71" s="337">
        <f t="shared" si="25"/>
        <v>-86.361586821632613</v>
      </c>
      <c r="AA71" s="336">
        <f t="shared" si="19"/>
        <v>20.072602746792413</v>
      </c>
      <c r="AB71" s="337">
        <f t="shared" si="20"/>
        <v>-4.0866075599884564</v>
      </c>
      <c r="AD71">
        <f t="shared" si="26"/>
        <v>0</v>
      </c>
      <c r="AE71">
        <f t="shared" si="21"/>
        <v>0</v>
      </c>
    </row>
    <row r="72" spans="1:31" x14ac:dyDescent="0.25">
      <c r="A72" s="338">
        <v>229.09</v>
      </c>
      <c r="B72" s="355">
        <f t="shared" si="22"/>
        <v>0.22909000000000002</v>
      </c>
      <c r="C72" s="328">
        <f t="shared" si="0"/>
        <v>1.0029468476531271</v>
      </c>
      <c r="D72" s="329">
        <f t="shared" si="1"/>
        <v>7.6676322439716491E-2</v>
      </c>
      <c r="E72" s="329">
        <f t="shared" si="2"/>
        <v>1.0000000045126316</v>
      </c>
      <c r="F72" s="330">
        <f t="shared" si="3"/>
        <v>9.5001384459077849E-5</v>
      </c>
      <c r="G72" s="329">
        <f t="shared" si="4"/>
        <v>1</v>
      </c>
      <c r="H72" s="330">
        <f t="shared" si="5"/>
        <v>0</v>
      </c>
      <c r="I72" s="328">
        <f t="shared" si="6"/>
        <v>415.48427542761539</v>
      </c>
      <c r="J72" s="331">
        <f t="shared" si="7"/>
        <v>1.5683894945159973</v>
      </c>
      <c r="K72" s="339">
        <f t="shared" si="8"/>
        <v>1.0023043151309181</v>
      </c>
      <c r="L72" s="340">
        <f t="shared" si="9"/>
        <v>6.7821809533397961E-2</v>
      </c>
      <c r="M72" s="328">
        <f t="shared" si="10"/>
        <v>1.0000006086192663</v>
      </c>
      <c r="N72" s="331">
        <f t="shared" si="11"/>
        <v>1.1032850562399238E-3</v>
      </c>
      <c r="O72" s="332">
        <f t="shared" si="12"/>
        <v>1.0000001963138034</v>
      </c>
      <c r="P72" s="333">
        <f t="shared" si="13"/>
        <v>1.6004108104639002E-3</v>
      </c>
      <c r="Q72" s="334">
        <f t="shared" si="14"/>
        <v>44.747266546549341</v>
      </c>
      <c r="R72" s="335">
        <f t="shared" si="15"/>
        <v>-90.518892174903996</v>
      </c>
      <c r="S72" s="337">
        <f t="shared" si="16"/>
        <v>89.481107825096004</v>
      </c>
      <c r="U72" s="310">
        <f t="shared" si="23"/>
        <v>1000000000</v>
      </c>
      <c r="V72" s="310">
        <f t="shared" si="24"/>
        <v>52482.2281</v>
      </c>
      <c r="X72" s="336">
        <f t="shared" si="17"/>
        <v>24.678953931617144</v>
      </c>
      <c r="Y72" s="337">
        <f t="shared" si="25"/>
        <v>-86.039408898856138</v>
      </c>
      <c r="AA72" s="336">
        <f t="shared" si="19"/>
        <v>20.0683126149322</v>
      </c>
      <c r="AB72" s="337">
        <f t="shared" si="20"/>
        <v>-4.4794832760478469</v>
      </c>
      <c r="AD72">
        <f t="shared" si="26"/>
        <v>0</v>
      </c>
      <c r="AE72">
        <f t="shared" si="21"/>
        <v>0</v>
      </c>
    </row>
    <row r="73" spans="1:31" x14ac:dyDescent="0.25">
      <c r="A73" s="338">
        <v>251.19</v>
      </c>
      <c r="B73" s="355">
        <f t="shared" si="22"/>
        <v>0.25119000000000002</v>
      </c>
      <c r="C73" s="328">
        <f t="shared" si="0"/>
        <v>1.0035417763501593</v>
      </c>
      <c r="D73" s="329">
        <f t="shared" si="1"/>
        <v>8.4039923413630563E-2</v>
      </c>
      <c r="E73" s="329">
        <f t="shared" si="2"/>
        <v>1.0000000054252818</v>
      </c>
      <c r="F73" s="330">
        <f t="shared" si="3"/>
        <v>1.0416603844670859E-4</v>
      </c>
      <c r="G73" s="329">
        <f t="shared" si="4"/>
        <v>1</v>
      </c>
      <c r="H73" s="330">
        <f t="shared" si="5"/>
        <v>0</v>
      </c>
      <c r="I73" s="328">
        <f t="shared" si="6"/>
        <v>455.5652551120084</v>
      </c>
      <c r="J73" s="331">
        <f t="shared" si="7"/>
        <v>1.5686012498178012</v>
      </c>
      <c r="K73" s="339">
        <f t="shared" si="8"/>
        <v>1.0027697040691803</v>
      </c>
      <c r="L73" s="340">
        <f t="shared" si="9"/>
        <v>7.4341461173580481E-2</v>
      </c>
      <c r="M73" s="328">
        <f t="shared" si="10"/>
        <v>1.0000007317084945</v>
      </c>
      <c r="N73" s="331">
        <f t="shared" si="11"/>
        <v>1.2097173623267312E-3</v>
      </c>
      <c r="O73" s="332">
        <f t="shared" si="12"/>
        <v>1.0000002360171267</v>
      </c>
      <c r="P73" s="333">
        <f t="shared" si="13"/>
        <v>1.7548003414669857E-3</v>
      </c>
      <c r="Q73" s="334">
        <f t="shared" si="14"/>
        <v>43.946226411763817</v>
      </c>
      <c r="R73" s="335">
        <f t="shared" si="15"/>
        <v>-90.593798489494077</v>
      </c>
      <c r="S73" s="337">
        <f t="shared" si="16"/>
        <v>89.406201510505923</v>
      </c>
      <c r="U73" s="310">
        <f t="shared" si="23"/>
        <v>1000000000</v>
      </c>
      <c r="V73" s="310">
        <f t="shared" si="24"/>
        <v>63096.416100000002</v>
      </c>
      <c r="X73" s="336">
        <f t="shared" si="17"/>
        <v>23.88306490820009</v>
      </c>
      <c r="Y73" s="337">
        <f t="shared" si="25"/>
        <v>-85.684091182597626</v>
      </c>
      <c r="AA73" s="336">
        <f t="shared" si="19"/>
        <v>20.063161503563727</v>
      </c>
      <c r="AB73" s="337">
        <f t="shared" si="20"/>
        <v>-4.9097073068964399</v>
      </c>
      <c r="AD73">
        <f t="shared" si="26"/>
        <v>0</v>
      </c>
      <c r="AE73">
        <f t="shared" si="21"/>
        <v>0</v>
      </c>
    </row>
    <row r="74" spans="1:31" x14ac:dyDescent="0.25">
      <c r="A74" s="338">
        <v>275.42</v>
      </c>
      <c r="B74" s="355">
        <f t="shared" si="22"/>
        <v>0.27542</v>
      </c>
      <c r="C74" s="328">
        <f t="shared" si="0"/>
        <v>1.0042564985691258</v>
      </c>
      <c r="D74" s="329">
        <f t="shared" si="1"/>
        <v>9.2102715012205558E-2</v>
      </c>
      <c r="E74" s="329">
        <f t="shared" si="2"/>
        <v>1.0000000065224168</v>
      </c>
      <c r="F74" s="330">
        <f t="shared" si="3"/>
        <v>1.1421398259488187E-4</v>
      </c>
      <c r="G74" s="329">
        <f t="shared" si="4"/>
        <v>1</v>
      </c>
      <c r="H74" s="330">
        <f t="shared" si="5"/>
        <v>0</v>
      </c>
      <c r="I74" s="328">
        <f t="shared" si="6"/>
        <v>499.50926277243593</v>
      </c>
      <c r="J74" s="331">
        <f t="shared" si="7"/>
        <v>1.5687943605802401</v>
      </c>
      <c r="K74" s="339">
        <f t="shared" si="8"/>
        <v>1.0033288818865524</v>
      </c>
      <c r="L74" s="340">
        <f t="shared" si="9"/>
        <v>8.1482188204773057E-2</v>
      </c>
      <c r="M74" s="328">
        <f t="shared" si="10"/>
        <v>1.000000879679195</v>
      </c>
      <c r="N74" s="331">
        <f t="shared" si="11"/>
        <v>1.3264075921205552E-3</v>
      </c>
      <c r="O74" s="332">
        <f t="shared" si="12"/>
        <v>1.0000002837462176</v>
      </c>
      <c r="P74" s="333">
        <f t="shared" si="13"/>
        <v>1.9240699754765852E-3</v>
      </c>
      <c r="Q74" s="334">
        <f t="shared" si="14"/>
        <v>43.14502398580845</v>
      </c>
      <c r="R74" s="335">
        <f t="shared" si="15"/>
        <v>-90.673501917914621</v>
      </c>
      <c r="S74" s="337">
        <f t="shared" si="16"/>
        <v>89.326498082085379</v>
      </c>
      <c r="U74" s="310">
        <f t="shared" si="23"/>
        <v>1000000000</v>
      </c>
      <c r="V74" s="310">
        <f t="shared" si="24"/>
        <v>75856.176400000011</v>
      </c>
      <c r="X74" s="336">
        <f t="shared" si="17"/>
        <v>23.088046774038187</v>
      </c>
      <c r="Y74" s="337">
        <f t="shared" si="25"/>
        <v>-85.292707949951989</v>
      </c>
      <c r="AA74" s="336">
        <f t="shared" si="19"/>
        <v>20.05697721177026</v>
      </c>
      <c r="AB74" s="337">
        <f t="shared" si="20"/>
        <v>-5.3807939679626209</v>
      </c>
      <c r="AD74">
        <f t="shared" si="26"/>
        <v>0</v>
      </c>
      <c r="AE74">
        <f t="shared" si="21"/>
        <v>0</v>
      </c>
    </row>
    <row r="75" spans="1:31" x14ac:dyDescent="0.25">
      <c r="A75" s="338">
        <v>302</v>
      </c>
      <c r="B75" s="355">
        <f t="shared" si="22"/>
        <v>0.30199999999999999</v>
      </c>
      <c r="C75" s="328">
        <f t="shared" si="0"/>
        <v>1.0051155146504749</v>
      </c>
      <c r="D75" s="329">
        <f t="shared" si="1"/>
        <v>0.10093366481457398</v>
      </c>
      <c r="E75" s="329">
        <f t="shared" si="2"/>
        <v>1.0000000078420841</v>
      </c>
      <c r="F75" s="330">
        <f t="shared" si="3"/>
        <v>1.2523644874485682E-4</v>
      </c>
      <c r="G75" s="329">
        <f t="shared" si="4"/>
        <v>1</v>
      </c>
      <c r="H75" s="330">
        <f t="shared" si="5"/>
        <v>0</v>
      </c>
      <c r="I75" s="328">
        <f t="shared" si="6"/>
        <v>547.71529477427555</v>
      </c>
      <c r="J75" s="331">
        <f t="shared" si="7"/>
        <v>1.5689705597127792</v>
      </c>
      <c r="K75" s="339">
        <f t="shared" si="8"/>
        <v>1.0040010651975464</v>
      </c>
      <c r="L75" s="340">
        <f t="shared" si="9"/>
        <v>8.9305880560518941E-2</v>
      </c>
      <c r="M75" s="328">
        <f t="shared" si="10"/>
        <v>1.0000010576627769</v>
      </c>
      <c r="N75" s="331">
        <f t="shared" si="11"/>
        <v>1.4544152395974067E-3</v>
      </c>
      <c r="O75" s="332">
        <f t="shared" si="12"/>
        <v>1.000000341156293</v>
      </c>
      <c r="P75" s="333">
        <f t="shared" si="13"/>
        <v>2.1097566326854413E-3</v>
      </c>
      <c r="Q75" s="334">
        <f t="shared" si="14"/>
        <v>42.343186173481925</v>
      </c>
      <c r="R75" s="335">
        <f t="shared" si="15"/>
        <v>-90.758650804160425</v>
      </c>
      <c r="S75" s="337">
        <f t="shared" si="16"/>
        <v>89.241349195839575</v>
      </c>
      <c r="U75" s="310">
        <f t="shared" si="23"/>
        <v>1000000000</v>
      </c>
      <c r="V75" s="310">
        <f t="shared" si="24"/>
        <v>91204</v>
      </c>
      <c r="X75" s="336">
        <f t="shared" si="17"/>
        <v>22.293635967525724</v>
      </c>
      <c r="Y75" s="337">
        <f t="shared" si="25"/>
        <v>-84.861873161860871</v>
      </c>
      <c r="AA75" s="336">
        <f t="shared" si="19"/>
        <v>20.049550205956194</v>
      </c>
      <c r="AB75" s="337">
        <f t="shared" si="20"/>
        <v>-5.8967776422995577</v>
      </c>
      <c r="AD75">
        <f t="shared" si="26"/>
        <v>0</v>
      </c>
      <c r="AE75">
        <f t="shared" si="21"/>
        <v>0</v>
      </c>
    </row>
    <row r="76" spans="1:31" x14ac:dyDescent="0.25">
      <c r="A76" s="338">
        <v>331.13</v>
      </c>
      <c r="B76" s="355">
        <f t="shared" si="22"/>
        <v>0.33112999999999998</v>
      </c>
      <c r="C76" s="328">
        <f t="shared" si="0"/>
        <v>1.0061468015591171</v>
      </c>
      <c r="D76" s="329">
        <f t="shared" si="1"/>
        <v>0.11059366942206694</v>
      </c>
      <c r="E76" s="329">
        <f t="shared" si="2"/>
        <v>1.0000000094278936</v>
      </c>
      <c r="F76" s="330">
        <f t="shared" si="3"/>
        <v>1.3731637493060456E-4</v>
      </c>
      <c r="G76" s="329">
        <f t="shared" si="4"/>
        <v>1</v>
      </c>
      <c r="H76" s="330">
        <f t="shared" si="5"/>
        <v>0</v>
      </c>
      <c r="I76" s="328">
        <f t="shared" si="6"/>
        <v>600.54607520992045</v>
      </c>
      <c r="J76" s="331">
        <f t="shared" si="7"/>
        <v>1.5691311748550185</v>
      </c>
      <c r="K76" s="339">
        <f t="shared" si="8"/>
        <v>1.0048082154024796</v>
      </c>
      <c r="L76" s="340">
        <f t="shared" si="9"/>
        <v>9.7867546625436355E-2</v>
      </c>
      <c r="M76" s="328">
        <f t="shared" si="10"/>
        <v>1.0000012715409348</v>
      </c>
      <c r="N76" s="331">
        <f t="shared" si="11"/>
        <v>1.594703475558714E-3</v>
      </c>
      <c r="O76" s="332">
        <f t="shared" si="12"/>
        <v>1.0000004101446032</v>
      </c>
      <c r="P76" s="333">
        <f t="shared" si="13"/>
        <v>2.3132575178358163E-3</v>
      </c>
      <c r="Q76" s="334">
        <f t="shared" si="14"/>
        <v>41.541427029812887</v>
      </c>
      <c r="R76" s="335">
        <f t="shared" si="15"/>
        <v>-90.849789073901832</v>
      </c>
      <c r="S76" s="337">
        <f t="shared" si="16"/>
        <v>89.150210926098168</v>
      </c>
      <c r="U76" s="310">
        <f t="shared" si="23"/>
        <v>1000000000</v>
      </c>
      <c r="V76" s="310">
        <f t="shared" si="24"/>
        <v>109647.0769</v>
      </c>
      <c r="X76" s="336">
        <f t="shared" si="17"/>
        <v>21.500784894906108</v>
      </c>
      <c r="Y76" s="337">
        <f t="shared" si="25"/>
        <v>-84.388566323812015</v>
      </c>
      <c r="AA76" s="336">
        <f t="shared" si="19"/>
        <v>20.040642134906768</v>
      </c>
      <c r="AB76" s="337">
        <f t="shared" si="20"/>
        <v>-6.4612227500898269</v>
      </c>
      <c r="AD76">
        <f t="shared" si="26"/>
        <v>0</v>
      </c>
      <c r="AE76">
        <f t="shared" si="21"/>
        <v>0</v>
      </c>
    </row>
    <row r="77" spans="1:31" x14ac:dyDescent="0.25">
      <c r="A77" s="338">
        <v>363.08</v>
      </c>
      <c r="B77" s="355">
        <f t="shared" si="22"/>
        <v>0.36307999999999996</v>
      </c>
      <c r="C77" s="328">
        <f t="shared" ref="C77:C140" si="27">SQRT(1+(A77/pole1)^2)</f>
        <v>1.0073856493160047</v>
      </c>
      <c r="D77" s="329">
        <f t="shared" ref="D77:D140" si="28">ATAN(A77/pole1)</f>
        <v>0.12116499047911643</v>
      </c>
      <c r="E77" s="329">
        <f t="shared" ref="E77:E140" si="29">SQRT(1+(A77/Zero1)^2)</f>
        <v>1.0000000113350194</v>
      </c>
      <c r="F77" s="330">
        <f t="shared" ref="F77:F140" si="30">ATAN(A77/Zero1)</f>
        <v>1.5056572749800706E-4</v>
      </c>
      <c r="G77" s="329">
        <f t="shared" ref="G77:G140" si="31">IF(VIN_nom&gt;Vout, 1, SQRT(1+(A77/z_RHP)^2))</f>
        <v>1</v>
      </c>
      <c r="H77" s="330">
        <f t="shared" ref="H77:H140" si="32">IF(VIN_nom&gt;Vout, 0, -ATAN(A77/z_RHP))</f>
        <v>0</v>
      </c>
      <c r="I77" s="328">
        <f t="shared" ref="I77:I140" si="33">SQRT(1+(A77/Pole2)^2)</f>
        <v>658.49128175165458</v>
      </c>
      <c r="J77" s="331">
        <f t="shared" ref="J77:J140" si="34">ATAN(A77/Pole2)</f>
        <v>1.5692777032199428</v>
      </c>
      <c r="K77" s="339">
        <f t="shared" ref="K77:K140" si="35">SQRT(1+(A77/Zero2)^2)</f>
        <v>1.0057780523075368</v>
      </c>
      <c r="L77" s="340">
        <f t="shared" ref="L77:L140" si="36">ATAN(A77/Zero2)</f>
        <v>0.10724147727910668</v>
      </c>
      <c r="M77" s="328">
        <f t="shared" ref="M77:M140" si="37">SQRT(1+(A77/pole4)^2)</f>
        <v>1.0000015287549824</v>
      </c>
      <c r="N77" s="331">
        <f t="shared" ref="N77:N140" si="38">ATAN(A77/pole4)</f>
        <v>1.7485725806193919E-3</v>
      </c>
      <c r="O77" s="332">
        <f t="shared" ref="O77:O140" si="39">SQRT((1-(V77/pterm2))^2+(A77/pterm1)^2)</f>
        <v>1.0000004931114967</v>
      </c>
      <c r="P77" s="333">
        <f t="shared" ref="P77:P140" si="40">IF((ATAN((A77/pterm1)/(1-A77^2/pterm2))&gt;0),ATAN((A77/pterm1)/(1-A77^2/pterm2)),PI()+ATAN((A77/pterm1)/(1-A77^2/pterm2)))</f>
        <v>2.536458857302555E-3</v>
      </c>
      <c r="Q77" s="334">
        <f t="shared" ref="Q77:Q140" si="41">20*LOG10(((E77*K77*G77)/(C77*I77*O77*M77))*Adc)</f>
        <v>40.739041529862774</v>
      </c>
      <c r="R77" s="335">
        <f t="shared" ref="R77:R140" si="42">((F77+L77+H77)-(D77+J77+P77+N77))*radconv</f>
        <v>-90.94763536051299</v>
      </c>
      <c r="S77" s="337">
        <f t="shared" ref="S77:S140" si="43">IF(R77&gt;0,R77,R77+180)</f>
        <v>89.05236463948701</v>
      </c>
      <c r="U77" s="310">
        <f t="shared" si="23"/>
        <v>1000000000</v>
      </c>
      <c r="V77" s="310">
        <f t="shared" si="24"/>
        <v>131827.0864</v>
      </c>
      <c r="X77" s="336">
        <f t="shared" ref="X77:X140" si="44">20*LOG10((K77/(I77*M77))*AEA*Afb_Ch2)</f>
        <v>20.709088276664971</v>
      </c>
      <c r="Y77" s="337">
        <f t="shared" si="25"/>
        <v>-83.868691166520904</v>
      </c>
      <c r="AA77" s="336">
        <f t="shared" ref="AA77:AA140" si="45">20*LOG10((E77*G77/(C77*O77))*Am_Ch2)</f>
        <v>20.029953253197807</v>
      </c>
      <c r="AB77" s="337">
        <f t="shared" ref="AB77:AB140" si="46">(F77+H77-(D77+P77))*radconv</f>
        <v>-7.0789441939921049</v>
      </c>
      <c r="AD77">
        <f t="shared" si="26"/>
        <v>0</v>
      </c>
      <c r="AE77">
        <f t="shared" ref="AE77:AE89" si="47">IF(AD77&gt;0,S75,0)</f>
        <v>0</v>
      </c>
    </row>
    <row r="78" spans="1:31" x14ac:dyDescent="0.25">
      <c r="A78" s="338">
        <v>398.11</v>
      </c>
      <c r="B78" s="355">
        <f t="shared" ref="B78:B141" si="48">A78/1000</f>
        <v>0.39811000000000002</v>
      </c>
      <c r="C78" s="328">
        <f t="shared" si="27"/>
        <v>1.008872960421815</v>
      </c>
      <c r="D78" s="329">
        <f t="shared" si="28"/>
        <v>0.1327241162343043</v>
      </c>
      <c r="E78" s="329">
        <f t="shared" si="29"/>
        <v>1.0000000136277383</v>
      </c>
      <c r="F78" s="330">
        <f t="shared" si="30"/>
        <v>1.6509232588578801E-4</v>
      </c>
      <c r="G78" s="329">
        <f t="shared" si="31"/>
        <v>1</v>
      </c>
      <c r="H78" s="330">
        <f t="shared" si="32"/>
        <v>0</v>
      </c>
      <c r="I78" s="328">
        <f t="shared" si="33"/>
        <v>722.02245599102412</v>
      </c>
      <c r="J78" s="331">
        <f t="shared" si="34"/>
        <v>1.5694113278777491</v>
      </c>
      <c r="K78" s="339">
        <f t="shared" si="35"/>
        <v>1.0069427396854371</v>
      </c>
      <c r="L78" s="340">
        <f t="shared" si="36"/>
        <v>0.1174973038128071</v>
      </c>
      <c r="M78" s="328">
        <f t="shared" si="37"/>
        <v>1.000001837973892</v>
      </c>
      <c r="N78" s="331">
        <f t="shared" si="38"/>
        <v>1.9172746683028383E-3</v>
      </c>
      <c r="O78" s="332">
        <f t="shared" si="39"/>
        <v>1.0000005928533617</v>
      </c>
      <c r="P78" s="333">
        <f t="shared" si="40"/>
        <v>2.7811770242724639E-3</v>
      </c>
      <c r="Q78" s="334">
        <f t="shared" si="41"/>
        <v>39.936262445504255</v>
      </c>
      <c r="R78" s="335">
        <f t="shared" si="42"/>
        <v>-91.052819957376855</v>
      </c>
      <c r="S78" s="337">
        <f t="shared" si="43"/>
        <v>88.947180042623145</v>
      </c>
      <c r="U78" s="310">
        <f t="shared" ref="U78:U141" si="49">IF(Q78&lt;0,A78,1000000000)</f>
        <v>1000000000</v>
      </c>
      <c r="V78" s="310">
        <f t="shared" ref="V78:V141" si="50">A78^2</f>
        <v>158491.57210000002</v>
      </c>
      <c r="X78" s="336">
        <f t="shared" si="44"/>
        <v>19.919124488634289</v>
      </c>
      <c r="Y78" s="337">
        <f t="shared" ref="Y78:Y141" si="51">(L78-(J78+N78))*radconv</f>
        <v>-83.298397636620408</v>
      </c>
      <c r="AA78" s="336">
        <f t="shared" si="45"/>
        <v>20.017137956869959</v>
      </c>
      <c r="AB78" s="337">
        <f t="shared" si="46"/>
        <v>-7.7544223207564391</v>
      </c>
      <c r="AD78">
        <f t="shared" ref="AD78:AD141" si="52">SUM((Q79&lt;0)*(Q78&gt;0))*A78</f>
        <v>0</v>
      </c>
      <c r="AE78">
        <f t="shared" si="47"/>
        <v>0</v>
      </c>
    </row>
    <row r="79" spans="1:31" x14ac:dyDescent="0.25">
      <c r="A79" s="338">
        <v>436.52</v>
      </c>
      <c r="B79" s="355">
        <f t="shared" si="48"/>
        <v>0.43651999999999996</v>
      </c>
      <c r="C79" s="328">
        <f t="shared" si="27"/>
        <v>1.0106582249603515</v>
      </c>
      <c r="D79" s="329">
        <f t="shared" si="28"/>
        <v>0.14535758133116966</v>
      </c>
      <c r="E79" s="329">
        <f t="shared" si="29"/>
        <v>1.0000000163842249</v>
      </c>
      <c r="F79" s="330">
        <f t="shared" si="30"/>
        <v>1.8102057713504144E-4</v>
      </c>
      <c r="G79" s="329">
        <f t="shared" si="31"/>
        <v>1</v>
      </c>
      <c r="H79" s="330">
        <f t="shared" si="32"/>
        <v>0</v>
      </c>
      <c r="I79" s="328">
        <f t="shared" si="33"/>
        <v>791.68368448891022</v>
      </c>
      <c r="J79" s="331">
        <f t="shared" si="34"/>
        <v>1.5695331957167789</v>
      </c>
      <c r="K79" s="339">
        <f t="shared" si="35"/>
        <v>1.0083412373214848</v>
      </c>
      <c r="L79" s="340">
        <f t="shared" si="36"/>
        <v>0.12871415494333452</v>
      </c>
      <c r="M79" s="328">
        <f t="shared" si="37"/>
        <v>1.0000022097410171</v>
      </c>
      <c r="N79" s="331">
        <f t="shared" si="38"/>
        <v>2.1022544793637297E-3</v>
      </c>
      <c r="O79" s="332">
        <f t="shared" si="39"/>
        <v>1.000000712771252</v>
      </c>
      <c r="P79" s="333">
        <f t="shared" si="40"/>
        <v>3.0495078385924441E-3</v>
      </c>
      <c r="Q79" s="334">
        <f t="shared" si="41"/>
        <v>39.132936827547724</v>
      </c>
      <c r="R79" s="335">
        <f t="shared" si="42"/>
        <v>-91.166028635882583</v>
      </c>
      <c r="S79" s="337">
        <f t="shared" si="43"/>
        <v>88.833971364117417</v>
      </c>
      <c r="U79" s="310">
        <f t="shared" si="49"/>
        <v>1000000000</v>
      </c>
      <c r="V79" s="310">
        <f t="shared" si="50"/>
        <v>190549.71039999998</v>
      </c>
      <c r="X79" s="336">
        <f t="shared" si="44"/>
        <v>19.131156536354112</v>
      </c>
      <c r="Y79" s="337">
        <f t="shared" si="51"/>
        <v>-82.673300482004052</v>
      </c>
      <c r="AA79" s="336">
        <f t="shared" si="45"/>
        <v>20.001780291193619</v>
      </c>
      <c r="AB79" s="337">
        <f t="shared" si="46"/>
        <v>-8.4927281538785344</v>
      </c>
      <c r="AD79">
        <f t="shared" si="52"/>
        <v>0</v>
      </c>
      <c r="AE79">
        <f t="shared" si="47"/>
        <v>0</v>
      </c>
    </row>
    <row r="80" spans="1:31" x14ac:dyDescent="0.25">
      <c r="A80" s="338">
        <v>478.63</v>
      </c>
      <c r="B80" s="355">
        <f t="shared" si="48"/>
        <v>0.47863</v>
      </c>
      <c r="C80" s="328">
        <f t="shared" si="27"/>
        <v>1.0128001195873539</v>
      </c>
      <c r="D80" s="329">
        <f t="shared" si="28"/>
        <v>0.1591543817856497</v>
      </c>
      <c r="E80" s="329">
        <f t="shared" si="29"/>
        <v>1.0000000196977872</v>
      </c>
      <c r="F80" s="330">
        <f t="shared" si="30"/>
        <v>1.9848318208272103E-4</v>
      </c>
      <c r="G80" s="329">
        <f t="shared" si="31"/>
        <v>1</v>
      </c>
      <c r="H80" s="330">
        <f t="shared" si="32"/>
        <v>0</v>
      </c>
      <c r="I80" s="328">
        <f t="shared" si="33"/>
        <v>868.05532634551173</v>
      </c>
      <c r="J80" s="331">
        <f t="shared" si="34"/>
        <v>1.5696443262359066</v>
      </c>
      <c r="K80" s="339">
        <f t="shared" si="35"/>
        <v>1.010019803086609</v>
      </c>
      <c r="L80" s="340">
        <f t="shared" si="36"/>
        <v>0.14097410070192659</v>
      </c>
      <c r="M80" s="328">
        <f t="shared" si="37"/>
        <v>1.0000026566406857</v>
      </c>
      <c r="N80" s="331">
        <f t="shared" si="38"/>
        <v>2.3050530598312329E-3</v>
      </c>
      <c r="O80" s="332">
        <f t="shared" si="39"/>
        <v>1.0000008569246548</v>
      </c>
      <c r="P80" s="333">
        <f t="shared" si="40"/>
        <v>3.3436868503151336E-3</v>
      </c>
      <c r="Q80" s="334">
        <f t="shared" si="41"/>
        <v>38.329076117225767</v>
      </c>
      <c r="R80" s="335">
        <f t="shared" si="42"/>
        <v>-91.287925418524509</v>
      </c>
      <c r="S80" s="337">
        <f t="shared" si="43"/>
        <v>88.712074581475491</v>
      </c>
      <c r="U80" s="310">
        <f t="shared" si="49"/>
        <v>1000000000</v>
      </c>
      <c r="V80" s="310">
        <f t="shared" si="50"/>
        <v>229086.67689999999</v>
      </c>
      <c r="X80" s="336">
        <f t="shared" si="44"/>
        <v>18.345685633771073</v>
      </c>
      <c r="Y80" s="337">
        <f t="shared" si="51"/>
        <v>-81.988844144668462</v>
      </c>
      <c r="AA80" s="336">
        <f t="shared" si="45"/>
        <v>19.983390483454695</v>
      </c>
      <c r="AB80" s="337">
        <f t="shared" si="46"/>
        <v>-9.2990812738560411</v>
      </c>
      <c r="AD80">
        <f t="shared" si="52"/>
        <v>0</v>
      </c>
      <c r="AE80">
        <f t="shared" si="47"/>
        <v>0</v>
      </c>
    </row>
    <row r="81" spans="1:31" x14ac:dyDescent="0.25">
      <c r="A81" s="338">
        <v>524.80999999999995</v>
      </c>
      <c r="B81" s="355">
        <f t="shared" si="48"/>
        <v>0.52481</v>
      </c>
      <c r="C81" s="328">
        <f t="shared" si="27"/>
        <v>1.0153696624955462</v>
      </c>
      <c r="D81" s="329">
        <f t="shared" si="28"/>
        <v>0.17421455061761507</v>
      </c>
      <c r="E81" s="329">
        <f t="shared" si="29"/>
        <v>1.0000000236821871</v>
      </c>
      <c r="F81" s="330">
        <f t="shared" si="30"/>
        <v>2.1763357606531192E-4</v>
      </c>
      <c r="G81" s="329">
        <f t="shared" si="31"/>
        <v>1</v>
      </c>
      <c r="H81" s="330">
        <f t="shared" si="32"/>
        <v>0</v>
      </c>
      <c r="I81" s="328">
        <f t="shared" si="33"/>
        <v>951.80842187204576</v>
      </c>
      <c r="J81" s="331">
        <f t="shared" si="34"/>
        <v>1.569745695007037</v>
      </c>
      <c r="K81" s="339">
        <f t="shared" si="35"/>
        <v>1.0120345115517719</v>
      </c>
      <c r="L81" s="340">
        <f t="shared" si="36"/>
        <v>0.1543699900409691</v>
      </c>
      <c r="M81" s="328">
        <f t="shared" si="37"/>
        <v>1.0000031940159</v>
      </c>
      <c r="N81" s="331">
        <f t="shared" si="38"/>
        <v>2.5274522343992269E-3</v>
      </c>
      <c r="O81" s="332">
        <f t="shared" si="39"/>
        <v>1.0000010302630395</v>
      </c>
      <c r="P81" s="333">
        <f t="shared" si="40"/>
        <v>3.6662989222483872E-3</v>
      </c>
      <c r="Q81" s="334">
        <f t="shared" si="41"/>
        <v>37.524327127578282</v>
      </c>
      <c r="R81" s="335">
        <f t="shared" si="42"/>
        <v>-91.419219219769857</v>
      </c>
      <c r="S81" s="337">
        <f t="shared" si="43"/>
        <v>88.580780780230143</v>
      </c>
      <c r="U81" s="310">
        <f t="shared" si="49"/>
        <v>1000000000</v>
      </c>
      <c r="V81" s="310">
        <f t="shared" si="50"/>
        <v>275425.53609999997</v>
      </c>
      <c r="X81" s="336">
        <f t="shared" si="44"/>
        <v>17.562946901811724</v>
      </c>
      <c r="Y81" s="337">
        <f t="shared" si="51"/>
        <v>-81.239866758691335</v>
      </c>
      <c r="AA81" s="336">
        <f t="shared" si="45"/>
        <v>19.961380225766558</v>
      </c>
      <c r="AB81" s="337">
        <f t="shared" si="46"/>
        <v>-10.17935246107851</v>
      </c>
      <c r="AD81">
        <f t="shared" si="52"/>
        <v>0</v>
      </c>
      <c r="AE81">
        <f t="shared" si="47"/>
        <v>0</v>
      </c>
    </row>
    <row r="82" spans="1:31" x14ac:dyDescent="0.25">
      <c r="A82" s="338">
        <v>575.44000000000005</v>
      </c>
      <c r="B82" s="355">
        <f t="shared" si="48"/>
        <v>0.57544000000000006</v>
      </c>
      <c r="C82" s="328">
        <f t="shared" si="27"/>
        <v>1.0184500241043326</v>
      </c>
      <c r="D82" s="329">
        <f t="shared" si="28"/>
        <v>0.19063446767027709</v>
      </c>
      <c r="E82" s="329">
        <f t="shared" si="29"/>
        <v>1.0000000284719819</v>
      </c>
      <c r="F82" s="330">
        <f t="shared" si="30"/>
        <v>2.3862934130661185E-4</v>
      </c>
      <c r="G82" s="329">
        <f t="shared" si="31"/>
        <v>1</v>
      </c>
      <c r="H82" s="330">
        <f t="shared" si="32"/>
        <v>0</v>
      </c>
      <c r="I82" s="328">
        <f t="shared" si="33"/>
        <v>1043.6321476890307</v>
      </c>
      <c r="J82" s="331">
        <f t="shared" si="34"/>
        <v>1.5698381346241816</v>
      </c>
      <c r="K82" s="339">
        <f t="shared" si="35"/>
        <v>1.0144511710036996</v>
      </c>
      <c r="L82" s="340">
        <f t="shared" si="36"/>
        <v>0.16899266341194324</v>
      </c>
      <c r="M82" s="328">
        <f t="shared" si="37"/>
        <v>1.0000038400141495</v>
      </c>
      <c r="N82" s="331">
        <f t="shared" si="38"/>
        <v>2.7712819637693304E-3</v>
      </c>
      <c r="O82" s="332">
        <f t="shared" si="39"/>
        <v>1.0000012386407</v>
      </c>
      <c r="P82" s="333">
        <f t="shared" si="40"/>
        <v>4.01999879601069E-3</v>
      </c>
      <c r="Q82" s="334">
        <f t="shared" si="41"/>
        <v>36.718767354936709</v>
      </c>
      <c r="R82" s="335">
        <f t="shared" si="42"/>
        <v>-91.560523053228437</v>
      </c>
      <c r="S82" s="337">
        <f t="shared" si="43"/>
        <v>88.439476946771563</v>
      </c>
      <c r="U82" s="310">
        <f t="shared" si="49"/>
        <v>1000000000</v>
      </c>
      <c r="V82" s="310">
        <f t="shared" si="50"/>
        <v>331131.19360000006</v>
      </c>
      <c r="X82" s="336">
        <f t="shared" si="44"/>
        <v>16.783699687609893</v>
      </c>
      <c r="Y82" s="337">
        <f t="shared" si="51"/>
        <v>-80.421316102735773</v>
      </c>
      <c r="AA82" s="336">
        <f t="shared" si="45"/>
        <v>19.935067667326809</v>
      </c>
      <c r="AB82" s="337">
        <f t="shared" si="46"/>
        <v>-11.139206950492644</v>
      </c>
      <c r="AD82">
        <f t="shared" si="52"/>
        <v>0</v>
      </c>
      <c r="AE82">
        <f t="shared" si="47"/>
        <v>0</v>
      </c>
    </row>
    <row r="83" spans="1:31" x14ac:dyDescent="0.25">
      <c r="A83" s="338">
        <v>630.96</v>
      </c>
      <c r="B83" s="355">
        <f t="shared" si="48"/>
        <v>0.63096000000000008</v>
      </c>
      <c r="C83" s="328">
        <f t="shared" si="27"/>
        <v>1.02214149588382</v>
      </c>
      <c r="D83" s="329">
        <f t="shared" si="28"/>
        <v>0.20852112944437626</v>
      </c>
      <c r="E83" s="329">
        <f t="shared" si="29"/>
        <v>1.0000000342311319</v>
      </c>
      <c r="F83" s="330">
        <f t="shared" si="30"/>
        <v>2.6165294142349051E-4</v>
      </c>
      <c r="G83" s="329">
        <f t="shared" si="31"/>
        <v>1</v>
      </c>
      <c r="H83" s="330">
        <f t="shared" si="32"/>
        <v>0</v>
      </c>
      <c r="I83" s="328">
        <f t="shared" si="33"/>
        <v>1144.3244978583464</v>
      </c>
      <c r="J83" s="331">
        <f t="shared" si="34"/>
        <v>1.5699224486867649</v>
      </c>
      <c r="K83" s="339">
        <f t="shared" si="35"/>
        <v>1.0173493113790484</v>
      </c>
      <c r="L83" s="340">
        <f t="shared" si="36"/>
        <v>0.18494397787822356</v>
      </c>
      <c r="M83" s="328">
        <f t="shared" si="37"/>
        <v>1.0000046167485026</v>
      </c>
      <c r="N83" s="331">
        <f t="shared" si="38"/>
        <v>3.0386611330709495E-3</v>
      </c>
      <c r="O83" s="332">
        <f t="shared" si="39"/>
        <v>1.0000014891913764</v>
      </c>
      <c r="P83" s="333">
        <f t="shared" si="40"/>
        <v>4.4078603967448579E-3</v>
      </c>
      <c r="Q83" s="334">
        <f t="shared" si="41"/>
        <v>35.912076557492917</v>
      </c>
      <c r="R83" s="335">
        <f t="shared" si="42"/>
        <v>-91.712464501543749</v>
      </c>
      <c r="S83" s="337">
        <f t="shared" si="43"/>
        <v>88.287535498456251</v>
      </c>
      <c r="U83" s="310">
        <f t="shared" si="49"/>
        <v>1000000000</v>
      </c>
      <c r="V83" s="310">
        <f t="shared" si="50"/>
        <v>398110.52160000004</v>
      </c>
      <c r="X83" s="336">
        <f t="shared" si="44"/>
        <v>16.008436954552387</v>
      </c>
      <c r="Y83" s="337">
        <f t="shared" si="51"/>
        <v>-79.527523642980952</v>
      </c>
      <c r="AA83" s="336">
        <f t="shared" si="45"/>
        <v>19.903639602940533</v>
      </c>
      <c r="AB83" s="337">
        <f t="shared" si="46"/>
        <v>-12.184940858562795</v>
      </c>
      <c r="AD83">
        <f t="shared" si="52"/>
        <v>0</v>
      </c>
      <c r="AE83">
        <f t="shared" si="47"/>
        <v>0</v>
      </c>
    </row>
    <row r="84" spans="1:31" x14ac:dyDescent="0.25">
      <c r="A84" s="338">
        <v>691.83</v>
      </c>
      <c r="B84" s="355">
        <f t="shared" si="48"/>
        <v>0.69183000000000006</v>
      </c>
      <c r="C84" s="328">
        <f t="shared" si="27"/>
        <v>1.0265615748750172</v>
      </c>
      <c r="D84" s="329">
        <f t="shared" si="28"/>
        <v>0.227976616081881</v>
      </c>
      <c r="E84" s="329">
        <f t="shared" si="29"/>
        <v>1.0000000411544103</v>
      </c>
      <c r="F84" s="330">
        <f t="shared" si="30"/>
        <v>2.8689513381120068E-4</v>
      </c>
      <c r="G84" s="329">
        <f t="shared" si="31"/>
        <v>1</v>
      </c>
      <c r="H84" s="330">
        <f t="shared" si="32"/>
        <v>0</v>
      </c>
      <c r="I84" s="328">
        <f t="shared" si="33"/>
        <v>1254.7197389699031</v>
      </c>
      <c r="J84" s="331">
        <f t="shared" si="34"/>
        <v>1.5699993359810862</v>
      </c>
      <c r="K84" s="339">
        <f t="shared" si="35"/>
        <v>1.0208223781300418</v>
      </c>
      <c r="L84" s="340">
        <f t="shared" si="36"/>
        <v>0.20232337601608799</v>
      </c>
      <c r="M84" s="328">
        <f t="shared" si="37"/>
        <v>1.0000055504876368</v>
      </c>
      <c r="N84" s="331">
        <f t="shared" si="38"/>
        <v>3.3318049053355195E-3</v>
      </c>
      <c r="O84" s="332">
        <f t="shared" si="39"/>
        <v>1.0000017903896887</v>
      </c>
      <c r="P84" s="333">
        <f t="shared" si="40"/>
        <v>4.833097402362368E-3</v>
      </c>
      <c r="Q84" s="334">
        <f t="shared" si="41"/>
        <v>35.104237235063323</v>
      </c>
      <c r="R84" s="335">
        <f t="shared" si="42"/>
        <v>-91.875534843684406</v>
      </c>
      <c r="S84" s="337">
        <f t="shared" si="43"/>
        <v>88.124465156315594</v>
      </c>
      <c r="U84" s="310">
        <f t="shared" si="49"/>
        <v>1000000000</v>
      </c>
      <c r="V84" s="310">
        <f t="shared" si="50"/>
        <v>478628.74890000006</v>
      </c>
      <c r="X84" s="336">
        <f t="shared" si="44"/>
        <v>15.238079878043626</v>
      </c>
      <c r="Y84" s="337">
        <f t="shared" si="51"/>
        <v>-78.552958696494287</v>
      </c>
      <c r="AA84" s="336">
        <f t="shared" si="45"/>
        <v>19.866157357019695</v>
      </c>
      <c r="AB84" s="337">
        <f t="shared" si="46"/>
        <v>-13.322576147190116</v>
      </c>
      <c r="AD84">
        <f t="shared" si="52"/>
        <v>0</v>
      </c>
      <c r="AE84">
        <f t="shared" si="47"/>
        <v>0</v>
      </c>
    </row>
    <row r="85" spans="1:31" x14ac:dyDescent="0.25">
      <c r="A85" s="338">
        <v>758.58</v>
      </c>
      <c r="B85" s="355">
        <f t="shared" si="48"/>
        <v>0.75858000000000003</v>
      </c>
      <c r="C85" s="328">
        <f t="shared" si="27"/>
        <v>1.0318511943681192</v>
      </c>
      <c r="D85" s="329">
        <f t="shared" si="28"/>
        <v>0.24911096862510998</v>
      </c>
      <c r="E85" s="329">
        <f t="shared" si="29"/>
        <v>1.0000000494789387</v>
      </c>
      <c r="F85" s="330">
        <f t="shared" si="30"/>
        <v>3.1457570414510273E-4</v>
      </c>
      <c r="G85" s="329">
        <f t="shared" si="31"/>
        <v>1</v>
      </c>
      <c r="H85" s="330">
        <f t="shared" si="32"/>
        <v>0</v>
      </c>
      <c r="I85" s="328">
        <f t="shared" si="33"/>
        <v>1375.7790912930077</v>
      </c>
      <c r="J85" s="331">
        <f t="shared" si="34"/>
        <v>1.5700694658516077</v>
      </c>
      <c r="K85" s="339">
        <f t="shared" si="35"/>
        <v>1.0249828009719415</v>
      </c>
      <c r="L85" s="340">
        <f t="shared" si="36"/>
        <v>0.22123985300144566</v>
      </c>
      <c r="M85" s="328">
        <f t="shared" si="37"/>
        <v>1.0000066732115294</v>
      </c>
      <c r="N85" s="331">
        <f t="shared" si="38"/>
        <v>3.6532655035967391E-3</v>
      </c>
      <c r="O85" s="332">
        <f t="shared" si="39"/>
        <v>1.0000021525531519</v>
      </c>
      <c r="P85" s="333">
        <f t="shared" si="40"/>
        <v>5.2994125534662996E-3</v>
      </c>
      <c r="Q85" s="334">
        <f t="shared" si="41"/>
        <v>34.294871500153128</v>
      </c>
      <c r="R85" s="335">
        <f t="shared" si="42"/>
        <v>-92.050178144220624</v>
      </c>
      <c r="S85" s="337">
        <f t="shared" si="43"/>
        <v>87.949821855779376</v>
      </c>
      <c r="U85" s="310">
        <f t="shared" si="49"/>
        <v>1000000000</v>
      </c>
      <c r="V85" s="310">
        <f t="shared" si="50"/>
        <v>575443.61640000006</v>
      </c>
      <c r="X85" s="336">
        <f t="shared" si="44"/>
        <v>14.473358556663136</v>
      </c>
      <c r="Y85" s="337">
        <f t="shared" si="51"/>
        <v>-77.491560881922922</v>
      </c>
      <c r="AA85" s="336">
        <f t="shared" si="45"/>
        <v>19.821512943489989</v>
      </c>
      <c r="AB85" s="337">
        <f t="shared" si="46"/>
        <v>-14.558617262297709</v>
      </c>
      <c r="AD85">
        <f t="shared" si="52"/>
        <v>0</v>
      </c>
      <c r="AE85">
        <f t="shared" si="47"/>
        <v>0</v>
      </c>
    </row>
    <row r="86" spans="1:31" x14ac:dyDescent="0.25">
      <c r="A86" s="338">
        <v>831.76</v>
      </c>
      <c r="B86" s="355">
        <f t="shared" si="48"/>
        <v>0.83175999999999994</v>
      </c>
      <c r="C86" s="328">
        <f t="shared" si="27"/>
        <v>1.038174170823468</v>
      </c>
      <c r="D86" s="329">
        <f t="shared" si="28"/>
        <v>0.27202231086777351</v>
      </c>
      <c r="E86" s="329">
        <f t="shared" si="29"/>
        <v>1.0000000594858485</v>
      </c>
      <c r="F86" s="330">
        <f t="shared" si="30"/>
        <v>3.4492273185976718E-4</v>
      </c>
      <c r="G86" s="329">
        <f t="shared" si="31"/>
        <v>1</v>
      </c>
      <c r="H86" s="330">
        <f t="shared" si="32"/>
        <v>0</v>
      </c>
      <c r="I86" s="328">
        <f t="shared" si="33"/>
        <v>1508.5000476181153</v>
      </c>
      <c r="J86" s="331">
        <f t="shared" si="34"/>
        <v>1.5701334165915986</v>
      </c>
      <c r="K86" s="339">
        <f t="shared" si="35"/>
        <v>1.0299617990642982</v>
      </c>
      <c r="L86" s="340">
        <f t="shared" si="36"/>
        <v>0.24179474207305404</v>
      </c>
      <c r="M86" s="328">
        <f t="shared" si="37"/>
        <v>1.0000080228354289</v>
      </c>
      <c r="N86" s="331">
        <f t="shared" si="38"/>
        <v>4.005691398762651E-3</v>
      </c>
      <c r="O86" s="332">
        <f t="shared" si="39"/>
        <v>1.0000025879147079</v>
      </c>
      <c r="P86" s="333">
        <f t="shared" si="40"/>
        <v>5.8106483681794677E-3</v>
      </c>
      <c r="Q86" s="334">
        <f t="shared" si="41"/>
        <v>33.483951428527789</v>
      </c>
      <c r="R86" s="335">
        <f t="shared" si="42"/>
        <v>-92.236602487547842</v>
      </c>
      <c r="S86" s="337">
        <f t="shared" si="43"/>
        <v>87.763397512452158</v>
      </c>
      <c r="U86" s="310">
        <f t="shared" si="49"/>
        <v>1000000000</v>
      </c>
      <c r="V86" s="310">
        <f t="shared" si="50"/>
        <v>691824.69759999996</v>
      </c>
      <c r="X86" s="336">
        <f t="shared" si="44"/>
        <v>13.715505149184619</v>
      </c>
      <c r="Y86" s="337">
        <f t="shared" si="51"/>
        <v>-76.337709112324063</v>
      </c>
      <c r="AA86" s="336">
        <f t="shared" si="45"/>
        <v>19.768446279343163</v>
      </c>
      <c r="AB86" s="337">
        <f t="shared" si="46"/>
        <v>-15.898893375223796</v>
      </c>
      <c r="AD86">
        <f t="shared" si="52"/>
        <v>0</v>
      </c>
      <c r="AE86">
        <f t="shared" si="47"/>
        <v>0</v>
      </c>
    </row>
    <row r="87" spans="1:31" x14ac:dyDescent="0.25">
      <c r="A87" s="338">
        <v>912.01</v>
      </c>
      <c r="B87" s="355">
        <f t="shared" si="48"/>
        <v>0.91200999999999999</v>
      </c>
      <c r="C87" s="328">
        <f t="shared" si="27"/>
        <v>1.0457263468596314</v>
      </c>
      <c r="D87" s="329">
        <f t="shared" si="28"/>
        <v>0.29681414645340076</v>
      </c>
      <c r="E87" s="329">
        <f t="shared" si="29"/>
        <v>1.0000000715182362</v>
      </c>
      <c r="F87" s="330">
        <f t="shared" si="30"/>
        <v>3.7820161844768959E-4</v>
      </c>
      <c r="G87" s="329">
        <f t="shared" si="31"/>
        <v>1</v>
      </c>
      <c r="H87" s="330">
        <f t="shared" si="32"/>
        <v>0</v>
      </c>
      <c r="I87" s="328">
        <f t="shared" si="33"/>
        <v>1654.0433268853894</v>
      </c>
      <c r="J87" s="331">
        <f t="shared" si="34"/>
        <v>1.5701917476737424</v>
      </c>
      <c r="K87" s="339">
        <f t="shared" si="35"/>
        <v>1.0359168998436827</v>
      </c>
      <c r="L87" s="340">
        <f t="shared" si="36"/>
        <v>0.26409782281071925</v>
      </c>
      <c r="M87" s="328">
        <f t="shared" si="37"/>
        <v>1.0000096456315841</v>
      </c>
      <c r="N87" s="331">
        <f t="shared" si="38"/>
        <v>4.3921643987619094E-3</v>
      </c>
      <c r="O87" s="332">
        <f t="shared" si="39"/>
        <v>1.0000031114043284</v>
      </c>
      <c r="P87" s="333">
        <f t="shared" si="40"/>
        <v>6.3712761808121078E-3</v>
      </c>
      <c r="Q87" s="334">
        <f t="shared" si="41"/>
        <v>32.671021236258703</v>
      </c>
      <c r="R87" s="335">
        <f t="shared" si="42"/>
        <v>-92.434897901215493</v>
      </c>
      <c r="S87" s="337">
        <f t="shared" si="43"/>
        <v>87.565102098784507</v>
      </c>
      <c r="U87" s="310">
        <f t="shared" si="49"/>
        <v>1000000000</v>
      </c>
      <c r="V87" s="310">
        <f t="shared" si="50"/>
        <v>831762.24009999994</v>
      </c>
      <c r="X87" s="336">
        <f t="shared" si="44"/>
        <v>12.96553600809214</v>
      </c>
      <c r="Y87" s="337">
        <f t="shared" si="51"/>
        <v>-75.085322111102244</v>
      </c>
      <c r="AA87" s="336">
        <f t="shared" si="45"/>
        <v>19.705485228166562</v>
      </c>
      <c r="AB87" s="337">
        <f t="shared" si="46"/>
        <v>-17.349575790113249</v>
      </c>
      <c r="AD87">
        <f t="shared" si="52"/>
        <v>0</v>
      </c>
      <c r="AE87">
        <f t="shared" si="47"/>
        <v>0</v>
      </c>
    </row>
    <row r="88" spans="1:31" x14ac:dyDescent="0.25">
      <c r="A88" s="338">
        <v>1000</v>
      </c>
      <c r="B88" s="355">
        <f t="shared" si="48"/>
        <v>1</v>
      </c>
      <c r="C88" s="328">
        <f t="shared" si="27"/>
        <v>1.0547342515432716</v>
      </c>
      <c r="D88" s="329">
        <f t="shared" si="28"/>
        <v>0.32357077941700391</v>
      </c>
      <c r="E88" s="329">
        <f t="shared" si="29"/>
        <v>1.0000000859839897</v>
      </c>
      <c r="F88" s="330">
        <f t="shared" si="30"/>
        <v>4.1469020602885452E-4</v>
      </c>
      <c r="G88" s="329">
        <f t="shared" si="31"/>
        <v>1</v>
      </c>
      <c r="H88" s="330">
        <f t="shared" si="32"/>
        <v>0</v>
      </c>
      <c r="I88" s="328">
        <f t="shared" si="33"/>
        <v>1813.6240567854225</v>
      </c>
      <c r="J88" s="331">
        <f t="shared" si="34"/>
        <v>1.5702449445793107</v>
      </c>
      <c r="K88" s="339">
        <f t="shared" si="35"/>
        <v>1.0430313197581371</v>
      </c>
      <c r="L88" s="340">
        <f t="shared" si="36"/>
        <v>0.28824593053373887</v>
      </c>
      <c r="M88" s="328">
        <f t="shared" si="37"/>
        <v>1.0000115966098362</v>
      </c>
      <c r="N88" s="331">
        <f t="shared" si="38"/>
        <v>4.815910665597934E-3</v>
      </c>
      <c r="O88" s="332">
        <f t="shared" si="39"/>
        <v>1.0000037407723827</v>
      </c>
      <c r="P88" s="333">
        <f t="shared" si="40"/>
        <v>6.9859770065725472E-3</v>
      </c>
      <c r="Q88" s="334">
        <f t="shared" si="41"/>
        <v>31.855939859601008</v>
      </c>
      <c r="R88" s="335">
        <f t="shared" si="42"/>
        <v>-92.644811340250968</v>
      </c>
      <c r="S88" s="337">
        <f t="shared" si="43"/>
        <v>87.355188659749032</v>
      </c>
      <c r="U88" s="310">
        <f t="shared" si="49"/>
        <v>1000000000</v>
      </c>
      <c r="V88" s="310">
        <f t="shared" si="50"/>
        <v>1000000</v>
      </c>
      <c r="X88" s="336">
        <f t="shared" si="44"/>
        <v>12.224959961276546</v>
      </c>
      <c r="Y88" s="337">
        <f t="shared" si="51"/>
        <v>-73.729064284642547</v>
      </c>
      <c r="AA88" s="336">
        <f t="shared" si="45"/>
        <v>19.630979898324462</v>
      </c>
      <c r="AB88" s="337">
        <f t="shared" si="46"/>
        <v>-18.915747055608424</v>
      </c>
      <c r="AD88">
        <f t="shared" si="52"/>
        <v>0</v>
      </c>
      <c r="AE88">
        <f t="shared" si="47"/>
        <v>0</v>
      </c>
    </row>
    <row r="89" spans="1:31" x14ac:dyDescent="0.25">
      <c r="A89" s="338">
        <v>1096.5</v>
      </c>
      <c r="B89" s="355">
        <f t="shared" si="48"/>
        <v>1.0965</v>
      </c>
      <c r="C89" s="328">
        <f t="shared" si="27"/>
        <v>1.0654657457316998</v>
      </c>
      <c r="D89" s="329">
        <f t="shared" si="28"/>
        <v>0.35237208917346086</v>
      </c>
      <c r="E89" s="329">
        <f t="shared" si="29"/>
        <v>1.0000001033796031</v>
      </c>
      <c r="F89" s="330">
        <f t="shared" si="30"/>
        <v>4.5470780563735847E-4</v>
      </c>
      <c r="G89" s="329">
        <f t="shared" si="31"/>
        <v>1</v>
      </c>
      <c r="H89" s="330">
        <f t="shared" si="32"/>
        <v>0</v>
      </c>
      <c r="I89" s="328">
        <f t="shared" si="33"/>
        <v>1988.638727398197</v>
      </c>
      <c r="J89" s="331">
        <f t="shared" si="34"/>
        <v>1.5702934702285596</v>
      </c>
      <c r="K89" s="339">
        <f t="shared" si="35"/>
        <v>1.051522933993579</v>
      </c>
      <c r="L89" s="340">
        <f t="shared" si="36"/>
        <v>0.31433690708874035</v>
      </c>
      <c r="M89" s="328">
        <f t="shared" si="37"/>
        <v>1.000013942729709</v>
      </c>
      <c r="N89" s="331">
        <f t="shared" si="38"/>
        <v>5.2806377855595188E-3</v>
      </c>
      <c r="O89" s="332">
        <f t="shared" si="39"/>
        <v>1.0000044976266764</v>
      </c>
      <c r="P89" s="333">
        <f t="shared" si="40"/>
        <v>7.6601305958418683E-3</v>
      </c>
      <c r="Q89" s="334">
        <f t="shared" si="41"/>
        <v>31.038239709105106</v>
      </c>
      <c r="R89" s="335">
        <f t="shared" si="42"/>
        <v>-92.865842527365203</v>
      </c>
      <c r="S89" s="337">
        <f t="shared" si="43"/>
        <v>87.134157472634797</v>
      </c>
      <c r="U89" s="310">
        <f t="shared" si="49"/>
        <v>1000000000</v>
      </c>
      <c r="V89" s="310">
        <f t="shared" si="50"/>
        <v>1202312.25</v>
      </c>
      <c r="X89" s="336">
        <f t="shared" si="44"/>
        <v>11.495195080244278</v>
      </c>
      <c r="Y89" s="337">
        <f t="shared" si="51"/>
        <v>-72.263568660490762</v>
      </c>
      <c r="AA89" s="336">
        <f t="shared" si="45"/>
        <v>19.543044628860827</v>
      </c>
      <c r="AB89" s="337">
        <f t="shared" si="46"/>
        <v>-20.602273866874423</v>
      </c>
      <c r="AD89">
        <f t="shared" si="52"/>
        <v>0</v>
      </c>
      <c r="AE89">
        <f t="shared" si="47"/>
        <v>0</v>
      </c>
    </row>
    <row r="90" spans="1:31" x14ac:dyDescent="0.25">
      <c r="A90" s="338">
        <v>1202.3</v>
      </c>
      <c r="B90" s="355">
        <f t="shared" si="48"/>
        <v>1.2022999999999999</v>
      </c>
      <c r="C90" s="328">
        <f t="shared" si="27"/>
        <v>1.0782254169170198</v>
      </c>
      <c r="D90" s="329">
        <f t="shared" si="28"/>
        <v>0.38326174718489048</v>
      </c>
      <c r="E90" s="329">
        <f t="shared" si="29"/>
        <v>1.0000001242920291</v>
      </c>
      <c r="F90" s="330">
        <f t="shared" si="30"/>
        <v>4.9858202197535938E-4</v>
      </c>
      <c r="G90" s="329">
        <f t="shared" si="31"/>
        <v>1</v>
      </c>
      <c r="H90" s="330">
        <f t="shared" si="32"/>
        <v>0</v>
      </c>
      <c r="I90" s="328">
        <f t="shared" si="33"/>
        <v>2180.5201013127894</v>
      </c>
      <c r="J90" s="331">
        <f t="shared" si="34"/>
        <v>1.5703377205961042</v>
      </c>
      <c r="K90" s="339">
        <f t="shared" si="35"/>
        <v>1.0616413674802356</v>
      </c>
      <c r="L90" s="340">
        <f t="shared" si="36"/>
        <v>0.34244142271389871</v>
      </c>
      <c r="M90" s="328">
        <f t="shared" si="37"/>
        <v>1.0000167631494929</v>
      </c>
      <c r="N90" s="331">
        <f t="shared" si="38"/>
        <v>5.7901494500635954E-3</v>
      </c>
      <c r="O90" s="332">
        <f t="shared" si="39"/>
        <v>1.0000054075140372</v>
      </c>
      <c r="P90" s="333">
        <f t="shared" si="40"/>
        <v>8.3992565941775673E-3</v>
      </c>
      <c r="Q90" s="334">
        <f t="shared" si="41"/>
        <v>30.217903657307584</v>
      </c>
      <c r="R90" s="335">
        <f t="shared" si="42"/>
        <v>-93.096982651804041</v>
      </c>
      <c r="S90" s="337">
        <f t="shared" si="43"/>
        <v>86.903017348195959</v>
      </c>
      <c r="U90" s="310">
        <f t="shared" si="49"/>
        <v>1000000000</v>
      </c>
      <c r="V90" s="310">
        <f t="shared" si="50"/>
        <v>1445525.2899999998</v>
      </c>
      <c r="X90" s="336">
        <f t="shared" si="44"/>
        <v>10.77826821610299</v>
      </c>
      <c r="Y90" s="337">
        <f t="shared" si="51"/>
        <v>-70.685026755396947</v>
      </c>
      <c r="AA90" s="336">
        <f t="shared" si="45"/>
        <v>19.439635441204587</v>
      </c>
      <c r="AB90" s="337">
        <f t="shared" si="46"/>
        <v>-22.41195589640709</v>
      </c>
      <c r="AD90">
        <f t="shared" si="52"/>
        <v>0</v>
      </c>
      <c r="AE90">
        <f t="shared" ref="AE90:AE153" si="53">IF(AD90&gt;0,S90,0)</f>
        <v>0</v>
      </c>
    </row>
    <row r="91" spans="1:31" x14ac:dyDescent="0.25">
      <c r="A91" s="338">
        <v>1318.3</v>
      </c>
      <c r="B91" s="355">
        <f t="shared" si="48"/>
        <v>1.3183</v>
      </c>
      <c r="C91" s="328">
        <f t="shared" si="27"/>
        <v>1.0933679405743602</v>
      </c>
      <c r="D91" s="329">
        <f t="shared" si="28"/>
        <v>0.41626588240167378</v>
      </c>
      <c r="E91" s="329">
        <f t="shared" si="29"/>
        <v>1.0000001494328512</v>
      </c>
      <c r="F91" s="330">
        <f t="shared" si="30"/>
        <v>5.4668607548343429E-4</v>
      </c>
      <c r="G91" s="329">
        <f t="shared" si="31"/>
        <v>1</v>
      </c>
      <c r="H91" s="330">
        <f t="shared" si="32"/>
        <v>0</v>
      </c>
      <c r="I91" s="328">
        <f t="shared" si="33"/>
        <v>2390.9004397428671</v>
      </c>
      <c r="J91" s="331">
        <f t="shared" si="34"/>
        <v>1.5703780743187443</v>
      </c>
      <c r="K91" s="339">
        <f t="shared" si="35"/>
        <v>1.0736794820135007</v>
      </c>
      <c r="L91" s="340">
        <f t="shared" si="36"/>
        <v>0.37262017447049056</v>
      </c>
      <c r="M91" s="328">
        <f t="shared" si="37"/>
        <v>1.000020153834678</v>
      </c>
      <c r="N91" s="331">
        <f t="shared" si="38"/>
        <v>6.3487788121575819E-3</v>
      </c>
      <c r="O91" s="332">
        <f t="shared" si="39"/>
        <v>1.0000065014087745</v>
      </c>
      <c r="P91" s="333">
        <f t="shared" si="40"/>
        <v>9.2096433424368809E-3</v>
      </c>
      <c r="Q91" s="334">
        <f t="shared" si="41"/>
        <v>29.394637994487457</v>
      </c>
      <c r="R91" s="335">
        <f t="shared" si="42"/>
        <v>-93.336859983813284</v>
      </c>
      <c r="S91" s="337">
        <f t="shared" si="43"/>
        <v>86.663140016186716</v>
      </c>
      <c r="U91" s="310">
        <f t="shared" si="49"/>
        <v>1000000000</v>
      </c>
      <c r="V91" s="310">
        <f t="shared" si="50"/>
        <v>1737914.89</v>
      </c>
      <c r="X91" s="336">
        <f t="shared" si="44"/>
        <v>10.076147241937953</v>
      </c>
      <c r="Y91" s="337">
        <f t="shared" si="51"/>
        <v>-68.990230849589622</v>
      </c>
      <c r="AA91" s="336">
        <f t="shared" si="45"/>
        <v>19.318490752549501</v>
      </c>
      <c r="AB91" s="337">
        <f t="shared" si="46"/>
        <v>-24.346629134223654</v>
      </c>
      <c r="AD91">
        <f t="shared" si="52"/>
        <v>0</v>
      </c>
      <c r="AE91">
        <f t="shared" si="53"/>
        <v>0</v>
      </c>
    </row>
    <row r="92" spans="1:31" x14ac:dyDescent="0.25">
      <c r="A92" s="338">
        <v>1445.4</v>
      </c>
      <c r="B92" s="355">
        <f t="shared" si="48"/>
        <v>1.4454</v>
      </c>
      <c r="C92" s="328">
        <f t="shared" si="27"/>
        <v>1.1112868140943029</v>
      </c>
      <c r="D92" s="329">
        <f t="shared" si="28"/>
        <v>0.45135315336666992</v>
      </c>
      <c r="E92" s="329">
        <f t="shared" si="29"/>
        <v>1.0000001796361229</v>
      </c>
      <c r="F92" s="330">
        <f t="shared" si="30"/>
        <v>5.9939318637114187E-4</v>
      </c>
      <c r="G92" s="329">
        <f t="shared" si="31"/>
        <v>1</v>
      </c>
      <c r="H92" s="330">
        <f t="shared" si="32"/>
        <v>0</v>
      </c>
      <c r="I92" s="328">
        <f t="shared" si="33"/>
        <v>2621.4120039306199</v>
      </c>
      <c r="J92" s="331">
        <f t="shared" si="34"/>
        <v>1.5704148529850741</v>
      </c>
      <c r="K92" s="339">
        <f t="shared" si="35"/>
        <v>1.0879655188834016</v>
      </c>
      <c r="L92" s="340">
        <f t="shared" si="36"/>
        <v>0.40488735178333779</v>
      </c>
      <c r="M92" s="328">
        <f t="shared" si="37"/>
        <v>1.0000242272657875</v>
      </c>
      <c r="N92" s="331">
        <f t="shared" si="38"/>
        <v>6.9608586631044519E-3</v>
      </c>
      <c r="O92" s="332">
        <f t="shared" si="39"/>
        <v>1.0000078156209473</v>
      </c>
      <c r="P92" s="333">
        <f t="shared" si="40"/>
        <v>1.0097579479668059E-2</v>
      </c>
      <c r="Q92" s="334">
        <f t="shared" si="41"/>
        <v>28.568728658098898</v>
      </c>
      <c r="R92" s="335">
        <f t="shared" si="42"/>
        <v>-93.583471400872213</v>
      </c>
      <c r="S92" s="337">
        <f t="shared" si="43"/>
        <v>86.416528599127787</v>
      </c>
      <c r="U92" s="310">
        <f t="shared" si="49"/>
        <v>1000000000</v>
      </c>
      <c r="V92" s="310">
        <f t="shared" si="50"/>
        <v>2089181.1600000001</v>
      </c>
      <c r="X92" s="336">
        <f t="shared" si="44"/>
        <v>9.3914455742575349</v>
      </c>
      <c r="Y92" s="337">
        <f t="shared" si="51"/>
        <v>-67.17863462523421</v>
      </c>
      <c r="AA92" s="336">
        <f t="shared" si="45"/>
        <v>19.17728308384136</v>
      </c>
      <c r="AB92" s="337">
        <f t="shared" si="46"/>
        <v>-26.404836775637992</v>
      </c>
      <c r="AD92">
        <f t="shared" si="52"/>
        <v>0</v>
      </c>
      <c r="AE92">
        <f t="shared" si="53"/>
        <v>0</v>
      </c>
    </row>
    <row r="93" spans="1:31" x14ac:dyDescent="0.25">
      <c r="A93" s="338">
        <v>1584.9</v>
      </c>
      <c r="B93" s="355">
        <f t="shared" si="48"/>
        <v>1.5849000000000002</v>
      </c>
      <c r="C93" s="328">
        <f t="shared" si="27"/>
        <v>1.1324752005885794</v>
      </c>
      <c r="D93" s="329">
        <f t="shared" si="28"/>
        <v>0.48853464757083737</v>
      </c>
      <c r="E93" s="329">
        <f t="shared" si="29"/>
        <v>1.0000002159838584</v>
      </c>
      <c r="F93" s="330">
        <f t="shared" si="30"/>
        <v>6.5724245057418055E-4</v>
      </c>
      <c r="G93" s="329">
        <f t="shared" si="31"/>
        <v>1</v>
      </c>
      <c r="H93" s="330">
        <f t="shared" si="32"/>
        <v>0</v>
      </c>
      <c r="I93" s="328">
        <f t="shared" si="33"/>
        <v>2874.412504604963</v>
      </c>
      <c r="J93" s="331">
        <f t="shared" si="34"/>
        <v>1.5704484296094474</v>
      </c>
      <c r="K93" s="339">
        <f t="shared" si="35"/>
        <v>1.1049129919407121</v>
      </c>
      <c r="L93" s="340">
        <f t="shared" si="36"/>
        <v>0.43930225664551742</v>
      </c>
      <c r="M93" s="328">
        <f t="shared" si="37"/>
        <v>1.0000291293617789</v>
      </c>
      <c r="N93" s="331">
        <f t="shared" si="38"/>
        <v>7.6326476005056246E-3</v>
      </c>
      <c r="O93" s="332">
        <f t="shared" si="39"/>
        <v>1.000009397260136</v>
      </c>
      <c r="P93" s="333">
        <f t="shared" si="40"/>
        <v>1.1072148495574552E-2</v>
      </c>
      <c r="Q93" s="334">
        <f t="shared" si="41"/>
        <v>27.738604656844306</v>
      </c>
      <c r="R93" s="335">
        <f t="shared" si="42"/>
        <v>-93.834923936573759</v>
      </c>
      <c r="S93" s="337">
        <f t="shared" si="43"/>
        <v>86.165076063426241</v>
      </c>
      <c r="U93" s="310">
        <f t="shared" si="49"/>
        <v>1000000000</v>
      </c>
      <c r="V93" s="310">
        <f t="shared" si="50"/>
        <v>2511908.0100000002</v>
      </c>
      <c r="X93" s="336">
        <f t="shared" si="44"/>
        <v>8.7253857780091799</v>
      </c>
      <c r="Y93" s="337">
        <f t="shared" si="51"/>
        <v>-65.247220291783648</v>
      </c>
      <c r="AA93" s="336">
        <f t="shared" si="45"/>
        <v>19.013218878835126</v>
      </c>
      <c r="AB93" s="337">
        <f t="shared" si="46"/>
        <v>-28.587703644790096</v>
      </c>
      <c r="AD93">
        <f t="shared" si="52"/>
        <v>0</v>
      </c>
      <c r="AE93">
        <f t="shared" si="53"/>
        <v>0</v>
      </c>
    </row>
    <row r="94" spans="1:31" x14ac:dyDescent="0.25">
      <c r="A94" s="338">
        <v>1737.8</v>
      </c>
      <c r="B94" s="355">
        <f t="shared" si="48"/>
        <v>1.7378</v>
      </c>
      <c r="C94" s="328">
        <f t="shared" si="27"/>
        <v>1.1574266962911743</v>
      </c>
      <c r="D94" s="329">
        <f t="shared" si="28"/>
        <v>0.52766407951525263</v>
      </c>
      <c r="E94" s="329">
        <f t="shared" si="29"/>
        <v>1.0000002596672273</v>
      </c>
      <c r="F94" s="330">
        <f t="shared" si="30"/>
        <v>7.206485565938995E-4</v>
      </c>
      <c r="G94" s="329">
        <f t="shared" si="31"/>
        <v>1</v>
      </c>
      <c r="H94" s="330">
        <f t="shared" si="32"/>
        <v>0</v>
      </c>
      <c r="I94" s="328">
        <f t="shared" si="33"/>
        <v>3151.7155654294497</v>
      </c>
      <c r="J94" s="331">
        <f t="shared" si="34"/>
        <v>1.5704790392744912</v>
      </c>
      <c r="K94" s="339">
        <f t="shared" si="35"/>
        <v>1.1249430167665404</v>
      </c>
      <c r="L94" s="340">
        <f t="shared" si="36"/>
        <v>0.47578395645279098</v>
      </c>
      <c r="M94" s="328">
        <f t="shared" si="37"/>
        <v>1.0000350207582593</v>
      </c>
      <c r="N94" s="331">
        <f t="shared" si="38"/>
        <v>8.3689588653997928E-3</v>
      </c>
      <c r="O94" s="332">
        <f t="shared" si="39"/>
        <v>1.000011298200548</v>
      </c>
      <c r="P94" s="333">
        <f t="shared" si="40"/>
        <v>1.2140338567548176E-2</v>
      </c>
      <c r="Q94" s="334">
        <f t="shared" si="41"/>
        <v>26.905331875817183</v>
      </c>
      <c r="R94" s="335">
        <f t="shared" si="42"/>
        <v>-94.088139026679741</v>
      </c>
      <c r="S94" s="337">
        <f t="shared" si="43"/>
        <v>85.911860973320259</v>
      </c>
      <c r="U94" s="310">
        <f t="shared" si="49"/>
        <v>1000000000</v>
      </c>
      <c r="V94" s="310">
        <f t="shared" si="50"/>
        <v>3019948.84</v>
      </c>
      <c r="X94" s="336">
        <f t="shared" si="44"/>
        <v>8.081425024912976</v>
      </c>
      <c r="Y94" s="337">
        <f t="shared" si="51"/>
        <v>-63.200914193531098</v>
      </c>
      <c r="AA94" s="336">
        <f t="shared" si="45"/>
        <v>18.823906850904205</v>
      </c>
      <c r="AB94" s="337">
        <f t="shared" si="46"/>
        <v>-30.887224833148633</v>
      </c>
      <c r="AD94">
        <f t="shared" si="52"/>
        <v>0</v>
      </c>
      <c r="AE94">
        <f t="shared" si="53"/>
        <v>0</v>
      </c>
    </row>
    <row r="95" spans="1:31" x14ac:dyDescent="0.25">
      <c r="A95" s="338">
        <v>1905.5</v>
      </c>
      <c r="B95" s="355">
        <f t="shared" si="48"/>
        <v>1.9055</v>
      </c>
      <c r="C95" s="328">
        <f t="shared" si="27"/>
        <v>1.1867393054743267</v>
      </c>
      <c r="D95" s="329">
        <f t="shared" si="28"/>
        <v>0.56861965954160043</v>
      </c>
      <c r="E95" s="329">
        <f t="shared" si="29"/>
        <v>1.0000003122018337</v>
      </c>
      <c r="F95" s="330">
        <f t="shared" si="30"/>
        <v>7.901920684176266E-4</v>
      </c>
      <c r="G95" s="329">
        <f t="shared" si="31"/>
        <v>1</v>
      </c>
      <c r="H95" s="330">
        <f t="shared" si="32"/>
        <v>0</v>
      </c>
      <c r="I95" s="328">
        <f t="shared" si="33"/>
        <v>3455.8602595569828</v>
      </c>
      <c r="J95" s="331">
        <f t="shared" si="34"/>
        <v>1.5705069632388355</v>
      </c>
      <c r="K95" s="339">
        <f t="shared" si="35"/>
        <v>1.1485690291471982</v>
      </c>
      <c r="L95" s="340">
        <f t="shared" si="36"/>
        <v>0.514277025413167</v>
      </c>
      <c r="M95" s="328">
        <f t="shared" si="37"/>
        <v>1.0000421058391471</v>
      </c>
      <c r="N95" s="331">
        <f t="shared" si="38"/>
        <v>9.17653112914559E-3</v>
      </c>
      <c r="O95" s="332">
        <f t="shared" si="39"/>
        <v>1.0000135844556888</v>
      </c>
      <c r="P95" s="333">
        <f t="shared" si="40"/>
        <v>1.3311933033509037E-2</v>
      </c>
      <c r="Q95" s="334">
        <f t="shared" si="41"/>
        <v>26.068362723834412</v>
      </c>
      <c r="R95" s="335">
        <f t="shared" si="42"/>
        <v>-94.340243794201356</v>
      </c>
      <c r="S95" s="337">
        <f t="shared" si="43"/>
        <v>85.659756205798644</v>
      </c>
      <c r="U95" s="310">
        <f t="shared" si="49"/>
        <v>1000000000</v>
      </c>
      <c r="V95" s="310">
        <f t="shared" si="50"/>
        <v>3630930.25</v>
      </c>
      <c r="X95" s="336">
        <f t="shared" si="44"/>
        <v>7.4617119034170774</v>
      </c>
      <c r="Y95" s="337">
        <f t="shared" si="51"/>
        <v>-61.043294206798748</v>
      </c>
      <c r="AA95" s="336">
        <f t="shared" si="45"/>
        <v>18.606650820417336</v>
      </c>
      <c r="AB95" s="337">
        <f t="shared" si="46"/>
        <v>-33.296949587402601</v>
      </c>
      <c r="AD95">
        <f t="shared" si="52"/>
        <v>0</v>
      </c>
      <c r="AE95">
        <f t="shared" si="53"/>
        <v>0</v>
      </c>
    </row>
    <row r="96" spans="1:31" x14ac:dyDescent="0.25">
      <c r="A96" s="338">
        <v>2089.3000000000002</v>
      </c>
      <c r="B96" s="355">
        <f t="shared" si="48"/>
        <v>2.0893000000000002</v>
      </c>
      <c r="C96" s="328">
        <f t="shared" si="27"/>
        <v>1.2210350011446349</v>
      </c>
      <c r="D96" s="329">
        <f t="shared" si="28"/>
        <v>0.61116975574124532</v>
      </c>
      <c r="E96" s="329">
        <f t="shared" si="29"/>
        <v>1.0000003753350639</v>
      </c>
      <c r="F96" s="330">
        <f t="shared" si="30"/>
        <v>8.6641208032458715E-4</v>
      </c>
      <c r="G96" s="329">
        <f t="shared" si="31"/>
        <v>1</v>
      </c>
      <c r="H96" s="330">
        <f t="shared" si="32"/>
        <v>0</v>
      </c>
      <c r="I96" s="328">
        <f t="shared" si="33"/>
        <v>3789.2042977941646</v>
      </c>
      <c r="J96" s="331">
        <f t="shared" si="34"/>
        <v>1.5705324191422556</v>
      </c>
      <c r="K96" s="339">
        <f t="shared" si="35"/>
        <v>1.1763338846035301</v>
      </c>
      <c r="L96" s="340">
        <f t="shared" si="36"/>
        <v>0.55462348922957283</v>
      </c>
      <c r="M96" s="328">
        <f t="shared" si="37"/>
        <v>1.0000506202377406</v>
      </c>
      <c r="N96" s="331">
        <f t="shared" si="38"/>
        <v>1.0061620395579987E-2</v>
      </c>
      <c r="O96" s="332">
        <f t="shared" si="39"/>
        <v>1.0000163321567181</v>
      </c>
      <c r="P96" s="333">
        <f t="shared" si="40"/>
        <v>1.4596017520797474E-2</v>
      </c>
      <c r="Q96" s="334">
        <f t="shared" si="41"/>
        <v>25.228442875457894</v>
      </c>
      <c r="R96" s="335">
        <f t="shared" si="42"/>
        <v>-94.587878561594081</v>
      </c>
      <c r="S96" s="337">
        <f t="shared" si="43"/>
        <v>85.412121438405919</v>
      </c>
      <c r="U96" s="310">
        <f t="shared" si="49"/>
        <v>1000000000</v>
      </c>
      <c r="V96" s="310">
        <f t="shared" si="50"/>
        <v>4365174.4900000012</v>
      </c>
      <c r="X96" s="336">
        <f t="shared" si="44"/>
        <v>6.8692711036668488</v>
      </c>
      <c r="Y96" s="337">
        <f t="shared" si="51"/>
        <v>-58.783782504548206</v>
      </c>
      <c r="AA96" s="336">
        <f t="shared" si="45"/>
        <v>18.359171771791051</v>
      </c>
      <c r="AB96" s="337">
        <f t="shared" si="46"/>
        <v>-35.804096057045861</v>
      </c>
      <c r="AD96">
        <f t="shared" si="52"/>
        <v>0</v>
      </c>
      <c r="AE96">
        <f t="shared" si="53"/>
        <v>0</v>
      </c>
    </row>
    <row r="97" spans="1:31" x14ac:dyDescent="0.25">
      <c r="A97" s="338">
        <v>2290.9</v>
      </c>
      <c r="B97" s="355">
        <f t="shared" si="48"/>
        <v>2.2909000000000002</v>
      </c>
      <c r="C97" s="328">
        <f t="shared" si="27"/>
        <v>1.2610463598672768</v>
      </c>
      <c r="D97" s="329">
        <f t="shared" si="28"/>
        <v>0.65509138344626194</v>
      </c>
      <c r="E97" s="329">
        <f t="shared" si="29"/>
        <v>1.0000004512630534</v>
      </c>
      <c r="F97" s="330">
        <f t="shared" si="30"/>
        <v>9.5001356164481072E-4</v>
      </c>
      <c r="G97" s="329">
        <f t="shared" si="31"/>
        <v>1</v>
      </c>
      <c r="H97" s="330">
        <f t="shared" si="32"/>
        <v>0</v>
      </c>
      <c r="I97" s="328">
        <f t="shared" si="33"/>
        <v>4154.8308404507943</v>
      </c>
      <c r="J97" s="331">
        <f t="shared" si="34"/>
        <v>1.5705556431069065</v>
      </c>
      <c r="K97" s="339">
        <f t="shared" si="35"/>
        <v>1.208881306417579</v>
      </c>
      <c r="L97" s="340">
        <f t="shared" si="36"/>
        <v>0.59667039865974658</v>
      </c>
      <c r="M97" s="328">
        <f t="shared" si="37"/>
        <v>1.0000608600931795</v>
      </c>
      <c r="N97" s="331">
        <f t="shared" si="38"/>
        <v>1.1032407417615171E-2</v>
      </c>
      <c r="O97" s="332">
        <f t="shared" si="39"/>
        <v>1.0000196370096759</v>
      </c>
      <c r="P97" s="333">
        <f t="shared" si="40"/>
        <v>1.6004473378626424E-2</v>
      </c>
      <c r="Q97" s="334">
        <f t="shared" si="41"/>
        <v>24.385221686888563</v>
      </c>
      <c r="R97" s="335">
        <f t="shared" si="42"/>
        <v>-94.828153205363321</v>
      </c>
      <c r="S97" s="337">
        <f t="shared" si="43"/>
        <v>85.171846794636679</v>
      </c>
      <c r="U97" s="310">
        <f t="shared" si="49"/>
        <v>1000000000</v>
      </c>
      <c r="V97" s="310">
        <f t="shared" si="50"/>
        <v>5248222.8100000005</v>
      </c>
      <c r="X97" s="336">
        <f t="shared" si="44"/>
        <v>6.306136752749925</v>
      </c>
      <c r="Y97" s="337">
        <f t="shared" si="51"/>
        <v>-56.431624684269458</v>
      </c>
      <c r="AA97" s="336">
        <f t="shared" si="45"/>
        <v>18.079084934138642</v>
      </c>
      <c r="AB97" s="337">
        <f t="shared" si="46"/>
        <v>-38.396528521093856</v>
      </c>
      <c r="AD97">
        <f t="shared" si="52"/>
        <v>0</v>
      </c>
      <c r="AE97">
        <f t="shared" si="53"/>
        <v>0</v>
      </c>
    </row>
    <row r="98" spans="1:31" x14ac:dyDescent="0.25">
      <c r="A98" s="338">
        <v>2511.9</v>
      </c>
      <c r="B98" s="355">
        <f t="shared" si="48"/>
        <v>2.5119000000000002</v>
      </c>
      <c r="C98" s="328">
        <f t="shared" si="27"/>
        <v>1.3075204350232219</v>
      </c>
      <c r="D98" s="329">
        <f t="shared" si="28"/>
        <v>0.70005554595268116</v>
      </c>
      <c r="E98" s="329">
        <f t="shared" si="29"/>
        <v>1.0000005425280349</v>
      </c>
      <c r="F98" s="330">
        <f t="shared" si="30"/>
        <v>1.0416600114814541E-3</v>
      </c>
      <c r="G98" s="329">
        <f t="shared" si="31"/>
        <v>1</v>
      </c>
      <c r="H98" s="330">
        <f t="shared" si="32"/>
        <v>0</v>
      </c>
      <c r="I98" s="328">
        <f t="shared" si="33"/>
        <v>4555.6416854848158</v>
      </c>
      <c r="J98" s="331">
        <f t="shared" si="34"/>
        <v>1.5705768187481561</v>
      </c>
      <c r="K98" s="339">
        <f t="shared" si="35"/>
        <v>1.2468792804033324</v>
      </c>
      <c r="L98" s="340">
        <f t="shared" si="36"/>
        <v>0.64015654627615159</v>
      </c>
      <c r="M98" s="328">
        <f t="shared" si="37"/>
        <v>1.0000731681994293</v>
      </c>
      <c r="N98" s="331">
        <f t="shared" si="38"/>
        <v>1.2096589468662232E-2</v>
      </c>
      <c r="O98" s="332">
        <f t="shared" si="39"/>
        <v>1.0000236098492248</v>
      </c>
      <c r="P98" s="333">
        <f t="shared" si="40"/>
        <v>1.7548484914620851E-2</v>
      </c>
      <c r="Q98" s="334">
        <f t="shared" si="41"/>
        <v>23.53962312302771</v>
      </c>
      <c r="R98" s="335">
        <f t="shared" si="42"/>
        <v>-95.058238025661225</v>
      </c>
      <c r="S98" s="337">
        <f t="shared" si="43"/>
        <v>84.941761974338775</v>
      </c>
      <c r="U98" s="310">
        <f t="shared" si="49"/>
        <v>1000000000</v>
      </c>
      <c r="V98" s="310">
        <f t="shared" si="50"/>
        <v>6309641.6100000003</v>
      </c>
      <c r="X98" s="336">
        <f t="shared" si="44"/>
        <v>5.7749205484389794</v>
      </c>
      <c r="Y98" s="337">
        <f t="shared" si="51"/>
        <v>-54.002238370821246</v>
      </c>
      <c r="AA98" s="336">
        <f t="shared" si="45"/>
        <v>17.764702574588728</v>
      </c>
      <c r="AB98" s="337">
        <f t="shared" si="46"/>
        <v>-41.055999654839937</v>
      </c>
      <c r="AD98">
        <f t="shared" si="52"/>
        <v>0</v>
      </c>
      <c r="AE98">
        <f t="shared" si="53"/>
        <v>0</v>
      </c>
    </row>
    <row r="99" spans="1:31" x14ac:dyDescent="0.25">
      <c r="A99" s="338">
        <v>2754.2</v>
      </c>
      <c r="B99" s="355">
        <f t="shared" si="48"/>
        <v>2.7542</v>
      </c>
      <c r="C99" s="328">
        <f t="shared" si="27"/>
        <v>1.3612903774845677</v>
      </c>
      <c r="D99" s="329">
        <f t="shared" si="28"/>
        <v>0.74572360413716543</v>
      </c>
      <c r="E99" s="329">
        <f t="shared" si="29"/>
        <v>1.0000006522414839</v>
      </c>
      <c r="F99" s="330">
        <f t="shared" si="30"/>
        <v>1.1421393342814013E-3</v>
      </c>
      <c r="G99" s="329">
        <f t="shared" si="31"/>
        <v>1</v>
      </c>
      <c r="H99" s="330">
        <f t="shared" si="32"/>
        <v>0</v>
      </c>
      <c r="I99" s="328">
        <f t="shared" si="33"/>
        <v>4995.0827179883863</v>
      </c>
      <c r="J99" s="331">
        <f t="shared" si="34"/>
        <v>1.5705961299086511</v>
      </c>
      <c r="K99" s="339">
        <f t="shared" si="35"/>
        <v>1.2910788212854993</v>
      </c>
      <c r="L99" s="340">
        <f t="shared" si="36"/>
        <v>0.68479923667775999</v>
      </c>
      <c r="M99" s="328">
        <f t="shared" si="37"/>
        <v>1.0000879640893592</v>
      </c>
      <c r="N99" s="331">
        <f t="shared" si="38"/>
        <v>1.326330590582293E-2</v>
      </c>
      <c r="O99" s="332">
        <f t="shared" si="39"/>
        <v>1.0000283863818444</v>
      </c>
      <c r="P99" s="333">
        <f t="shared" si="40"/>
        <v>1.9241334445619419E-2</v>
      </c>
      <c r="Q99" s="334">
        <f t="shared" si="41"/>
        <v>22.692112743697454</v>
      </c>
      <c r="R99" s="335">
        <f t="shared" si="42"/>
        <v>-95.27617774040155</v>
      </c>
      <c r="S99" s="337">
        <f t="shared" si="43"/>
        <v>84.72382225959845</v>
      </c>
      <c r="U99" s="310">
        <f t="shared" si="49"/>
        <v>1000000000</v>
      </c>
      <c r="V99" s="310">
        <f t="shared" si="50"/>
        <v>7585617.6399999987</v>
      </c>
      <c r="X99" s="336">
        <f t="shared" si="44"/>
        <v>5.2774964941797151</v>
      </c>
      <c r="Y99" s="337">
        <f t="shared" si="51"/>
        <v>-51.512354997586492</v>
      </c>
      <c r="AA99" s="336">
        <f t="shared" si="45"/>
        <v>17.414616249517735</v>
      </c>
      <c r="AB99" s="337">
        <f t="shared" si="46"/>
        <v>-43.763822742815044</v>
      </c>
      <c r="AD99">
        <f t="shared" si="52"/>
        <v>0</v>
      </c>
      <c r="AE99">
        <f t="shared" si="53"/>
        <v>0</v>
      </c>
    </row>
    <row r="100" spans="1:31" x14ac:dyDescent="0.25">
      <c r="A100" s="338">
        <v>3020</v>
      </c>
      <c r="B100" s="355">
        <f t="shared" si="48"/>
        <v>3.02</v>
      </c>
      <c r="C100" s="328">
        <f t="shared" si="27"/>
        <v>1.4232778292058392</v>
      </c>
      <c r="D100" s="329">
        <f t="shared" si="28"/>
        <v>0.79174664023171248</v>
      </c>
      <c r="E100" s="329">
        <f t="shared" si="29"/>
        <v>1.0000007842081053</v>
      </c>
      <c r="F100" s="330">
        <f t="shared" si="30"/>
        <v>1.2523638392534348E-3</v>
      </c>
      <c r="G100" s="329">
        <f t="shared" si="31"/>
        <v>1</v>
      </c>
      <c r="H100" s="330">
        <f t="shared" si="32"/>
        <v>0</v>
      </c>
      <c r="I100" s="328">
        <f t="shared" si="33"/>
        <v>5477.1439101932647</v>
      </c>
      <c r="J100" s="331">
        <f t="shared" si="34"/>
        <v>1.5706137498858448</v>
      </c>
      <c r="K100" s="339">
        <f t="shared" si="35"/>
        <v>1.3423166138362363</v>
      </c>
      <c r="L100" s="340">
        <f t="shared" si="36"/>
        <v>0.73029038512949729</v>
      </c>
      <c r="M100" s="328">
        <f t="shared" si="37"/>
        <v>1.0001057607409449</v>
      </c>
      <c r="N100" s="331">
        <f t="shared" si="38"/>
        <v>1.4543137259479222E-2</v>
      </c>
      <c r="O100" s="332">
        <f t="shared" si="39"/>
        <v>1.0000341326295041</v>
      </c>
      <c r="P100" s="333">
        <f t="shared" si="40"/>
        <v>2.1098403047602791E-2</v>
      </c>
      <c r="Q100" s="334">
        <f t="shared" si="41"/>
        <v>21.842946040177154</v>
      </c>
      <c r="R100" s="335">
        <f t="shared" si="42"/>
        <v>-95.481077937351245</v>
      </c>
      <c r="S100" s="337">
        <f t="shared" si="43"/>
        <v>84.518922062648755</v>
      </c>
      <c r="U100" s="310">
        <f t="shared" si="49"/>
        <v>1000000000</v>
      </c>
      <c r="V100" s="310">
        <f t="shared" si="50"/>
        <v>9120400</v>
      </c>
      <c r="X100" s="336">
        <f t="shared" si="44"/>
        <v>4.8151567468998735</v>
      </c>
      <c r="Y100" s="337">
        <f t="shared" si="51"/>
        <v>-48.98024266858684</v>
      </c>
      <c r="AA100" s="336">
        <f t="shared" si="45"/>
        <v>17.027789293277284</v>
      </c>
      <c r="AB100" s="337">
        <f t="shared" si="46"/>
        <v>-46.500835268764433</v>
      </c>
      <c r="AD100">
        <f t="shared" si="52"/>
        <v>0</v>
      </c>
      <c r="AE100">
        <f t="shared" si="53"/>
        <v>0</v>
      </c>
    </row>
    <row r="101" spans="1:31" x14ac:dyDescent="0.25">
      <c r="A101" s="338">
        <v>3311.3</v>
      </c>
      <c r="B101" s="355">
        <f t="shared" si="48"/>
        <v>3.3113000000000001</v>
      </c>
      <c r="C101" s="328">
        <f t="shared" si="27"/>
        <v>1.4943689734346479</v>
      </c>
      <c r="D101" s="329">
        <f t="shared" si="28"/>
        <v>0.83769322090204024</v>
      </c>
      <c r="E101" s="329">
        <f t="shared" si="29"/>
        <v>1.0000009427889085</v>
      </c>
      <c r="F101" s="330">
        <f t="shared" si="30"/>
        <v>1.3731628948682694E-3</v>
      </c>
      <c r="G101" s="329">
        <f t="shared" si="31"/>
        <v>1</v>
      </c>
      <c r="H101" s="330">
        <f t="shared" si="32"/>
        <v>0</v>
      </c>
      <c r="I101" s="328">
        <f t="shared" si="33"/>
        <v>6005.4525095952549</v>
      </c>
      <c r="J101" s="331">
        <f t="shared" si="34"/>
        <v>1.5706298114485471</v>
      </c>
      <c r="K101" s="339">
        <f t="shared" si="35"/>
        <v>1.401411778897113</v>
      </c>
      <c r="L101" s="340">
        <f t="shared" si="36"/>
        <v>0.77622100548442896</v>
      </c>
      <c r="M101" s="328">
        <f t="shared" si="37"/>
        <v>1.0001271460912591</v>
      </c>
      <c r="N101" s="331">
        <f t="shared" si="38"/>
        <v>1.5945696657517848E-2</v>
      </c>
      <c r="O101" s="332">
        <f t="shared" si="39"/>
        <v>1.000041039030992</v>
      </c>
      <c r="P101" s="333">
        <f t="shared" si="40"/>
        <v>2.31336780778559E-2</v>
      </c>
      <c r="Q101" s="334">
        <f t="shared" si="41"/>
        <v>20.993722807806549</v>
      </c>
      <c r="R101" s="335">
        <f t="shared" si="42"/>
        <v>-95.672964783387627</v>
      </c>
      <c r="S101" s="337">
        <f t="shared" si="43"/>
        <v>84.327035216612373</v>
      </c>
      <c r="U101" s="310">
        <f t="shared" si="49"/>
        <v>1000000000</v>
      </c>
      <c r="V101" s="310">
        <f t="shared" si="50"/>
        <v>10964707.690000001</v>
      </c>
      <c r="X101" s="336">
        <f t="shared" si="44"/>
        <v>4.3893552778385621</v>
      </c>
      <c r="Y101" s="337">
        <f t="shared" si="51"/>
        <v>-46.429892962696627</v>
      </c>
      <c r="AA101" s="336">
        <f t="shared" si="45"/>
        <v>16.604367529967984</v>
      </c>
      <c r="AB101" s="337">
        <f t="shared" si="46"/>
        <v>-49.243071820691014</v>
      </c>
      <c r="AD101">
        <f t="shared" si="52"/>
        <v>0</v>
      </c>
      <c r="AE101">
        <f t="shared" si="53"/>
        <v>0</v>
      </c>
    </row>
    <row r="102" spans="1:31" x14ac:dyDescent="0.25">
      <c r="A102" s="338">
        <v>3630.8</v>
      </c>
      <c r="B102" s="355">
        <f t="shared" si="48"/>
        <v>3.6308000000000002</v>
      </c>
      <c r="C102" s="328">
        <f t="shared" si="27"/>
        <v>1.5756219866398355</v>
      </c>
      <c r="D102" s="329">
        <f t="shared" si="28"/>
        <v>0.88321491469688296</v>
      </c>
      <c r="E102" s="329">
        <f t="shared" si="29"/>
        <v>1.0000011335012895</v>
      </c>
      <c r="F102" s="330">
        <f t="shared" si="30"/>
        <v>1.5056561485824256E-3</v>
      </c>
      <c r="G102" s="329">
        <f t="shared" si="31"/>
        <v>1</v>
      </c>
      <c r="H102" s="330">
        <f t="shared" si="32"/>
        <v>0</v>
      </c>
      <c r="I102" s="328">
        <f t="shared" si="33"/>
        <v>6584.9053003284489</v>
      </c>
      <c r="J102" s="331">
        <f t="shared" si="34"/>
        <v>1.570644464321826</v>
      </c>
      <c r="K102" s="339">
        <f t="shared" si="35"/>
        <v>1.469336261838728</v>
      </c>
      <c r="L102" s="340">
        <f t="shared" si="36"/>
        <v>0.82224317282574932</v>
      </c>
      <c r="M102" s="328">
        <f t="shared" si="37"/>
        <v>1.0001528639314059</v>
      </c>
      <c r="N102" s="331">
        <f t="shared" si="38"/>
        <v>1.7483961858100455E-2</v>
      </c>
      <c r="O102" s="332">
        <f t="shared" si="39"/>
        <v>1.0000493466660725</v>
      </c>
      <c r="P102" s="333">
        <f t="shared" si="40"/>
        <v>2.5366042437920761E-2</v>
      </c>
      <c r="Q102" s="334">
        <f t="shared" si="41"/>
        <v>20.144577881737842</v>
      </c>
      <c r="R102" s="335">
        <f t="shared" si="42"/>
        <v>-95.853579165100129</v>
      </c>
      <c r="S102" s="337">
        <f t="shared" si="43"/>
        <v>84.146420834899871</v>
      </c>
      <c r="U102" s="310">
        <f t="shared" si="49"/>
        <v>1000000000</v>
      </c>
      <c r="V102" s="310">
        <f t="shared" si="50"/>
        <v>13182708.640000001</v>
      </c>
      <c r="X102" s="336">
        <f t="shared" si="44"/>
        <v>4.0001646595799976</v>
      </c>
      <c r="Y102" s="337">
        <f t="shared" si="51"/>
        <v>-43.881992658644613</v>
      </c>
      <c r="AA102" s="336">
        <f t="shared" si="45"/>
        <v>16.144413222157848</v>
      </c>
      <c r="AB102" s="337">
        <f t="shared" si="46"/>
        <v>-51.971586506455509</v>
      </c>
      <c r="AD102">
        <f t="shared" si="52"/>
        <v>0</v>
      </c>
      <c r="AE102">
        <f t="shared" si="53"/>
        <v>0</v>
      </c>
    </row>
    <row r="103" spans="1:31" x14ac:dyDescent="0.25">
      <c r="A103" s="338">
        <v>3981.1</v>
      </c>
      <c r="B103" s="355">
        <f t="shared" si="48"/>
        <v>3.9811000000000001</v>
      </c>
      <c r="C103" s="328">
        <f t="shared" si="27"/>
        <v>1.6680722487433439</v>
      </c>
      <c r="D103" s="329">
        <f t="shared" si="28"/>
        <v>0.92792704729608844</v>
      </c>
      <c r="E103" s="329">
        <f t="shared" si="29"/>
        <v>1.0000013627728996</v>
      </c>
      <c r="F103" s="330">
        <f t="shared" si="30"/>
        <v>1.650921773969213E-3</v>
      </c>
      <c r="G103" s="329">
        <f t="shared" si="31"/>
        <v>1</v>
      </c>
      <c r="H103" s="330">
        <f t="shared" si="32"/>
        <v>0</v>
      </c>
      <c r="I103" s="328">
        <f t="shared" si="33"/>
        <v>7220.2177041645382</v>
      </c>
      <c r="J103" s="331">
        <f t="shared" si="34"/>
        <v>1.5706578268155096</v>
      </c>
      <c r="K103" s="339">
        <f t="shared" si="35"/>
        <v>1.5470514214212188</v>
      </c>
      <c r="L103" s="340">
        <f t="shared" si="36"/>
        <v>0.86795149419465789</v>
      </c>
      <c r="M103" s="328">
        <f t="shared" si="37"/>
        <v>1.0001837806704377</v>
      </c>
      <c r="N103" s="331">
        <f t="shared" si="38"/>
        <v>1.917042142148449E-2</v>
      </c>
      <c r="O103" s="332">
        <f t="shared" si="39"/>
        <v>1.000059336672839</v>
      </c>
      <c r="P103" s="333">
        <f t="shared" si="40"/>
        <v>2.7813686696457798E-2</v>
      </c>
      <c r="Q103" s="334">
        <f t="shared" si="41"/>
        <v>19.296623985601624</v>
      </c>
      <c r="R103" s="335">
        <f t="shared" si="42"/>
        <v>-96.025810961508427</v>
      </c>
      <c r="S103" s="337">
        <f t="shared" si="43"/>
        <v>83.974189038491573</v>
      </c>
      <c r="U103" s="310">
        <f t="shared" si="49"/>
        <v>1000000000</v>
      </c>
      <c r="V103" s="310">
        <f t="shared" si="50"/>
        <v>15849157.209999999</v>
      </c>
      <c r="X103" s="336">
        <f t="shared" si="44"/>
        <v>3.6475520343167527</v>
      </c>
      <c r="Y103" s="337">
        <f t="shared" si="51"/>
        <v>-41.360491382490501</v>
      </c>
      <c r="AA103" s="336">
        <f t="shared" si="45"/>
        <v>15.649071951284872</v>
      </c>
      <c r="AB103" s="337">
        <f t="shared" si="46"/>
        <v>-54.66531957901794</v>
      </c>
      <c r="AD103">
        <f t="shared" si="52"/>
        <v>0</v>
      </c>
      <c r="AE103">
        <f t="shared" si="53"/>
        <v>0</v>
      </c>
    </row>
    <row r="104" spans="1:31" x14ac:dyDescent="0.25">
      <c r="A104" s="338">
        <v>4365.2</v>
      </c>
      <c r="B104" s="355">
        <f t="shared" si="48"/>
        <v>4.3651999999999997</v>
      </c>
      <c r="C104" s="328">
        <f t="shared" si="27"/>
        <v>1.7728521562727273</v>
      </c>
      <c r="D104" s="329">
        <f t="shared" si="28"/>
        <v>0.97149847359278252</v>
      </c>
      <c r="E104" s="329">
        <f t="shared" si="29"/>
        <v>1.000001638421161</v>
      </c>
      <c r="F104" s="330">
        <f t="shared" si="30"/>
        <v>1.8102038138722452E-3</v>
      </c>
      <c r="G104" s="329">
        <f t="shared" si="31"/>
        <v>1</v>
      </c>
      <c r="H104" s="330">
        <f t="shared" si="32"/>
        <v>0</v>
      </c>
      <c r="I104" s="328">
        <f t="shared" si="33"/>
        <v>7916.8305923894595</v>
      </c>
      <c r="J104" s="331">
        <f t="shared" si="34"/>
        <v>1.5706700136205791</v>
      </c>
      <c r="K104" s="339">
        <f t="shared" si="35"/>
        <v>1.6356054195013894</v>
      </c>
      <c r="L104" s="340">
        <f t="shared" si="36"/>
        <v>0.9129748227046377</v>
      </c>
      <c r="M104" s="328">
        <f t="shared" si="37"/>
        <v>1.000220949936423</v>
      </c>
      <c r="N104" s="331">
        <f t="shared" si="38"/>
        <v>2.1019479617564035E-2</v>
      </c>
      <c r="O104" s="332">
        <f t="shared" si="39"/>
        <v>1.0000713513290711</v>
      </c>
      <c r="P104" s="333">
        <f t="shared" si="40"/>
        <v>3.0497604586694215E-2</v>
      </c>
      <c r="Q104" s="334">
        <f t="shared" si="41"/>
        <v>18.450500641614354</v>
      </c>
      <c r="R104" s="335">
        <f t="shared" si="42"/>
        <v>-96.193915554850733</v>
      </c>
      <c r="S104" s="337">
        <f t="shared" si="43"/>
        <v>83.806084445149267</v>
      </c>
      <c r="U104" s="310">
        <f t="shared" si="49"/>
        <v>1000000000</v>
      </c>
      <c r="V104" s="310">
        <f t="shared" si="50"/>
        <v>19054971.039999999</v>
      </c>
      <c r="X104" s="336">
        <f t="shared" si="44"/>
        <v>3.3306839020839929</v>
      </c>
      <c r="Y104" s="337">
        <f t="shared" si="51"/>
        <v>-38.887486159617467</v>
      </c>
      <c r="AA104" s="336">
        <f t="shared" si="45"/>
        <v>15.119816739530357</v>
      </c>
      <c r="AB104" s="337">
        <f t="shared" si="46"/>
        <v>-57.306429395233266</v>
      </c>
      <c r="AD104">
        <f t="shared" si="52"/>
        <v>0</v>
      </c>
      <c r="AE104">
        <f t="shared" si="53"/>
        <v>0</v>
      </c>
    </row>
    <row r="105" spans="1:31" x14ac:dyDescent="0.25">
      <c r="A105" s="338">
        <v>4786.3</v>
      </c>
      <c r="B105" s="355">
        <f t="shared" si="48"/>
        <v>4.7862999999999998</v>
      </c>
      <c r="C105" s="328">
        <f t="shared" si="27"/>
        <v>1.8911393982506461</v>
      </c>
      <c r="D105" s="329">
        <f t="shared" si="28"/>
        <v>1.0136317374344574</v>
      </c>
      <c r="E105" s="329">
        <f t="shared" si="29"/>
        <v>1.0000019697767901</v>
      </c>
      <c r="F105" s="330">
        <f t="shared" si="30"/>
        <v>1.9848292404448646E-3</v>
      </c>
      <c r="G105" s="329">
        <f t="shared" si="31"/>
        <v>1</v>
      </c>
      <c r="H105" s="330">
        <f t="shared" si="32"/>
        <v>0</v>
      </c>
      <c r="I105" s="328">
        <f t="shared" si="33"/>
        <v>8680.5475610517387</v>
      </c>
      <c r="J105" s="331">
        <f t="shared" si="34"/>
        <v>1.5706811266885463</v>
      </c>
      <c r="K105" s="339">
        <f t="shared" si="35"/>
        <v>1.7360876310576117</v>
      </c>
      <c r="L105" s="340">
        <f t="shared" si="36"/>
        <v>0.95695985841432218</v>
      </c>
      <c r="M105" s="328">
        <f t="shared" si="37"/>
        <v>1.000265629142042</v>
      </c>
      <c r="N105" s="331">
        <f t="shared" si="38"/>
        <v>2.3046490246135212E-2</v>
      </c>
      <c r="O105" s="332">
        <f t="shared" si="39"/>
        <v>1.0000857997169592</v>
      </c>
      <c r="P105" s="333">
        <f t="shared" si="40"/>
        <v>3.3440198276790983E-2</v>
      </c>
      <c r="Q105" s="334">
        <f t="shared" si="41"/>
        <v>17.60691625650108</v>
      </c>
      <c r="R105" s="335">
        <f t="shared" si="42"/>
        <v>-96.3631856276495</v>
      </c>
      <c r="S105" s="337">
        <f t="shared" si="43"/>
        <v>83.6368143723505</v>
      </c>
      <c r="U105" s="310">
        <f t="shared" si="49"/>
        <v>1000000000</v>
      </c>
      <c r="V105" s="310">
        <f t="shared" si="50"/>
        <v>22908667.690000001</v>
      </c>
      <c r="X105" s="336">
        <f t="shared" si="44"/>
        <v>3.0482425758742564</v>
      </c>
      <c r="Y105" s="337">
        <f t="shared" si="51"/>
        <v>-36.484105134911317</v>
      </c>
      <c r="AA105" s="336">
        <f t="shared" si="45"/>
        <v>14.558673680626821</v>
      </c>
      <c r="AB105" s="337">
        <f t="shared" si="46"/>
        <v>-59.879080492738161</v>
      </c>
      <c r="AD105">
        <f t="shared" si="52"/>
        <v>0</v>
      </c>
      <c r="AE105">
        <f t="shared" si="53"/>
        <v>0</v>
      </c>
    </row>
    <row r="106" spans="1:31" x14ac:dyDescent="0.25">
      <c r="A106" s="338">
        <v>5248.1</v>
      </c>
      <c r="B106" s="355">
        <f t="shared" si="48"/>
        <v>5.2481</v>
      </c>
      <c r="C106" s="328">
        <f t="shared" si="27"/>
        <v>2.0242418708326166</v>
      </c>
      <c r="D106" s="329">
        <f t="shared" si="28"/>
        <v>1.0540980786199146</v>
      </c>
      <c r="E106" s="329">
        <f t="shared" si="29"/>
        <v>1.000002368215942</v>
      </c>
      <c r="F106" s="330">
        <f t="shared" si="30"/>
        <v>2.1763323589969932E-3</v>
      </c>
      <c r="G106" s="329">
        <f t="shared" si="31"/>
        <v>1</v>
      </c>
      <c r="H106" s="330">
        <f t="shared" si="32"/>
        <v>0</v>
      </c>
      <c r="I106" s="328">
        <f t="shared" si="33"/>
        <v>9518.0790180926451</v>
      </c>
      <c r="J106" s="331">
        <f t="shared" si="34"/>
        <v>1.5706912635778401</v>
      </c>
      <c r="K106" s="339">
        <f t="shared" si="35"/>
        <v>1.8496986936210265</v>
      </c>
      <c r="L106" s="340">
        <f t="shared" si="36"/>
        <v>0.99961219509418298</v>
      </c>
      <c r="M106" s="328">
        <f t="shared" si="37"/>
        <v>1.000319351107523</v>
      </c>
      <c r="N106" s="331">
        <f t="shared" si="38"/>
        <v>2.5269196388823273E-2</v>
      </c>
      <c r="O106" s="332">
        <f t="shared" si="39"/>
        <v>1.0001031813299062</v>
      </c>
      <c r="P106" s="333">
        <f t="shared" si="40"/>
        <v>3.6667378293506601E-2</v>
      </c>
      <c r="Q106" s="334">
        <f t="shared" si="41"/>
        <v>16.766068279404497</v>
      </c>
      <c r="R106" s="335">
        <f t="shared" si="42"/>
        <v>-96.539801268265236</v>
      </c>
      <c r="S106" s="337">
        <f t="shared" si="43"/>
        <v>83.460198731734764</v>
      </c>
      <c r="U106" s="310">
        <f t="shared" si="49"/>
        <v>1000000000</v>
      </c>
      <c r="V106" s="310">
        <f t="shared" si="50"/>
        <v>27542553.610000003</v>
      </c>
      <c r="X106" s="336">
        <f t="shared" si="44"/>
        <v>2.7983193275133194</v>
      </c>
      <c r="Y106" s="337">
        <f t="shared" si="51"/>
        <v>-34.168238736185749</v>
      </c>
      <c r="AA106" s="336">
        <f t="shared" si="45"/>
        <v>13.967748951891179</v>
      </c>
      <c r="AB106" s="337">
        <f t="shared" si="46"/>
        <v>-62.371562532079494</v>
      </c>
      <c r="AD106">
        <f t="shared" si="52"/>
        <v>0</v>
      </c>
      <c r="AE106">
        <f t="shared" si="53"/>
        <v>0</v>
      </c>
    </row>
    <row r="107" spans="1:31" x14ac:dyDescent="0.25">
      <c r="A107" s="338">
        <v>5370.3</v>
      </c>
      <c r="B107" s="355">
        <f t="shared" si="48"/>
        <v>5.3703000000000003</v>
      </c>
      <c r="C107" s="328">
        <f t="shared" si="27"/>
        <v>2.0599721687752703</v>
      </c>
      <c r="D107" s="329">
        <f t="shared" si="28"/>
        <v>1.0639260042763479</v>
      </c>
      <c r="E107" s="329">
        <f t="shared" si="29"/>
        <v>1.0000024797857912</v>
      </c>
      <c r="F107" s="330">
        <f t="shared" si="30"/>
        <v>2.2270072594279384E-3</v>
      </c>
      <c r="G107" s="329">
        <f t="shared" si="31"/>
        <v>1</v>
      </c>
      <c r="H107" s="330">
        <f t="shared" si="32"/>
        <v>0</v>
      </c>
      <c r="I107" s="328">
        <f t="shared" si="33"/>
        <v>9739.7038429470249</v>
      </c>
      <c r="J107" s="331">
        <f t="shared" si="34"/>
        <v>1.5706936542683103</v>
      </c>
      <c r="K107" s="339">
        <f t="shared" si="35"/>
        <v>1.8802819272431606</v>
      </c>
      <c r="L107" s="340">
        <f t="shared" si="36"/>
        <v>1.0100302093070708</v>
      </c>
      <c r="M107" s="328">
        <f t="shared" si="37"/>
        <v>1.0003343936731712</v>
      </c>
      <c r="N107" s="331">
        <f t="shared" si="38"/>
        <v>2.5857320709843399E-2</v>
      </c>
      <c r="O107" s="332">
        <f t="shared" si="39"/>
        <v>1.0001080500716257</v>
      </c>
      <c r="P107" s="333">
        <f t="shared" si="40"/>
        <v>3.7521377745212824E-2</v>
      </c>
      <c r="Q107" s="334">
        <f t="shared" si="41"/>
        <v>16.55642809704095</v>
      </c>
      <c r="R107" s="335">
        <f t="shared" si="42"/>
        <v>-96.585852808758887</v>
      </c>
      <c r="S107" s="337">
        <f t="shared" si="43"/>
        <v>83.414147191241113</v>
      </c>
      <c r="U107" s="310">
        <f t="shared" si="49"/>
        <v>1000000000</v>
      </c>
      <c r="V107" s="310">
        <f t="shared" si="50"/>
        <v>28840122.090000004</v>
      </c>
      <c r="X107" s="336">
        <f t="shared" si="44"/>
        <v>2.7406994412350749</v>
      </c>
      <c r="Y107" s="337">
        <f t="shared" si="51"/>
        <v>-33.605164508134088</v>
      </c>
      <c r="AA107" s="336">
        <f t="shared" si="45"/>
        <v>13.815728655805877</v>
      </c>
      <c r="AB107" s="337">
        <f t="shared" si="46"/>
        <v>-62.980688300624806</v>
      </c>
      <c r="AD107">
        <f t="shared" si="52"/>
        <v>0</v>
      </c>
      <c r="AE107">
        <f t="shared" si="53"/>
        <v>0</v>
      </c>
    </row>
    <row r="108" spans="1:31" x14ac:dyDescent="0.25">
      <c r="A108" s="338">
        <v>5432.85</v>
      </c>
      <c r="B108" s="355">
        <f t="shared" si="48"/>
        <v>5.4328500000000002</v>
      </c>
      <c r="C108" s="328">
        <f t="shared" si="27"/>
        <v>2.078336271259754</v>
      </c>
      <c r="D108" s="329">
        <f t="shared" si="28"/>
        <v>1.068825589360781</v>
      </c>
      <c r="E108" s="329">
        <f t="shared" si="29"/>
        <v>1.0000025378882138</v>
      </c>
      <c r="F108" s="330">
        <f t="shared" si="30"/>
        <v>2.2529460031525139E-3</v>
      </c>
      <c r="G108" s="329">
        <f t="shared" si="31"/>
        <v>1</v>
      </c>
      <c r="H108" s="330">
        <f t="shared" si="32"/>
        <v>0</v>
      </c>
      <c r="I108" s="328">
        <f t="shared" si="33"/>
        <v>9853.1460098634234</v>
      </c>
      <c r="J108" s="331">
        <f t="shared" si="34"/>
        <v>1.5706948363672997</v>
      </c>
      <c r="K108" s="339">
        <f t="shared" si="35"/>
        <v>1.8960134749221054</v>
      </c>
      <c r="L108" s="340">
        <f t="shared" si="36"/>
        <v>1.0152325013286079</v>
      </c>
      <c r="M108" s="328">
        <f t="shared" si="37"/>
        <v>1.0003422273271185</v>
      </c>
      <c r="N108" s="331">
        <f t="shared" si="38"/>
        <v>2.6158354535138994E-2</v>
      </c>
      <c r="O108" s="332">
        <f t="shared" si="39"/>
        <v>1.0001105858500565</v>
      </c>
      <c r="P108" s="333">
        <f t="shared" si="40"/>
        <v>3.7958516532445093E-2</v>
      </c>
      <c r="Q108" s="334">
        <f t="shared" si="41"/>
        <v>16.451034891049922</v>
      </c>
      <c r="R108" s="335">
        <f t="shared" si="42"/>
        <v>-96.60938470285214</v>
      </c>
      <c r="S108" s="337">
        <f t="shared" si="43"/>
        <v>83.39061529714786</v>
      </c>
      <c r="U108" s="310">
        <f t="shared" si="49"/>
        <v>1000000000</v>
      </c>
      <c r="V108" s="310">
        <f t="shared" si="50"/>
        <v>29515859.122500002</v>
      </c>
      <c r="X108" s="336">
        <f t="shared" si="44"/>
        <v>2.7124170363105344</v>
      </c>
      <c r="Y108" s="337">
        <f t="shared" si="51"/>
        <v>-33.324410828147791</v>
      </c>
      <c r="AA108" s="336">
        <f t="shared" si="45"/>
        <v>13.738617854739385</v>
      </c>
      <c r="AB108" s="337">
        <f t="shared" si="46"/>
        <v>-63.284973874704356</v>
      </c>
      <c r="AD108">
        <f t="shared" si="52"/>
        <v>0</v>
      </c>
      <c r="AE108">
        <f t="shared" si="53"/>
        <v>0</v>
      </c>
    </row>
    <row r="109" spans="1:31" x14ac:dyDescent="0.25">
      <c r="A109" s="338">
        <v>5495.4</v>
      </c>
      <c r="B109" s="355">
        <f t="shared" si="48"/>
        <v>5.4954000000000001</v>
      </c>
      <c r="C109" s="328">
        <f t="shared" si="27"/>
        <v>2.0967493915040754</v>
      </c>
      <c r="D109" s="329">
        <f t="shared" si="28"/>
        <v>1.0736392344960439</v>
      </c>
      <c r="E109" s="329">
        <f t="shared" si="29"/>
        <v>1.0000025966634567</v>
      </c>
      <c r="F109" s="330">
        <f t="shared" si="30"/>
        <v>2.2788847438454372E-3</v>
      </c>
      <c r="G109" s="329">
        <f t="shared" si="31"/>
        <v>1</v>
      </c>
      <c r="H109" s="330">
        <f t="shared" si="32"/>
        <v>0</v>
      </c>
      <c r="I109" s="328">
        <f t="shared" si="33"/>
        <v>9966.5881767932769</v>
      </c>
      <c r="J109" s="331">
        <f t="shared" si="34"/>
        <v>1.5706959915564038</v>
      </c>
      <c r="K109" s="339">
        <f t="shared" si="35"/>
        <v>1.9117954907254677</v>
      </c>
      <c r="L109" s="340">
        <f t="shared" si="36"/>
        <v>1.0203490393020314</v>
      </c>
      <c r="M109" s="328">
        <f t="shared" si="37"/>
        <v>1.0003501516320186</v>
      </c>
      <c r="N109" s="331">
        <f t="shared" si="38"/>
        <v>2.6459383618416234E-2</v>
      </c>
      <c r="O109" s="332">
        <f t="shared" si="39"/>
        <v>1.0001131511844481</v>
      </c>
      <c r="P109" s="333">
        <f t="shared" si="40"/>
        <v>3.8395659224760223E-2</v>
      </c>
      <c r="Q109" s="334">
        <f t="shared" si="41"/>
        <v>16.346898512043765</v>
      </c>
      <c r="R109" s="335">
        <f t="shared" si="42"/>
        <v>-96.632904355997411</v>
      </c>
      <c r="S109" s="337">
        <f t="shared" si="43"/>
        <v>83.367095644002589</v>
      </c>
      <c r="U109" s="310">
        <f t="shared" si="49"/>
        <v>1000000000</v>
      </c>
      <c r="V109" s="310">
        <f t="shared" si="50"/>
        <v>30199421.159999996</v>
      </c>
      <c r="X109" s="336">
        <f t="shared" si="44"/>
        <v>2.6849165993352297</v>
      </c>
      <c r="Y109" s="337">
        <f t="shared" si="51"/>
        <v>-33.048568679679697</v>
      </c>
      <c r="AA109" s="336">
        <f t="shared" si="45"/>
        <v>13.661981912708537</v>
      </c>
      <c r="AB109" s="337">
        <f t="shared" si="46"/>
        <v>-63.584335676317721</v>
      </c>
      <c r="AD109">
        <f t="shared" si="52"/>
        <v>0</v>
      </c>
      <c r="AE109">
        <f t="shared" si="53"/>
        <v>0</v>
      </c>
    </row>
    <row r="110" spans="1:31" x14ac:dyDescent="0.25">
      <c r="A110" s="338">
        <v>5559.4</v>
      </c>
      <c r="B110" s="355">
        <f t="shared" si="48"/>
        <v>5.5593999999999992</v>
      </c>
      <c r="C110" s="328">
        <f t="shared" si="27"/>
        <v>2.1156387550905964</v>
      </c>
      <c r="D110" s="329">
        <f t="shared" si="28"/>
        <v>1.0784776264908276</v>
      </c>
      <c r="E110" s="329">
        <f t="shared" si="29"/>
        <v>1.0000026574975913</v>
      </c>
      <c r="F110" s="330">
        <f t="shared" si="30"/>
        <v>2.3054247791099501E-3</v>
      </c>
      <c r="G110" s="329">
        <f t="shared" si="31"/>
        <v>1</v>
      </c>
      <c r="H110" s="330">
        <f t="shared" si="32"/>
        <v>0</v>
      </c>
      <c r="I110" s="328">
        <f t="shared" si="33"/>
        <v>10082.660098205783</v>
      </c>
      <c r="J110" s="331">
        <f t="shared" si="34"/>
        <v>1.5706971466190403</v>
      </c>
      <c r="K110" s="339">
        <f t="shared" si="35"/>
        <v>1.9279943004697628</v>
      </c>
      <c r="L110" s="340">
        <f t="shared" si="36"/>
        <v>1.0254973477546128</v>
      </c>
      <c r="M110" s="328">
        <f t="shared" si="37"/>
        <v>1.0003583534590283</v>
      </c>
      <c r="N110" s="331">
        <f t="shared" si="38"/>
        <v>2.6767386028821578E-2</v>
      </c>
      <c r="O110" s="332">
        <f t="shared" si="39"/>
        <v>1.000115806585558</v>
      </c>
      <c r="P110" s="333">
        <f t="shared" si="40"/>
        <v>3.8842939609244793E-2</v>
      </c>
      <c r="Q110" s="334">
        <f t="shared" si="41"/>
        <v>16.241618986789106</v>
      </c>
      <c r="R110" s="335">
        <f t="shared" si="42"/>
        <v>-96.656967515682894</v>
      </c>
      <c r="S110" s="337">
        <f t="shared" si="43"/>
        <v>83.343032484317106</v>
      </c>
      <c r="U110" s="310">
        <f t="shared" si="49"/>
        <v>1000000000</v>
      </c>
      <c r="V110" s="310">
        <f t="shared" si="50"/>
        <v>30906928.359999996</v>
      </c>
      <c r="X110" s="336">
        <f t="shared" si="44"/>
        <v>2.6575593743876391</v>
      </c>
      <c r="Y110" s="337">
        <f t="shared" si="51"/>
        <v>-32.771305751808661</v>
      </c>
      <c r="AA110" s="336">
        <f t="shared" si="45"/>
        <v>13.584059612401468</v>
      </c>
      <c r="AB110" s="337">
        <f t="shared" si="46"/>
        <v>-63.885661763874204</v>
      </c>
      <c r="AD110">
        <f t="shared" si="52"/>
        <v>0</v>
      </c>
      <c r="AE110">
        <f t="shared" si="53"/>
        <v>0</v>
      </c>
    </row>
    <row r="111" spans="1:31" x14ac:dyDescent="0.25">
      <c r="A111" s="338">
        <v>5623.4</v>
      </c>
      <c r="B111" s="355">
        <f t="shared" si="48"/>
        <v>5.6233999999999993</v>
      </c>
      <c r="C111" s="328">
        <f t="shared" si="27"/>
        <v>2.1345767686345791</v>
      </c>
      <c r="D111" s="329">
        <f t="shared" si="28"/>
        <v>1.0832302754606467</v>
      </c>
      <c r="E111" s="329">
        <f t="shared" si="29"/>
        <v>1.0000027190361012</v>
      </c>
      <c r="F111" s="330">
        <f t="shared" si="30"/>
        <v>2.3319648111266981E-3</v>
      </c>
      <c r="G111" s="329">
        <f t="shared" si="31"/>
        <v>1</v>
      </c>
      <c r="H111" s="330">
        <f t="shared" si="32"/>
        <v>0</v>
      </c>
      <c r="I111" s="328">
        <f t="shared" si="33"/>
        <v>10198.732019631432</v>
      </c>
      <c r="J111" s="331">
        <f t="shared" si="34"/>
        <v>1.5706982753901066</v>
      </c>
      <c r="K111" s="339">
        <f t="shared" si="35"/>
        <v>1.9442433595498398</v>
      </c>
      <c r="L111" s="340">
        <f t="shared" si="36"/>
        <v>1.0305597343107944</v>
      </c>
      <c r="M111" s="328">
        <f t="shared" si="37"/>
        <v>1.0003666501839572</v>
      </c>
      <c r="N111" s="331">
        <f t="shared" si="38"/>
        <v>2.7075383359495477E-2</v>
      </c>
      <c r="O111" s="332">
        <f t="shared" si="39"/>
        <v>1.0001184929429197</v>
      </c>
      <c r="P111" s="333">
        <f t="shared" si="40"/>
        <v>3.9290224176725633E-2</v>
      </c>
      <c r="Q111" s="334">
        <f t="shared" si="41"/>
        <v>16.13759535844434</v>
      </c>
      <c r="R111" s="335">
        <f t="shared" si="42"/>
        <v>-96.681039366357552</v>
      </c>
      <c r="S111" s="337">
        <f t="shared" si="43"/>
        <v>83.318960633642448</v>
      </c>
      <c r="U111" s="310">
        <f t="shared" si="49"/>
        <v>1000000000</v>
      </c>
      <c r="V111" s="310">
        <f t="shared" si="50"/>
        <v>31622627.559999995</v>
      </c>
      <c r="X111" s="336">
        <f t="shared" si="44"/>
        <v>2.6309638329731104</v>
      </c>
      <c r="Y111" s="337">
        <f t="shared" si="51"/>
        <v>-32.498963988531543</v>
      </c>
      <c r="AA111" s="336">
        <f t="shared" si="45"/>
        <v>13.506631525471231</v>
      </c>
      <c r="AB111" s="337">
        <f t="shared" si="46"/>
        <v>-64.182075377826024</v>
      </c>
      <c r="AD111">
        <f t="shared" si="52"/>
        <v>0</v>
      </c>
      <c r="AE111">
        <f t="shared" si="53"/>
        <v>0</v>
      </c>
    </row>
    <row r="112" spans="1:31" x14ac:dyDescent="0.25">
      <c r="A112" s="338">
        <v>5688.9</v>
      </c>
      <c r="B112" s="355">
        <f t="shared" si="48"/>
        <v>5.6888999999999994</v>
      </c>
      <c r="C112" s="328">
        <f t="shared" si="27"/>
        <v>2.1540076764864149</v>
      </c>
      <c r="D112" s="329">
        <f t="shared" si="28"/>
        <v>1.0880076726409971</v>
      </c>
      <c r="E112" s="329">
        <f t="shared" si="29"/>
        <v>1.0000027827462514</v>
      </c>
      <c r="F112" s="330">
        <f t="shared" si="30"/>
        <v>2.3591268717419863E-3</v>
      </c>
      <c r="G112" s="329">
        <f t="shared" si="31"/>
        <v>1</v>
      </c>
      <c r="H112" s="330">
        <f t="shared" si="32"/>
        <v>0</v>
      </c>
      <c r="I112" s="328">
        <f t="shared" si="33"/>
        <v>10317.524376728645</v>
      </c>
      <c r="J112" s="331">
        <f t="shared" si="34"/>
        <v>1.5706994043195961</v>
      </c>
      <c r="K112" s="339">
        <f t="shared" si="35"/>
        <v>1.9609239821176823</v>
      </c>
      <c r="L112" s="340">
        <f t="shared" si="36"/>
        <v>1.0356537659864364</v>
      </c>
      <c r="M112" s="328">
        <f t="shared" si="37"/>
        <v>1.0003752396211505</v>
      </c>
      <c r="N112" s="331">
        <f t="shared" si="38"/>
        <v>2.7390594057051E-2</v>
      </c>
      <c r="O112" s="332">
        <f t="shared" si="39"/>
        <v>1.0001212743224166</v>
      </c>
      <c r="P112" s="333">
        <f t="shared" si="40"/>
        <v>3.9747996357458175E-2</v>
      </c>
      <c r="Q112" s="334">
        <f t="shared" si="41"/>
        <v>16.032404023091317</v>
      </c>
      <c r="R112" s="335">
        <f t="shared" si="42"/>
        <v>-96.705694614178029</v>
      </c>
      <c r="S112" s="337">
        <f t="shared" si="43"/>
        <v>83.294305385821971</v>
      </c>
      <c r="U112" s="310">
        <f t="shared" si="49"/>
        <v>1000000000</v>
      </c>
      <c r="V112" s="310">
        <f t="shared" si="50"/>
        <v>32363583.209999997</v>
      </c>
      <c r="X112" s="336">
        <f t="shared" si="44"/>
        <v>2.604505463642306</v>
      </c>
      <c r="Y112" s="337">
        <f t="shared" si="51"/>
        <v>-32.225222398020918</v>
      </c>
      <c r="AA112" s="336">
        <f t="shared" si="45"/>
        <v>13.427898559449016</v>
      </c>
      <c r="AB112" s="337">
        <f t="shared" si="46"/>
        <v>-64.480472216157096</v>
      </c>
      <c r="AD112">
        <f t="shared" si="52"/>
        <v>0</v>
      </c>
      <c r="AE112">
        <f t="shared" si="53"/>
        <v>0</v>
      </c>
    </row>
    <row r="113" spans="1:31" x14ac:dyDescent="0.25">
      <c r="A113" s="338">
        <v>5754.4</v>
      </c>
      <c r="B113" s="355">
        <f t="shared" si="48"/>
        <v>5.7543999999999995</v>
      </c>
      <c r="C113" s="328">
        <f t="shared" si="27"/>
        <v>2.173486866721666</v>
      </c>
      <c r="D113" s="329">
        <f t="shared" si="28"/>
        <v>1.0926995434847444</v>
      </c>
      <c r="E113" s="329">
        <f t="shared" si="29"/>
        <v>1.0000028471941815</v>
      </c>
      <c r="F113" s="330">
        <f t="shared" si="30"/>
        <v>2.3862889288762475E-3</v>
      </c>
      <c r="G113" s="329">
        <f t="shared" si="31"/>
        <v>1</v>
      </c>
      <c r="H113" s="330">
        <f t="shared" si="32"/>
        <v>0</v>
      </c>
      <c r="I113" s="328">
        <f t="shared" si="33"/>
        <v>10436.316733838707</v>
      </c>
      <c r="J113" s="331">
        <f t="shared" si="34"/>
        <v>1.5707005075487934</v>
      </c>
      <c r="K113" s="339">
        <f t="shared" si="35"/>
        <v>1.9776546298779636</v>
      </c>
      <c r="L113" s="340">
        <f t="shared" si="36"/>
        <v>1.0406617363741839</v>
      </c>
      <c r="M113" s="328">
        <f t="shared" si="37"/>
        <v>1.0003839284516982</v>
      </c>
      <c r="N113" s="331">
        <f t="shared" si="38"/>
        <v>2.7705799310401701E-2</v>
      </c>
      <c r="O113" s="332">
        <f t="shared" si="39"/>
        <v>1.0001240881417173</v>
      </c>
      <c r="P113" s="333">
        <f t="shared" si="40"/>
        <v>4.0205773021099636E-2</v>
      </c>
      <c r="Q113" s="334">
        <f t="shared" si="41"/>
        <v>15.928468129293506</v>
      </c>
      <c r="R113" s="335">
        <f t="shared" si="42"/>
        <v>-96.730378985052752</v>
      </c>
      <c r="S113" s="337">
        <f t="shared" si="43"/>
        <v>83.269621014947248</v>
      </c>
      <c r="U113" s="310">
        <f t="shared" si="49"/>
        <v>1000000000</v>
      </c>
      <c r="V113" s="310">
        <f t="shared" si="50"/>
        <v>33113119.359999996</v>
      </c>
      <c r="X113" s="336">
        <f t="shared" si="44"/>
        <v>2.5787889196516245</v>
      </c>
      <c r="Y113" s="337">
        <f t="shared" si="51"/>
        <v>-31.956409971643527</v>
      </c>
      <c r="AA113" s="336">
        <f t="shared" si="45"/>
        <v>13.349679209641881</v>
      </c>
      <c r="AB113" s="337">
        <f t="shared" si="46"/>
        <v>-64.773969013409229</v>
      </c>
      <c r="AD113">
        <f t="shared" si="52"/>
        <v>0</v>
      </c>
      <c r="AE113">
        <f t="shared" si="53"/>
        <v>0</v>
      </c>
    </row>
    <row r="114" spans="1:31" x14ac:dyDescent="0.25">
      <c r="A114" s="338">
        <v>5821.4</v>
      </c>
      <c r="B114" s="355">
        <f t="shared" si="48"/>
        <v>5.8213999999999997</v>
      </c>
      <c r="C114" s="328">
        <f t="shared" si="27"/>
        <v>2.1934607578545502</v>
      </c>
      <c r="D114" s="329">
        <f t="shared" si="28"/>
        <v>1.0974125380964312</v>
      </c>
      <c r="E114" s="329">
        <f t="shared" si="29"/>
        <v>1.0000029138813347</v>
      </c>
      <c r="F114" s="330">
        <f t="shared" si="30"/>
        <v>2.4140730142099783E-3</v>
      </c>
      <c r="G114" s="329">
        <f t="shared" si="31"/>
        <v>1</v>
      </c>
      <c r="H114" s="330">
        <f t="shared" si="32"/>
        <v>0</v>
      </c>
      <c r="I114" s="328">
        <f t="shared" si="33"/>
        <v>10557.829526620621</v>
      </c>
      <c r="J114" s="331">
        <f t="shared" si="34"/>
        <v>1.5707016103573017</v>
      </c>
      <c r="K114" s="339">
        <f t="shared" si="35"/>
        <v>1.9948188667542239</v>
      </c>
      <c r="L114" s="340">
        <f t="shared" si="36"/>
        <v>1.0456973519236403</v>
      </c>
      <c r="M114" s="328">
        <f t="shared" si="37"/>
        <v>1.0003929190940908</v>
      </c>
      <c r="N114" s="331">
        <f t="shared" si="38"/>
        <v>2.8028217306873854E-2</v>
      </c>
      <c r="O114" s="332">
        <f t="shared" si="39"/>
        <v>1.0001269999705835</v>
      </c>
      <c r="P114" s="333">
        <f t="shared" si="40"/>
        <v>4.0674037811389223E-2</v>
      </c>
      <c r="Q114" s="334">
        <f t="shared" si="41"/>
        <v>15.823420834003553</v>
      </c>
      <c r="R114" s="335">
        <f t="shared" si="42"/>
        <v>-96.755668229025872</v>
      </c>
      <c r="S114" s="337">
        <f t="shared" si="43"/>
        <v>83.244331770974128</v>
      </c>
      <c r="U114" s="310">
        <f t="shared" si="49"/>
        <v>1000000000</v>
      </c>
      <c r="V114" s="310">
        <f t="shared" si="50"/>
        <v>33888697.959999993</v>
      </c>
      <c r="X114" s="336">
        <f t="shared" si="44"/>
        <v>2.553223308662834</v>
      </c>
      <c r="Y114" s="337">
        <f t="shared" si="51"/>
        <v>-31.68642682981077</v>
      </c>
      <c r="AA114" s="336">
        <f t="shared" si="45"/>
        <v>13.270197525340716</v>
      </c>
      <c r="AB114" s="337">
        <f t="shared" si="46"/>
        <v>-65.069241399215102</v>
      </c>
      <c r="AD114">
        <f t="shared" si="52"/>
        <v>0</v>
      </c>
      <c r="AE114">
        <f t="shared" si="53"/>
        <v>0</v>
      </c>
    </row>
    <row r="115" spans="1:31" x14ac:dyDescent="0.25">
      <c r="A115" s="338">
        <v>5888.4</v>
      </c>
      <c r="B115" s="355">
        <f t="shared" si="48"/>
        <v>5.8883999999999999</v>
      </c>
      <c r="C115" s="328">
        <f t="shared" si="27"/>
        <v>2.2134824909045587</v>
      </c>
      <c r="D115" s="329">
        <f t="shared" si="28"/>
        <v>1.1020403725498067</v>
      </c>
      <c r="E115" s="329">
        <f t="shared" si="29"/>
        <v>1.0000029813404452</v>
      </c>
      <c r="F115" s="330">
        <f t="shared" si="30"/>
        <v>2.4418570958165881E-3</v>
      </c>
      <c r="G115" s="329">
        <f t="shared" si="31"/>
        <v>1</v>
      </c>
      <c r="H115" s="330">
        <f t="shared" si="32"/>
        <v>0</v>
      </c>
      <c r="I115" s="328">
        <f t="shared" si="33"/>
        <v>10679.342319415084</v>
      </c>
      <c r="J115" s="331">
        <f t="shared" si="34"/>
        <v>1.5707026880696313</v>
      </c>
      <c r="K115" s="339">
        <f t="shared" si="35"/>
        <v>2.0120328233232398</v>
      </c>
      <c r="L115" s="340">
        <f t="shared" si="36"/>
        <v>1.0506469267338767</v>
      </c>
      <c r="M115" s="328">
        <f t="shared" si="37"/>
        <v>1.0004020137288177</v>
      </c>
      <c r="N115" s="331">
        <f t="shared" si="38"/>
        <v>2.8350629474670201E-2</v>
      </c>
      <c r="O115" s="332">
        <f t="shared" si="39"/>
        <v>1.0001299457590094</v>
      </c>
      <c r="P115" s="333">
        <f t="shared" si="40"/>
        <v>4.114230740092565E-2</v>
      </c>
      <c r="Q115" s="334">
        <f t="shared" si="41"/>
        <v>15.719627070678897</v>
      </c>
      <c r="R115" s="335">
        <f t="shared" si="42"/>
        <v>-96.781006429895129</v>
      </c>
      <c r="S115" s="337">
        <f t="shared" si="43"/>
        <v>83.218993570104871</v>
      </c>
      <c r="U115" s="310">
        <f t="shared" si="49"/>
        <v>1000000000</v>
      </c>
      <c r="V115" s="310">
        <f t="shared" si="50"/>
        <v>34673254.559999995</v>
      </c>
      <c r="X115" s="336">
        <f t="shared" si="44"/>
        <v>2.5283789811651309</v>
      </c>
      <c r="Y115" s="337">
        <f t="shared" si="51"/>
        <v>-31.421371687343509</v>
      </c>
      <c r="AA115" s="336">
        <f t="shared" si="45"/>
        <v>13.191248089513763</v>
      </c>
      <c r="AB115" s="337">
        <f t="shared" si="46"/>
        <v>-65.359634742551606</v>
      </c>
      <c r="AD115">
        <f t="shared" si="52"/>
        <v>0</v>
      </c>
      <c r="AE115">
        <f t="shared" si="53"/>
        <v>0</v>
      </c>
    </row>
    <row r="116" spans="1:31" x14ac:dyDescent="0.25">
      <c r="A116" s="338">
        <v>5957</v>
      </c>
      <c r="B116" s="355">
        <f t="shared" si="48"/>
        <v>5.9569999999999999</v>
      </c>
      <c r="C116" s="328">
        <f t="shared" si="27"/>
        <v>2.2340305808210235</v>
      </c>
      <c r="D116" s="329">
        <f t="shared" si="28"/>
        <v>1.1066926745602554</v>
      </c>
      <c r="E116" s="329">
        <f t="shared" si="29"/>
        <v>1.0000030512103495</v>
      </c>
      <c r="F116" s="330">
        <f t="shared" si="30"/>
        <v>2.4703046739729864E-3</v>
      </c>
      <c r="G116" s="329">
        <f t="shared" si="31"/>
        <v>1</v>
      </c>
      <c r="H116" s="330">
        <f t="shared" si="32"/>
        <v>0</v>
      </c>
      <c r="I116" s="328">
        <f t="shared" si="33"/>
        <v>10803.756910258988</v>
      </c>
      <c r="J116" s="331">
        <f t="shared" si="34"/>
        <v>1.5707037664004213</v>
      </c>
      <c r="K116" s="339">
        <f t="shared" si="35"/>
        <v>2.0297080531770737</v>
      </c>
      <c r="L116" s="340">
        <f t="shared" si="36"/>
        <v>1.0556275893061728</v>
      </c>
      <c r="M116" s="328">
        <f t="shared" si="37"/>
        <v>1.0004114332929748</v>
      </c>
      <c r="N116" s="331">
        <f t="shared" si="38"/>
        <v>2.8680734928557005E-2</v>
      </c>
      <c r="O116" s="332">
        <f t="shared" si="39"/>
        <v>1.0001329970894333</v>
      </c>
      <c r="P116" s="333">
        <f t="shared" si="40"/>
        <v>4.1621764577720211E-2</v>
      </c>
      <c r="Q116" s="334">
        <f t="shared" si="41"/>
        <v>15.614623288885532</v>
      </c>
      <c r="R116" s="335">
        <f t="shared" si="42"/>
        <v>-96.807009135199465</v>
      </c>
      <c r="S116" s="337">
        <f t="shared" si="43"/>
        <v>83.192990864800535</v>
      </c>
      <c r="U116" s="310">
        <f t="shared" si="49"/>
        <v>1000000000</v>
      </c>
      <c r="V116" s="310">
        <f t="shared" si="50"/>
        <v>35485849</v>
      </c>
      <c r="X116" s="336">
        <f t="shared" si="44"/>
        <v>2.5036615474529702</v>
      </c>
      <c r="Y116" s="337">
        <f t="shared" si="51"/>
        <v>-31.154976175572909</v>
      </c>
      <c r="AA116" s="336">
        <f t="shared" si="45"/>
        <v>13.110961741432561</v>
      </c>
      <c r="AB116" s="337">
        <f t="shared" si="46"/>
        <v>-65.652032959626538</v>
      </c>
      <c r="AD116">
        <f t="shared" si="52"/>
        <v>0</v>
      </c>
      <c r="AE116">
        <f t="shared" si="53"/>
        <v>0</v>
      </c>
    </row>
    <row r="117" spans="1:31" x14ac:dyDescent="0.25">
      <c r="A117" s="338">
        <v>6025.6</v>
      </c>
      <c r="B117" s="355">
        <f t="shared" si="48"/>
        <v>6.0256000000000007</v>
      </c>
      <c r="C117" s="328">
        <f t="shared" si="27"/>
        <v>2.2546261419423606</v>
      </c>
      <c r="D117" s="329">
        <f t="shared" si="28"/>
        <v>1.1112600782231274</v>
      </c>
      <c r="E117" s="329">
        <f t="shared" si="29"/>
        <v>1.0000031218895207</v>
      </c>
      <c r="F117" s="330">
        <f t="shared" si="30"/>
        <v>2.4987522481311163E-3</v>
      </c>
      <c r="G117" s="329">
        <f t="shared" si="31"/>
        <v>1</v>
      </c>
      <c r="H117" s="330">
        <f t="shared" si="32"/>
        <v>0</v>
      </c>
      <c r="I117" s="328">
        <f t="shared" si="33"/>
        <v>10928.17150111517</v>
      </c>
      <c r="J117" s="331">
        <f t="shared" si="34"/>
        <v>1.5707048201781406</v>
      </c>
      <c r="K117" s="339">
        <f t="shared" si="35"/>
        <v>2.0474327639295198</v>
      </c>
      <c r="L117" s="340">
        <f t="shared" si="36"/>
        <v>1.0605221359469887</v>
      </c>
      <c r="M117" s="328">
        <f t="shared" si="37"/>
        <v>1.0004209618695161</v>
      </c>
      <c r="N117" s="331">
        <f t="shared" si="38"/>
        <v>2.9010834130190958E-2</v>
      </c>
      <c r="O117" s="332">
        <f t="shared" si="39"/>
        <v>1.0001360840393412</v>
      </c>
      <c r="P117" s="333">
        <f t="shared" si="40"/>
        <v>4.2101226902252188E-2</v>
      </c>
      <c r="Q117" s="334">
        <f t="shared" si="41"/>
        <v>15.510873387676797</v>
      </c>
      <c r="R117" s="335">
        <f t="shared" si="42"/>
        <v>-96.833080133080401</v>
      </c>
      <c r="S117" s="337">
        <f t="shared" si="43"/>
        <v>83.166919866919599</v>
      </c>
      <c r="U117" s="310">
        <f t="shared" si="49"/>
        <v>1000000000</v>
      </c>
      <c r="V117" s="310">
        <f t="shared" si="50"/>
        <v>36307855.360000007</v>
      </c>
      <c r="X117" s="336">
        <f t="shared" si="44"/>
        <v>2.4796463323455429</v>
      </c>
      <c r="Y117" s="337">
        <f t="shared" si="51"/>
        <v>-30.893512978215583</v>
      </c>
      <c r="AA117" s="336">
        <f t="shared" si="45"/>
        <v>13.031227055331254</v>
      </c>
      <c r="AB117" s="337">
        <f t="shared" si="46"/>
        <v>-65.939567154864818</v>
      </c>
      <c r="AD117">
        <f t="shared" si="52"/>
        <v>0</v>
      </c>
      <c r="AE117">
        <f t="shared" si="53"/>
        <v>0</v>
      </c>
    </row>
    <row r="118" spans="1:31" x14ac:dyDescent="0.25">
      <c r="A118" s="338">
        <v>6095.8</v>
      </c>
      <c r="B118" s="355">
        <f t="shared" si="48"/>
        <v>6.0958000000000006</v>
      </c>
      <c r="C118" s="328">
        <f t="shared" si="27"/>
        <v>2.2757498662450635</v>
      </c>
      <c r="D118" s="329">
        <f t="shared" si="28"/>
        <v>1.1158483273847186</v>
      </c>
      <c r="E118" s="329">
        <f t="shared" si="29"/>
        <v>1.0000031950549852</v>
      </c>
      <c r="F118" s="330">
        <f t="shared" si="30"/>
        <v>2.5278633183738824E-3</v>
      </c>
      <c r="G118" s="329">
        <f t="shared" si="31"/>
        <v>1</v>
      </c>
      <c r="H118" s="330">
        <f t="shared" si="32"/>
        <v>0</v>
      </c>
      <c r="I118" s="328">
        <f t="shared" si="33"/>
        <v>11055.487890021088</v>
      </c>
      <c r="J118" s="331">
        <f t="shared" si="34"/>
        <v>1.5707058739798503</v>
      </c>
      <c r="K118" s="339">
        <f t="shared" si="35"/>
        <v>2.0656207755396374</v>
      </c>
      <c r="L118" s="340">
        <f t="shared" si="36"/>
        <v>1.0654437603691393</v>
      </c>
      <c r="M118" s="328">
        <f t="shared" si="37"/>
        <v>1.00043082553954</v>
      </c>
      <c r="N118" s="331">
        <f t="shared" si="38"/>
        <v>2.9348625891010699E-2</v>
      </c>
      <c r="O118" s="332">
        <f t="shared" si="39"/>
        <v>1.0001392798734079</v>
      </c>
      <c r="P118" s="333">
        <f t="shared" si="40"/>
        <v>4.2591877412249332E-2</v>
      </c>
      <c r="Q118" s="334">
        <f t="shared" si="41"/>
        <v>15.405971537278514</v>
      </c>
      <c r="R118" s="335">
        <f t="shared" si="42"/>
        <v>-96.859837820303269</v>
      </c>
      <c r="S118" s="337">
        <f t="shared" si="43"/>
        <v>83.140162179696731</v>
      </c>
      <c r="U118" s="310">
        <f t="shared" si="49"/>
        <v>1000000000</v>
      </c>
      <c r="V118" s="310">
        <f t="shared" si="50"/>
        <v>37158777.640000001</v>
      </c>
      <c r="X118" s="336">
        <f t="shared" si="44"/>
        <v>2.4557713537845274</v>
      </c>
      <c r="Y118" s="337">
        <f t="shared" si="51"/>
        <v>-30.630939090817485</v>
      </c>
      <c r="AA118" s="336">
        <f t="shared" si="45"/>
        <v>12.950200183493983</v>
      </c>
      <c r="AB118" s="337">
        <f t="shared" si="46"/>
        <v>-66.228898729485792</v>
      </c>
      <c r="AD118">
        <f t="shared" si="52"/>
        <v>0</v>
      </c>
      <c r="AE118">
        <f t="shared" si="53"/>
        <v>0</v>
      </c>
    </row>
    <row r="119" spans="1:31" x14ac:dyDescent="0.25">
      <c r="A119" s="338">
        <v>6166</v>
      </c>
      <c r="B119" s="355">
        <f t="shared" si="48"/>
        <v>6.1660000000000004</v>
      </c>
      <c r="C119" s="328">
        <f t="shared" si="27"/>
        <v>2.2969206179240782</v>
      </c>
      <c r="D119" s="329">
        <f t="shared" si="28"/>
        <v>1.1203520899877204</v>
      </c>
      <c r="E119" s="329">
        <f t="shared" si="29"/>
        <v>1.0000032690679066</v>
      </c>
      <c r="F119" s="330">
        <f t="shared" si="30"/>
        <v>2.5569743843321417E-3</v>
      </c>
      <c r="G119" s="329">
        <f t="shared" si="31"/>
        <v>1</v>
      </c>
      <c r="H119" s="330">
        <f t="shared" si="32"/>
        <v>0</v>
      </c>
      <c r="I119" s="328">
        <f t="shared" si="33"/>
        <v>11182.804278939006</v>
      </c>
      <c r="J119" s="331">
        <f t="shared" si="34"/>
        <v>1.5707069037864643</v>
      </c>
      <c r="K119" s="339">
        <f t="shared" si="35"/>
        <v>2.0838579473128407</v>
      </c>
      <c r="L119" s="340">
        <f t="shared" si="36"/>
        <v>1.0702793556633965</v>
      </c>
      <c r="M119" s="328">
        <f t="shared" si="37"/>
        <v>1.0004408033597374</v>
      </c>
      <c r="N119" s="331">
        <f t="shared" si="38"/>
        <v>2.968641095249136E-2</v>
      </c>
      <c r="O119" s="332">
        <f t="shared" si="39"/>
        <v>1.0001425130282957</v>
      </c>
      <c r="P119" s="333">
        <f t="shared" si="40"/>
        <v>4.3082533437777862E-2</v>
      </c>
      <c r="Q119" s="334">
        <f t="shared" si="41"/>
        <v>15.302322404664732</v>
      </c>
      <c r="R119" s="335">
        <f t="shared" si="42"/>
        <v>-96.886682447837586</v>
      </c>
      <c r="S119" s="337">
        <f t="shared" si="43"/>
        <v>83.113317552162414</v>
      </c>
      <c r="U119" s="310">
        <f t="shared" si="49"/>
        <v>1000000000</v>
      </c>
      <c r="V119" s="310">
        <f t="shared" si="50"/>
        <v>38019556</v>
      </c>
      <c r="X119" s="336">
        <f t="shared" si="44"/>
        <v>2.4325788624684073</v>
      </c>
      <c r="Y119" s="337">
        <f t="shared" si="51"/>
        <v>-30.373292550706932</v>
      </c>
      <c r="AA119" s="336">
        <f t="shared" si="45"/>
        <v>12.869743542196323</v>
      </c>
      <c r="AB119" s="337">
        <f t="shared" si="46"/>
        <v>-66.513389897130637</v>
      </c>
      <c r="AD119">
        <f t="shared" si="52"/>
        <v>0</v>
      </c>
      <c r="AE119">
        <f t="shared" si="53"/>
        <v>0</v>
      </c>
    </row>
    <row r="120" spans="1:31" x14ac:dyDescent="0.25">
      <c r="A120" s="338">
        <v>6237.8</v>
      </c>
      <c r="B120" s="355">
        <f t="shared" si="48"/>
        <v>6.2378</v>
      </c>
      <c r="C120" s="328">
        <f t="shared" si="27"/>
        <v>2.3186211985211767</v>
      </c>
      <c r="D120" s="329">
        <f t="shared" si="28"/>
        <v>1.1248733299507581</v>
      </c>
      <c r="E120" s="329">
        <f t="shared" si="29"/>
        <v>1.0000033456443822</v>
      </c>
      <c r="F120" s="330">
        <f t="shared" si="30"/>
        <v>2.5867489458856973E-3</v>
      </c>
      <c r="G120" s="329">
        <f t="shared" si="31"/>
        <v>1</v>
      </c>
      <c r="H120" s="330">
        <f t="shared" si="32"/>
        <v>0</v>
      </c>
      <c r="I120" s="328">
        <f t="shared" si="33"/>
        <v>11313.022465906928</v>
      </c>
      <c r="J120" s="331">
        <f t="shared" si="34"/>
        <v>1.5707079330871747</v>
      </c>
      <c r="K120" s="339">
        <f t="shared" si="35"/>
        <v>2.1025603013872041</v>
      </c>
      <c r="L120" s="340">
        <f t="shared" si="36"/>
        <v>1.0751382720706306</v>
      </c>
      <c r="M120" s="328">
        <f t="shared" si="37"/>
        <v>1.000451126673473</v>
      </c>
      <c r="N120" s="331">
        <f t="shared" si="38"/>
        <v>3.0031887808543108E-2</v>
      </c>
      <c r="O120" s="332">
        <f t="shared" si="39"/>
        <v>1.0001458584907106</v>
      </c>
      <c r="P120" s="333">
        <f t="shared" si="40"/>
        <v>4.3584378277956672E-2</v>
      </c>
      <c r="Q120" s="334">
        <f t="shared" si="41"/>
        <v>15.197576547661168</v>
      </c>
      <c r="R120" s="335">
        <f t="shared" si="42"/>
        <v>-96.914235987732155</v>
      </c>
      <c r="S120" s="337">
        <f t="shared" si="43"/>
        <v>83.085764012267845</v>
      </c>
      <c r="U120" s="310">
        <f t="shared" si="49"/>
        <v>1000000000</v>
      </c>
      <c r="V120" s="310">
        <f t="shared" si="50"/>
        <v>38910148.840000004</v>
      </c>
      <c r="X120" s="336">
        <f t="shared" si="44"/>
        <v>2.4095377152622168</v>
      </c>
      <c r="Y120" s="337">
        <f t="shared" si="51"/>
        <v>-30.114750487627884</v>
      </c>
      <c r="AA120" s="336">
        <f t="shared" si="45"/>
        <v>12.78803883239895</v>
      </c>
      <c r="AB120" s="337">
        <f t="shared" si="46"/>
        <v>-66.799485500104282</v>
      </c>
      <c r="AD120">
        <f t="shared" si="52"/>
        <v>0</v>
      </c>
      <c r="AE120">
        <f t="shared" si="53"/>
        <v>0</v>
      </c>
    </row>
    <row r="121" spans="1:31" x14ac:dyDescent="0.25">
      <c r="A121" s="338">
        <v>6309.6</v>
      </c>
      <c r="B121" s="355">
        <f t="shared" si="48"/>
        <v>6.3096000000000005</v>
      </c>
      <c r="C121" s="328">
        <f t="shared" si="27"/>
        <v>2.3403682959656846</v>
      </c>
      <c r="D121" s="329">
        <f t="shared" si="28"/>
        <v>1.1293106349707065</v>
      </c>
      <c r="E121" s="329">
        <f t="shared" si="29"/>
        <v>1.0000034231073851</v>
      </c>
      <c r="F121" s="330">
        <f t="shared" si="30"/>
        <v>2.6165235028528105E-3</v>
      </c>
      <c r="G121" s="329">
        <f t="shared" si="31"/>
        <v>1</v>
      </c>
      <c r="H121" s="330">
        <f t="shared" si="32"/>
        <v>0</v>
      </c>
      <c r="I121" s="328">
        <f t="shared" si="33"/>
        <v>11443.240652886563</v>
      </c>
      <c r="J121" s="331">
        <f t="shared" si="34"/>
        <v>1.570708938962061</v>
      </c>
      <c r="K121" s="339">
        <f t="shared" si="35"/>
        <v>2.1213114189911857</v>
      </c>
      <c r="L121" s="340">
        <f t="shared" si="36"/>
        <v>1.079911399714897</v>
      </c>
      <c r="M121" s="328">
        <f t="shared" si="37"/>
        <v>1.000461569392838</v>
      </c>
      <c r="N121" s="331">
        <f t="shared" si="38"/>
        <v>3.0377357493720596E-2</v>
      </c>
      <c r="O121" s="332">
        <f t="shared" si="39"/>
        <v>1.0001492430169197</v>
      </c>
      <c r="P121" s="333">
        <f t="shared" si="40"/>
        <v>4.4086229021531254E-2</v>
      </c>
      <c r="Q121" s="334">
        <f t="shared" si="41"/>
        <v>15.094080839163556</v>
      </c>
      <c r="R121" s="335">
        <f t="shared" si="42"/>
        <v>-96.941894329122647</v>
      </c>
      <c r="S121" s="337">
        <f t="shared" si="43"/>
        <v>83.058105670877353</v>
      </c>
      <c r="U121" s="310">
        <f t="shared" si="49"/>
        <v>1000000000</v>
      </c>
      <c r="V121" s="310">
        <f t="shared" si="50"/>
        <v>39811052.160000004</v>
      </c>
      <c r="X121" s="336">
        <f t="shared" si="44"/>
        <v>2.3871588088543869</v>
      </c>
      <c r="Y121" s="337">
        <f t="shared" si="51"/>
        <v>-29.861122005540466</v>
      </c>
      <c r="AA121" s="336">
        <f t="shared" si="45"/>
        <v>12.706922030309169</v>
      </c>
      <c r="AB121" s="337">
        <f t="shared" si="46"/>
        <v>-67.080772323582195</v>
      </c>
      <c r="AD121">
        <f t="shared" si="52"/>
        <v>0</v>
      </c>
      <c r="AE121">
        <f t="shared" si="53"/>
        <v>0</v>
      </c>
    </row>
    <row r="122" spans="1:31" x14ac:dyDescent="0.25">
      <c r="A122" s="338">
        <v>6383.05</v>
      </c>
      <c r="B122" s="355">
        <f t="shared" si="48"/>
        <v>6.3830499999999999</v>
      </c>
      <c r="C122" s="328">
        <f t="shared" si="27"/>
        <v>2.3626619459089309</v>
      </c>
      <c r="D122" s="329">
        <f t="shared" si="28"/>
        <v>1.1337652980851676</v>
      </c>
      <c r="E122" s="329">
        <f t="shared" si="29"/>
        <v>1.0000035032678471</v>
      </c>
      <c r="F122" s="330">
        <f t="shared" si="30"/>
        <v>2.6469822892669814E-3</v>
      </c>
      <c r="G122" s="329">
        <f t="shared" si="31"/>
        <v>1</v>
      </c>
      <c r="H122" s="330">
        <f t="shared" si="32"/>
        <v>0</v>
      </c>
      <c r="I122" s="328">
        <f t="shared" si="33"/>
        <v>11576.45131910515</v>
      </c>
      <c r="J122" s="331">
        <f t="shared" si="34"/>
        <v>1.5707099445371842</v>
      </c>
      <c r="K122" s="339">
        <f t="shared" si="35"/>
        <v>2.1405425678076777</v>
      </c>
      <c r="L122" s="340">
        <f t="shared" si="36"/>
        <v>1.084707574612896</v>
      </c>
      <c r="M122" s="328">
        <f t="shared" si="37"/>
        <v>1.0004723756403919</v>
      </c>
      <c r="N122" s="331">
        <f t="shared" si="38"/>
        <v>3.0730758739780747E-2</v>
      </c>
      <c r="O122" s="332">
        <f t="shared" si="39"/>
        <v>1.0001527457538943</v>
      </c>
      <c r="P122" s="333">
        <f t="shared" si="40"/>
        <v>4.4599618725667353E-2</v>
      </c>
      <c r="Q122" s="334">
        <f t="shared" si="41"/>
        <v>14.989470105465621</v>
      </c>
      <c r="R122" s="335">
        <f t="shared" si="42"/>
        <v>-96.970303063770757</v>
      </c>
      <c r="S122" s="337">
        <f t="shared" si="43"/>
        <v>83.029696936229243</v>
      </c>
      <c r="U122" s="310">
        <f t="shared" si="49"/>
        <v>1000000000</v>
      </c>
      <c r="V122" s="310">
        <f t="shared" si="50"/>
        <v>40743327.302500002</v>
      </c>
      <c r="X122" s="336">
        <f t="shared" si="44"/>
        <v>2.3649254016051211</v>
      </c>
      <c r="Y122" s="337">
        <f t="shared" si="51"/>
        <v>-29.606627440872188</v>
      </c>
      <c r="AA122" s="336">
        <f t="shared" si="45"/>
        <v>12.624544703860497</v>
      </c>
      <c r="AB122" s="337">
        <f t="shared" si="46"/>
        <v>-67.36367562289854</v>
      </c>
      <c r="AD122">
        <f t="shared" si="52"/>
        <v>0</v>
      </c>
      <c r="AE122">
        <f t="shared" si="53"/>
        <v>0</v>
      </c>
    </row>
    <row r="123" spans="1:31" x14ac:dyDescent="0.25">
      <c r="A123" s="338">
        <v>6456.5</v>
      </c>
      <c r="B123" s="355">
        <f t="shared" si="48"/>
        <v>6.4565000000000001</v>
      </c>
      <c r="C123" s="328">
        <f t="shared" si="27"/>
        <v>2.3850016035306885</v>
      </c>
      <c r="D123" s="329">
        <f t="shared" si="28"/>
        <v>1.138136595374178</v>
      </c>
      <c r="E123" s="329">
        <f t="shared" si="29"/>
        <v>1.00000358435605</v>
      </c>
      <c r="F123" s="330">
        <f t="shared" si="30"/>
        <v>2.6774410707697308E-3</v>
      </c>
      <c r="G123" s="329">
        <f t="shared" si="31"/>
        <v>1</v>
      </c>
      <c r="H123" s="330">
        <f t="shared" si="32"/>
        <v>0</v>
      </c>
      <c r="I123" s="328">
        <f t="shared" si="33"/>
        <v>11709.66198533518</v>
      </c>
      <c r="J123" s="331">
        <f t="shared" si="34"/>
        <v>1.5707109272331956</v>
      </c>
      <c r="K123" s="339">
        <f t="shared" si="35"/>
        <v>2.1598220786378444</v>
      </c>
      <c r="L123" s="340">
        <f t="shared" si="36"/>
        <v>1.0894182307824987</v>
      </c>
      <c r="M123" s="328">
        <f t="shared" si="37"/>
        <v>1.0004833068366743</v>
      </c>
      <c r="N123" s="331">
        <f t="shared" si="38"/>
        <v>3.1084152307511825E-2</v>
      </c>
      <c r="O123" s="332">
        <f t="shared" si="39"/>
        <v>1.0001562893951874</v>
      </c>
      <c r="P123" s="333">
        <f t="shared" si="40"/>
        <v>4.5113014750569218E-2</v>
      </c>
      <c r="Q123" s="334">
        <f t="shared" si="41"/>
        <v>14.886107326360619</v>
      </c>
      <c r="R123" s="335">
        <f t="shared" si="42"/>
        <v>-96.998833762293643</v>
      </c>
      <c r="S123" s="337">
        <f t="shared" si="43"/>
        <v>83.001166237706357</v>
      </c>
      <c r="U123" s="310">
        <f t="shared" si="49"/>
        <v>1000000000</v>
      </c>
      <c r="V123" s="310">
        <f t="shared" si="50"/>
        <v>41686392.25</v>
      </c>
      <c r="X123" s="336">
        <f t="shared" si="44"/>
        <v>2.3433344722809921</v>
      </c>
      <c r="Y123" s="337">
        <f t="shared" si="51"/>
        <v>-29.357030987603554</v>
      </c>
      <c r="AA123" s="336">
        <f t="shared" si="45"/>
        <v>12.542772854079626</v>
      </c>
      <c r="AB123" s="337">
        <f t="shared" si="46"/>
        <v>-67.641802774690063</v>
      </c>
      <c r="AD123">
        <f t="shared" si="52"/>
        <v>0</v>
      </c>
      <c r="AE123">
        <f t="shared" si="53"/>
        <v>0</v>
      </c>
    </row>
    <row r="124" spans="1:31" x14ac:dyDescent="0.25">
      <c r="A124" s="338">
        <v>6531.7</v>
      </c>
      <c r="B124" s="355">
        <f t="shared" si="48"/>
        <v>6.5316999999999998</v>
      </c>
      <c r="C124" s="328">
        <f t="shared" si="27"/>
        <v>2.4079198476314891</v>
      </c>
      <c r="D124" s="329">
        <f t="shared" si="28"/>
        <v>1.1425279241805351</v>
      </c>
      <c r="E124" s="329">
        <f t="shared" si="29"/>
        <v>1.0000036683373987</v>
      </c>
      <c r="F124" s="330">
        <f t="shared" si="30"/>
        <v>2.7086255498838677E-3</v>
      </c>
      <c r="G124" s="329">
        <f t="shared" si="31"/>
        <v>1</v>
      </c>
      <c r="H124" s="330">
        <f t="shared" si="32"/>
        <v>0</v>
      </c>
      <c r="I124" s="328">
        <f t="shared" si="33"/>
        <v>11846.046493181864</v>
      </c>
      <c r="J124" s="331">
        <f t="shared" si="34"/>
        <v>1.5707119104453775</v>
      </c>
      <c r="K124" s="339">
        <f t="shared" si="35"/>
        <v>2.1796097019014589</v>
      </c>
      <c r="L124" s="340">
        <f t="shared" si="36"/>
        <v>1.0941546768974701</v>
      </c>
      <c r="M124" s="328">
        <f t="shared" si="37"/>
        <v>1.0004946279221156</v>
      </c>
      <c r="N124" s="331">
        <f t="shared" si="38"/>
        <v>3.1445957688772896E-2</v>
      </c>
      <c r="O124" s="332">
        <f t="shared" si="39"/>
        <v>1.000159959857271</v>
      </c>
      <c r="P124" s="333">
        <f t="shared" si="40"/>
        <v>4.5638649435365518E-2</v>
      </c>
      <c r="Q124" s="334">
        <f t="shared" si="41"/>
        <v>14.78154451028492</v>
      </c>
      <c r="R124" s="335">
        <f t="shared" si="42"/>
        <v>-97.028176162331349</v>
      </c>
      <c r="S124" s="337">
        <f t="shared" si="43"/>
        <v>82.971823837668651</v>
      </c>
      <c r="U124" s="310">
        <f t="shared" si="49"/>
        <v>1000000000</v>
      </c>
      <c r="V124" s="310">
        <f t="shared" si="50"/>
        <v>42663104.890000001</v>
      </c>
      <c r="X124" s="336">
        <f t="shared" si="44"/>
        <v>2.3218698250862251</v>
      </c>
      <c r="Y124" s="337">
        <f t="shared" si="51"/>
        <v>-29.106438870297978</v>
      </c>
      <c r="AA124" s="336">
        <f t="shared" si="45"/>
        <v>12.459674685198696</v>
      </c>
      <c r="AB124" s="337">
        <f t="shared" si="46"/>
        <v>-67.921737292033384</v>
      </c>
      <c r="AD124">
        <f t="shared" si="52"/>
        <v>0</v>
      </c>
      <c r="AE124">
        <f t="shared" si="53"/>
        <v>0</v>
      </c>
    </row>
    <row r="125" spans="1:31" x14ac:dyDescent="0.25">
      <c r="A125" s="338">
        <v>6606.9</v>
      </c>
      <c r="B125" s="355">
        <f t="shared" si="48"/>
        <v>6.6068999999999996</v>
      </c>
      <c r="C125" s="328">
        <f t="shared" si="27"/>
        <v>2.4308836494348087</v>
      </c>
      <c r="D125" s="329">
        <f t="shared" si="28"/>
        <v>1.1468363677329596</v>
      </c>
      <c r="E125" s="329">
        <f t="shared" si="29"/>
        <v>1.0000037532912223</v>
      </c>
      <c r="F125" s="330">
        <f t="shared" si="30"/>
        <v>2.7398100237298688E-3</v>
      </c>
      <c r="G125" s="329">
        <f t="shared" si="31"/>
        <v>1</v>
      </c>
      <c r="H125" s="330">
        <f t="shared" si="32"/>
        <v>0</v>
      </c>
      <c r="I125" s="328">
        <f t="shared" si="33"/>
        <v>11982.43100103974</v>
      </c>
      <c r="J125" s="331">
        <f t="shared" si="34"/>
        <v>1.5707128712756389</v>
      </c>
      <c r="K125" s="339">
        <f t="shared" si="35"/>
        <v>2.1994453419044264</v>
      </c>
      <c r="L125" s="340">
        <f t="shared" si="36"/>
        <v>1.0988057947646699</v>
      </c>
      <c r="M125" s="328">
        <f t="shared" si="37"/>
        <v>1.0005060799724657</v>
      </c>
      <c r="N125" s="331">
        <f t="shared" si="38"/>
        <v>3.1807754834758249E-2</v>
      </c>
      <c r="O125" s="332">
        <f t="shared" si="39"/>
        <v>1.000163673222918</v>
      </c>
      <c r="P125" s="333">
        <f t="shared" si="40"/>
        <v>4.616429089896501E-2</v>
      </c>
      <c r="Q125" s="334">
        <f t="shared" si="41"/>
        <v>14.678229406735095</v>
      </c>
      <c r="R125" s="335">
        <f t="shared" si="42"/>
        <v>-97.057657170068168</v>
      </c>
      <c r="S125" s="337">
        <f t="shared" si="43"/>
        <v>82.942342829931832</v>
      </c>
      <c r="U125" s="310">
        <f t="shared" si="49"/>
        <v>1000000000</v>
      </c>
      <c r="V125" s="310">
        <f t="shared" si="50"/>
        <v>43651127.609999992</v>
      </c>
      <c r="X125" s="336">
        <f t="shared" si="44"/>
        <v>2.3010291526314259</v>
      </c>
      <c r="Y125" s="337">
        <f t="shared" si="51"/>
        <v>-28.860733947232426</v>
      </c>
      <c r="AA125" s="336">
        <f t="shared" si="45"/>
        <v>12.37720025410367</v>
      </c>
      <c r="AB125" s="337">
        <f t="shared" si="46"/>
        <v>-68.196923222835721</v>
      </c>
      <c r="AD125">
        <f t="shared" si="52"/>
        <v>0</v>
      </c>
      <c r="AE125">
        <f t="shared" si="53"/>
        <v>0</v>
      </c>
    </row>
    <row r="126" spans="1:31" x14ac:dyDescent="0.25">
      <c r="A126" s="338">
        <v>6683.85</v>
      </c>
      <c r="B126" s="355">
        <f t="shared" si="48"/>
        <v>6.6838500000000005</v>
      </c>
      <c r="C126" s="328">
        <f t="shared" si="27"/>
        <v>2.4544276745497831</v>
      </c>
      <c r="D126" s="329">
        <f t="shared" si="28"/>
        <v>1.1511615358082814</v>
      </c>
      <c r="E126" s="329">
        <f t="shared" si="29"/>
        <v>1.0000038412287144</v>
      </c>
      <c r="F126" s="330">
        <f t="shared" si="30"/>
        <v>2.7717201945755064E-3</v>
      </c>
      <c r="G126" s="329">
        <f t="shared" si="31"/>
        <v>1</v>
      </c>
      <c r="H126" s="330">
        <f t="shared" si="32"/>
        <v>0</v>
      </c>
      <c r="I126" s="328">
        <f t="shared" si="33"/>
        <v>12121.989350514546</v>
      </c>
      <c r="J126" s="331">
        <f t="shared" si="34"/>
        <v>1.5707138320844809</v>
      </c>
      <c r="K126" s="339">
        <f t="shared" si="35"/>
        <v>2.2197909455880471</v>
      </c>
      <c r="L126" s="340">
        <f t="shared" si="36"/>
        <v>1.1034789994201109</v>
      </c>
      <c r="M126" s="328">
        <f t="shared" si="37"/>
        <v>1.0005179340939065</v>
      </c>
      <c r="N126" s="331">
        <f t="shared" si="38"/>
        <v>3.2177962838713534E-2</v>
      </c>
      <c r="O126" s="332">
        <f t="shared" si="39"/>
        <v>1.0001675174305649</v>
      </c>
      <c r="P126" s="333">
        <f t="shared" si="40"/>
        <v>4.6702171808571183E-2</v>
      </c>
      <c r="Q126" s="334">
        <f t="shared" si="41"/>
        <v>14.573771351408828</v>
      </c>
      <c r="R126" s="335">
        <f t="shared" si="42"/>
        <v>-97.087972537294064</v>
      </c>
      <c r="S126" s="337">
        <f t="shared" si="43"/>
        <v>82.912027462705936</v>
      </c>
      <c r="U126" s="310">
        <f t="shared" si="49"/>
        <v>1000000000</v>
      </c>
      <c r="V126" s="310">
        <f t="shared" si="50"/>
        <v>44673850.822500005</v>
      </c>
      <c r="X126" s="336">
        <f t="shared" si="44"/>
        <v>2.2803250509096946</v>
      </c>
      <c r="Y126" s="337">
        <f t="shared" si="51"/>
        <v>-28.614245449853289</v>
      </c>
      <c r="AA126" s="336">
        <f t="shared" si="45"/>
        <v>12.293446300499134</v>
      </c>
      <c r="AB126" s="337">
        <f t="shared" si="46"/>
        <v>-68.473727087440764</v>
      </c>
      <c r="AD126">
        <f t="shared" si="52"/>
        <v>0</v>
      </c>
      <c r="AE126">
        <f t="shared" si="53"/>
        <v>0</v>
      </c>
    </row>
    <row r="127" spans="1:31" x14ac:dyDescent="0.25">
      <c r="A127" s="338">
        <v>6760.8</v>
      </c>
      <c r="B127" s="355">
        <f t="shared" si="48"/>
        <v>6.7608000000000006</v>
      </c>
      <c r="C127" s="328">
        <f t="shared" si="27"/>
        <v>2.4780167418469454</v>
      </c>
      <c r="D127" s="329">
        <f t="shared" si="28"/>
        <v>1.1554044365694567</v>
      </c>
      <c r="E127" s="329">
        <f t="shared" si="29"/>
        <v>1.000003930184469</v>
      </c>
      <c r="F127" s="330">
        <f t="shared" si="30"/>
        <v>2.8036303597764713E-3</v>
      </c>
      <c r="G127" s="329">
        <f t="shared" si="31"/>
        <v>1</v>
      </c>
      <c r="H127" s="330">
        <f t="shared" si="32"/>
        <v>0</v>
      </c>
      <c r="I127" s="328">
        <f t="shared" si="33"/>
        <v>12261.547700000283</v>
      </c>
      <c r="J127" s="331">
        <f t="shared" si="34"/>
        <v>1.5707147710218756</v>
      </c>
      <c r="K127" s="339">
        <f t="shared" si="35"/>
        <v>2.2401841457647254</v>
      </c>
      <c r="L127" s="340">
        <f t="shared" si="36"/>
        <v>1.1080672190458383</v>
      </c>
      <c r="M127" s="328">
        <f t="shared" si="37"/>
        <v>1.0005299253370381</v>
      </c>
      <c r="N127" s="331">
        <f t="shared" si="38"/>
        <v>3.2548162019599168E-2</v>
      </c>
      <c r="O127" s="332">
        <f t="shared" si="39"/>
        <v>1.0001714065913239</v>
      </c>
      <c r="P127" s="333">
        <f t="shared" si="40"/>
        <v>4.7240059980326231E-2</v>
      </c>
      <c r="Q127" s="334">
        <f t="shared" si="41"/>
        <v>14.470559304821842</v>
      </c>
      <c r="R127" s="335">
        <f t="shared" si="42"/>
        <v>-97.118442275899696</v>
      </c>
      <c r="S127" s="337">
        <f t="shared" si="43"/>
        <v>82.881557724100304</v>
      </c>
      <c r="U127" s="310">
        <f t="shared" si="49"/>
        <v>1000000000</v>
      </c>
      <c r="V127" s="310">
        <f t="shared" si="50"/>
        <v>45708416.640000001</v>
      </c>
      <c r="X127" s="336">
        <f t="shared" si="44"/>
        <v>2.2602259484734413</v>
      </c>
      <c r="Y127" s="337">
        <f t="shared" si="51"/>
        <v>-28.372624477337808</v>
      </c>
      <c r="AA127" s="336">
        <f t="shared" si="45"/>
        <v>12.210333356348402</v>
      </c>
      <c r="AB127" s="337">
        <f t="shared" si="46"/>
        <v>-68.745817798561859</v>
      </c>
      <c r="AD127">
        <f t="shared" si="52"/>
        <v>0</v>
      </c>
      <c r="AE127">
        <f t="shared" si="53"/>
        <v>0</v>
      </c>
    </row>
    <row r="128" spans="1:31" x14ac:dyDescent="0.25">
      <c r="A128" s="338">
        <v>6839.55</v>
      </c>
      <c r="B128" s="355">
        <f t="shared" si="48"/>
        <v>6.83955</v>
      </c>
      <c r="C128" s="328">
        <f t="shared" si="27"/>
        <v>2.5022029058988364</v>
      </c>
      <c r="D128" s="329">
        <f t="shared" si="28"/>
        <v>1.1596636807369394</v>
      </c>
      <c r="E128" s="329">
        <f t="shared" si="29"/>
        <v>1.0000040222753297</v>
      </c>
      <c r="F128" s="330">
        <f t="shared" si="30"/>
        <v>2.8362869556782435E-3</v>
      </c>
      <c r="G128" s="329">
        <f t="shared" si="31"/>
        <v>1</v>
      </c>
      <c r="H128" s="330">
        <f t="shared" si="32"/>
        <v>0</v>
      </c>
      <c r="I128" s="328">
        <f t="shared" si="33"/>
        <v>12404.370572291946</v>
      </c>
      <c r="J128" s="331">
        <f t="shared" si="34"/>
        <v>1.5707157100481415</v>
      </c>
      <c r="K128" s="339">
        <f t="shared" si="35"/>
        <v>2.2611023156382397</v>
      </c>
      <c r="L128" s="340">
        <f t="shared" si="36"/>
        <v>1.1126769758253889</v>
      </c>
      <c r="M128" s="328">
        <f t="shared" si="37"/>
        <v>1.0005423390424339</v>
      </c>
      <c r="N128" s="331">
        <f t="shared" si="38"/>
        <v>3.2927011589838143E-2</v>
      </c>
      <c r="O128" s="332">
        <f t="shared" si="39"/>
        <v>1.0001754332851387</v>
      </c>
      <c r="P128" s="333">
        <f t="shared" si="40"/>
        <v>4.779053793708981E-2</v>
      </c>
      <c r="Q128" s="334">
        <f t="shared" si="41"/>
        <v>14.366192718832673</v>
      </c>
      <c r="R128" s="335">
        <f t="shared" si="42"/>
        <v>-97.149788644803948</v>
      </c>
      <c r="S128" s="337">
        <f t="shared" si="43"/>
        <v>82.850211355196052</v>
      </c>
      <c r="U128" s="310">
        <f t="shared" si="49"/>
        <v>1000000000</v>
      </c>
      <c r="V128" s="310">
        <f t="shared" si="50"/>
        <v>46779444.202500001</v>
      </c>
      <c r="X128" s="336">
        <f t="shared" si="44"/>
        <v>2.2402592901597909</v>
      </c>
      <c r="Y128" s="337">
        <f t="shared" si="51"/>
        <v>-28.130265152697728</v>
      </c>
      <c r="AA128" s="336">
        <f t="shared" si="45"/>
        <v>12.125933428672882</v>
      </c>
      <c r="AB128" s="337">
        <f t="shared" si="46"/>
        <v>-69.019523492106188</v>
      </c>
      <c r="AD128">
        <f t="shared" si="52"/>
        <v>0</v>
      </c>
      <c r="AE128">
        <f t="shared" si="53"/>
        <v>0</v>
      </c>
    </row>
    <row r="129" spans="1:31" x14ac:dyDescent="0.25">
      <c r="A129" s="338">
        <v>6918.3</v>
      </c>
      <c r="B129" s="355">
        <f t="shared" si="48"/>
        <v>6.9183000000000003</v>
      </c>
      <c r="C129" s="328">
        <f t="shared" si="27"/>
        <v>2.5264335932273334</v>
      </c>
      <c r="D129" s="329">
        <f t="shared" si="28"/>
        <v>1.1638412998010308</v>
      </c>
      <c r="E129" s="329">
        <f t="shared" si="29"/>
        <v>1.0000041154326476</v>
      </c>
      <c r="F129" s="330">
        <f t="shared" si="30"/>
        <v>2.8689435455304655E-3</v>
      </c>
      <c r="G129" s="329">
        <f t="shared" si="31"/>
        <v>1</v>
      </c>
      <c r="H129" s="330">
        <f t="shared" si="32"/>
        <v>0</v>
      </c>
      <c r="I129" s="328">
        <f t="shared" si="33"/>
        <v>12547.193444594299</v>
      </c>
      <c r="J129" s="331">
        <f t="shared" si="34"/>
        <v>1.5707166276968094</v>
      </c>
      <c r="K129" s="339">
        <f t="shared" si="35"/>
        <v>2.2820676521758587</v>
      </c>
      <c r="L129" s="340">
        <f t="shared" si="36"/>
        <v>1.1172021277039292</v>
      </c>
      <c r="M129" s="328">
        <f t="shared" si="37"/>
        <v>1.0005548963490913</v>
      </c>
      <c r="N129" s="331">
        <f t="shared" si="38"/>
        <v>3.3305851705066045E-2</v>
      </c>
      <c r="O129" s="332">
        <f t="shared" si="39"/>
        <v>1.0001795070920545</v>
      </c>
      <c r="P129" s="333">
        <f t="shared" si="40"/>
        <v>4.8341023675591961E-2</v>
      </c>
      <c r="Q129" s="334">
        <f t="shared" si="41"/>
        <v>14.263070643168627</v>
      </c>
      <c r="R129" s="335">
        <f t="shared" si="42"/>
        <v>-97.181304423164732</v>
      </c>
      <c r="S129" s="337">
        <f t="shared" si="43"/>
        <v>82.818695576835268</v>
      </c>
      <c r="U129" s="310">
        <f t="shared" si="49"/>
        <v>1000000000</v>
      </c>
      <c r="V129" s="310">
        <f t="shared" si="50"/>
        <v>47862874.890000001</v>
      </c>
      <c r="X129" s="336">
        <f t="shared" si="44"/>
        <v>2.2208790490553141</v>
      </c>
      <c r="Y129" s="337">
        <f t="shared" si="51"/>
        <v>-27.892751565238825</v>
      </c>
      <c r="AA129" s="336">
        <f t="shared" si="45"/>
        <v>12.042191594113314</v>
      </c>
      <c r="AB129" s="337">
        <f t="shared" si="46"/>
        <v>-69.288552857925922</v>
      </c>
      <c r="AD129">
        <f t="shared" si="52"/>
        <v>0</v>
      </c>
      <c r="AE129">
        <f t="shared" si="53"/>
        <v>0</v>
      </c>
    </row>
    <row r="130" spans="1:31" x14ac:dyDescent="0.25">
      <c r="A130" s="338">
        <v>6998.9</v>
      </c>
      <c r="B130" s="355">
        <f t="shared" si="48"/>
        <v>6.9988999999999999</v>
      </c>
      <c r="C130" s="328">
        <f t="shared" si="27"/>
        <v>2.551278289950619</v>
      </c>
      <c r="D130" s="329">
        <f t="shared" si="28"/>
        <v>1.1680348130164251</v>
      </c>
      <c r="E130" s="329">
        <f t="shared" si="29"/>
        <v>1.0000042118827546</v>
      </c>
      <c r="F130" s="330">
        <f t="shared" si="30"/>
        <v>2.9023672997278462E-3</v>
      </c>
      <c r="G130" s="329">
        <f t="shared" si="31"/>
        <v>1</v>
      </c>
      <c r="H130" s="330">
        <f t="shared" si="32"/>
        <v>0</v>
      </c>
      <c r="I130" s="328">
        <f t="shared" si="33"/>
        <v>12693.371520891587</v>
      </c>
      <c r="J130" s="331">
        <f t="shared" si="34"/>
        <v>1.5707175455192215</v>
      </c>
      <c r="K130" s="339">
        <f t="shared" si="35"/>
        <v>2.30357300545402</v>
      </c>
      <c r="L130" s="340">
        <f t="shared" si="36"/>
        <v>1.1217481952825212</v>
      </c>
      <c r="M130" s="328">
        <f t="shared" si="37"/>
        <v>1.000567897348273</v>
      </c>
      <c r="N130" s="331">
        <f t="shared" si="38"/>
        <v>3.369358165242553E-2</v>
      </c>
      <c r="O130" s="332">
        <f t="shared" si="39"/>
        <v>1.000183725404735</v>
      </c>
      <c r="P130" s="333">
        <f t="shared" si="40"/>
        <v>4.890444961090798E-2</v>
      </c>
      <c r="Q130" s="334">
        <f t="shared" si="41"/>
        <v>14.15878442000022</v>
      </c>
      <c r="R130" s="335">
        <f t="shared" si="42"/>
        <v>-97.213739311177548</v>
      </c>
      <c r="S130" s="337">
        <f t="shared" si="43"/>
        <v>82.786260688822452</v>
      </c>
      <c r="U130" s="310">
        <f t="shared" si="49"/>
        <v>1000000000</v>
      </c>
      <c r="V130" s="310">
        <f t="shared" si="50"/>
        <v>48984601.209999993</v>
      </c>
      <c r="X130" s="336">
        <f t="shared" si="44"/>
        <v>2.2016275424159746</v>
      </c>
      <c r="Y130" s="337">
        <f t="shared" si="51"/>
        <v>-27.654548956257148</v>
      </c>
      <c r="AA130" s="336">
        <f t="shared" si="45"/>
        <v>11.957156877584245</v>
      </c>
      <c r="AB130" s="337">
        <f t="shared" si="46"/>
        <v>-69.559190354920418</v>
      </c>
      <c r="AD130">
        <f t="shared" si="52"/>
        <v>0</v>
      </c>
      <c r="AE130">
        <f t="shared" si="53"/>
        <v>0</v>
      </c>
    </row>
    <row r="131" spans="1:31" x14ac:dyDescent="0.25">
      <c r="A131" s="338">
        <v>7079.5</v>
      </c>
      <c r="B131" s="355">
        <f t="shared" si="48"/>
        <v>7.0795000000000003</v>
      </c>
      <c r="C131" s="328">
        <f t="shared" si="27"/>
        <v>2.5761669864852803</v>
      </c>
      <c r="D131" s="329">
        <f t="shared" si="28"/>
        <v>1.1721473692013415</v>
      </c>
      <c r="E131" s="329">
        <f t="shared" si="29"/>
        <v>1.0000043094500133</v>
      </c>
      <c r="F131" s="330">
        <f t="shared" si="30"/>
        <v>2.9357910474404666E-3</v>
      </c>
      <c r="G131" s="329">
        <f t="shared" si="31"/>
        <v>1</v>
      </c>
      <c r="H131" s="330">
        <f t="shared" si="32"/>
        <v>0</v>
      </c>
      <c r="I131" s="328">
        <f t="shared" si="33"/>
        <v>12839.549597199328</v>
      </c>
      <c r="J131" s="331">
        <f t="shared" si="34"/>
        <v>1.5707184424428451</v>
      </c>
      <c r="K131" s="339">
        <f t="shared" si="35"/>
        <v>2.3251250848354599</v>
      </c>
      <c r="L131" s="340">
        <f t="shared" si="36"/>
        <v>1.1262100767194121</v>
      </c>
      <c r="M131" s="328">
        <f t="shared" si="37"/>
        <v>1.0005810487634192</v>
      </c>
      <c r="N131" s="331">
        <f t="shared" si="38"/>
        <v>3.4081301465598748E-2</v>
      </c>
      <c r="O131" s="332">
        <f t="shared" si="39"/>
        <v>1.0001879931055431</v>
      </c>
      <c r="P131" s="333">
        <f t="shared" si="40"/>
        <v>4.9467883886322055E-2</v>
      </c>
      <c r="Q131" s="334">
        <f t="shared" si="41"/>
        <v>14.055741365901461</v>
      </c>
      <c r="R131" s="335">
        <f t="shared" si="42"/>
        <v>-97.24635791380075</v>
      </c>
      <c r="S131" s="337">
        <f t="shared" si="43"/>
        <v>82.75364208619925</v>
      </c>
      <c r="U131" s="310">
        <f t="shared" si="49"/>
        <v>1000000000</v>
      </c>
      <c r="V131" s="310">
        <f t="shared" si="50"/>
        <v>50119320.25</v>
      </c>
      <c r="X131" s="336">
        <f t="shared" si="44"/>
        <v>2.1829442430524058</v>
      </c>
      <c r="Y131" s="337">
        <f t="shared" si="51"/>
        <v>-27.421168079835461</v>
      </c>
      <c r="AA131" s="336">
        <f t="shared" si="45"/>
        <v>11.872797122849054</v>
      </c>
      <c r="AB131" s="337">
        <f t="shared" si="46"/>
        <v>-69.825189833965311</v>
      </c>
      <c r="AD131">
        <f t="shared" si="52"/>
        <v>0</v>
      </c>
      <c r="AE131">
        <f t="shared" si="53"/>
        <v>0</v>
      </c>
    </row>
    <row r="132" spans="1:31" x14ac:dyDescent="0.25">
      <c r="A132" s="338">
        <v>7161.95</v>
      </c>
      <c r="B132" s="355">
        <f t="shared" si="48"/>
        <v>7.16195</v>
      </c>
      <c r="C132" s="328">
        <f t="shared" si="27"/>
        <v>2.6016711593301478</v>
      </c>
      <c r="D132" s="329">
        <f t="shared" si="28"/>
        <v>1.176272834143995</v>
      </c>
      <c r="E132" s="329">
        <f t="shared" si="29"/>
        <v>1.0000044104126273</v>
      </c>
      <c r="F132" s="330">
        <f t="shared" si="30"/>
        <v>2.9699819587534382E-3</v>
      </c>
      <c r="G132" s="329">
        <f t="shared" si="31"/>
        <v>1</v>
      </c>
      <c r="H132" s="330">
        <f t="shared" si="32"/>
        <v>0</v>
      </c>
      <c r="I132" s="328">
        <f t="shared" si="33"/>
        <v>12989.082877502242</v>
      </c>
      <c r="J132" s="331">
        <f t="shared" si="34"/>
        <v>1.5707193390652456</v>
      </c>
      <c r="K132" s="339">
        <f t="shared" si="35"/>
        <v>2.3472188511263039</v>
      </c>
      <c r="L132" s="340">
        <f t="shared" si="36"/>
        <v>1.1306894994709173</v>
      </c>
      <c r="M132" s="328">
        <f t="shared" si="37"/>
        <v>1.000594657669188</v>
      </c>
      <c r="N132" s="331">
        <f t="shared" si="38"/>
        <v>3.4477909947995232E-2</v>
      </c>
      <c r="O132" s="332">
        <f t="shared" si="39"/>
        <v>1.0001924098828212</v>
      </c>
      <c r="P132" s="333">
        <f t="shared" si="40"/>
        <v>5.0044259314948616E-2</v>
      </c>
      <c r="Q132" s="334">
        <f t="shared" si="41"/>
        <v>13.951589191508276</v>
      </c>
      <c r="R132" s="335">
        <f t="shared" si="42"/>
        <v>-97.279917874665387</v>
      </c>
      <c r="S132" s="337">
        <f t="shared" si="43"/>
        <v>82.720082125334613</v>
      </c>
      <c r="U132" s="310">
        <f t="shared" si="49"/>
        <v>1000000000</v>
      </c>
      <c r="V132" s="310">
        <f t="shared" si="50"/>
        <v>51293527.802499995</v>
      </c>
      <c r="X132" s="336">
        <f t="shared" si="44"/>
        <v>2.164397391617638</v>
      </c>
      <c r="Y132" s="337">
        <f t="shared" si="51"/>
        <v>-27.187291426091868</v>
      </c>
      <c r="AA132" s="336">
        <f t="shared" si="45"/>
        <v>11.787191799890637</v>
      </c>
      <c r="AB132" s="337">
        <f t="shared" si="46"/>
        <v>-70.092626448573526</v>
      </c>
      <c r="AD132">
        <f t="shared" si="52"/>
        <v>0</v>
      </c>
      <c r="AE132">
        <f t="shared" si="53"/>
        <v>0</v>
      </c>
    </row>
    <row r="133" spans="1:31" x14ac:dyDescent="0.25">
      <c r="A133" s="338">
        <v>7244.4</v>
      </c>
      <c r="B133" s="355">
        <f t="shared" si="48"/>
        <v>7.2443999999999997</v>
      </c>
      <c r="C133" s="328">
        <f t="shared" si="27"/>
        <v>2.6272187510886122</v>
      </c>
      <c r="D133" s="329">
        <f t="shared" si="28"/>
        <v>1.18031813316012</v>
      </c>
      <c r="E133" s="329">
        <f t="shared" si="29"/>
        <v>1.0000045125442649</v>
      </c>
      <c r="F133" s="330">
        <f t="shared" si="30"/>
        <v>3.0041728631224635E-3</v>
      </c>
      <c r="G133" s="329">
        <f t="shared" si="31"/>
        <v>1</v>
      </c>
      <c r="H133" s="330">
        <f t="shared" si="32"/>
        <v>0</v>
      </c>
      <c r="I133" s="328">
        <f t="shared" si="33"/>
        <v>13138.616157815361</v>
      </c>
      <c r="J133" s="331">
        <f t="shared" si="34"/>
        <v>1.5707202152783599</v>
      </c>
      <c r="K133" s="339">
        <f t="shared" si="35"/>
        <v>2.3693588360058198</v>
      </c>
      <c r="L133" s="340">
        <f t="shared" si="36"/>
        <v>1.1350852949740937</v>
      </c>
      <c r="M133" s="328">
        <f t="shared" si="37"/>
        <v>1.0006084239624877</v>
      </c>
      <c r="N133" s="331">
        <f t="shared" si="38"/>
        <v>3.4874507579756776E-2</v>
      </c>
      <c r="O133" s="332">
        <f t="shared" si="39"/>
        <v>1.0001968783802921</v>
      </c>
      <c r="P133" s="333">
        <f t="shared" si="40"/>
        <v>5.0620643672590442E-2</v>
      </c>
      <c r="Q133" s="334">
        <f t="shared" si="41"/>
        <v>13.848677470974849</v>
      </c>
      <c r="R133" s="335">
        <f t="shared" si="42"/>
        <v>-97.313674875592142</v>
      </c>
      <c r="S133" s="337">
        <f t="shared" si="43"/>
        <v>82.686325124407858</v>
      </c>
      <c r="U133" s="310">
        <f t="shared" si="49"/>
        <v>1000000000</v>
      </c>
      <c r="V133" s="310">
        <f t="shared" si="50"/>
        <v>52481331.359999992</v>
      </c>
      <c r="X133" s="336">
        <f t="shared" si="44"/>
        <v>2.1464002388778018</v>
      </c>
      <c r="Y133" s="337">
        <f t="shared" si="51"/>
        <v>-26.958204469673724</v>
      </c>
      <c r="AA133" s="336">
        <f t="shared" si="45"/>
        <v>11.702277232097044</v>
      </c>
      <c r="AB133" s="337">
        <f t="shared" si="46"/>
        <v>-70.35547040591841</v>
      </c>
      <c r="AD133">
        <f t="shared" si="52"/>
        <v>0</v>
      </c>
      <c r="AE133">
        <f t="shared" si="53"/>
        <v>0</v>
      </c>
    </row>
    <row r="134" spans="1:31" x14ac:dyDescent="0.25">
      <c r="A134" s="338">
        <v>7328.75</v>
      </c>
      <c r="B134" s="355">
        <f t="shared" si="48"/>
        <v>7.3287500000000003</v>
      </c>
      <c r="C134" s="328">
        <f t="shared" si="27"/>
        <v>2.6533986918975265</v>
      </c>
      <c r="D134" s="329">
        <f t="shared" si="28"/>
        <v>1.1843759734985382</v>
      </c>
      <c r="E134" s="329">
        <f t="shared" si="29"/>
        <v>1.0000046182391937</v>
      </c>
      <c r="F134" s="330">
        <f t="shared" si="30"/>
        <v>3.039151664628635E-3</v>
      </c>
      <c r="G134" s="329">
        <f t="shared" si="31"/>
        <v>1</v>
      </c>
      <c r="H134" s="330">
        <f t="shared" si="32"/>
        <v>0</v>
      </c>
      <c r="I134" s="328">
        <f t="shared" si="33"/>
        <v>13291.595323312664</v>
      </c>
      <c r="J134" s="331">
        <f t="shared" si="34"/>
        <v>1.5707210912812792</v>
      </c>
      <c r="K134" s="339">
        <f t="shared" si="35"/>
        <v>2.3920555108640169</v>
      </c>
      <c r="L134" s="340">
        <f t="shared" si="36"/>
        <v>1.1394980950180009</v>
      </c>
      <c r="M134" s="328">
        <f t="shared" si="37"/>
        <v>1.0006226703528243</v>
      </c>
      <c r="N134" s="331">
        <f t="shared" si="38"/>
        <v>3.5280233155917759E-2</v>
      </c>
      <c r="O134" s="332">
        <f t="shared" si="39"/>
        <v>1.0002015033935689</v>
      </c>
      <c r="P134" s="333">
        <f t="shared" si="40"/>
        <v>5.1210319732887755E-2</v>
      </c>
      <c r="Q134" s="334">
        <f t="shared" si="41"/>
        <v>13.744647638031092</v>
      </c>
      <c r="R134" s="335">
        <f t="shared" si="42"/>
        <v>-97.348415548870975</v>
      </c>
      <c r="S134" s="337">
        <f t="shared" si="43"/>
        <v>82.651584451129025</v>
      </c>
      <c r="U134" s="310">
        <f t="shared" si="49"/>
        <v>1000000000</v>
      </c>
      <c r="V134" s="310">
        <f t="shared" si="50"/>
        <v>53710576.5625</v>
      </c>
      <c r="X134" s="336">
        <f t="shared" si="44"/>
        <v>2.1285351639428738</v>
      </c>
      <c r="Y134" s="337">
        <f t="shared" si="51"/>
        <v>-26.728666205485062</v>
      </c>
      <c r="AA134" s="336">
        <f t="shared" si="45"/>
        <v>11.616112474088215</v>
      </c>
      <c r="AB134" s="337">
        <f t="shared" si="46"/>
        <v>-70.619749343385905</v>
      </c>
      <c r="AD134">
        <f t="shared" si="52"/>
        <v>0</v>
      </c>
      <c r="AE134">
        <f t="shared" si="53"/>
        <v>0</v>
      </c>
    </row>
    <row r="135" spans="1:31" x14ac:dyDescent="0.25">
      <c r="A135" s="338">
        <v>7413.1</v>
      </c>
      <c r="B135" s="355">
        <f t="shared" si="48"/>
        <v>7.4131</v>
      </c>
      <c r="C135" s="328">
        <f t="shared" si="27"/>
        <v>2.6796214696111931</v>
      </c>
      <c r="D135" s="329">
        <f t="shared" si="28"/>
        <v>1.18835445822625</v>
      </c>
      <c r="E135" s="329">
        <f t="shared" si="29"/>
        <v>1.0000047251576445</v>
      </c>
      <c r="F135" s="330">
        <f t="shared" si="30"/>
        <v>3.0741304586978809E-3</v>
      </c>
      <c r="G135" s="329">
        <f t="shared" si="31"/>
        <v>1</v>
      </c>
      <c r="H135" s="330">
        <f t="shared" si="32"/>
        <v>0</v>
      </c>
      <c r="I135" s="328">
        <f t="shared" si="33"/>
        <v>13444.574488819935</v>
      </c>
      <c r="J135" s="331">
        <f t="shared" si="34"/>
        <v>1.5707219473489904</v>
      </c>
      <c r="K135" s="339">
        <f t="shared" si="35"/>
        <v>2.4147978896166484</v>
      </c>
      <c r="L135" s="340">
        <f t="shared" si="36"/>
        <v>1.143827859241952</v>
      </c>
      <c r="M135" s="328">
        <f t="shared" si="37"/>
        <v>1.0006370814541978</v>
      </c>
      <c r="N135" s="331">
        <f t="shared" si="38"/>
        <v>3.5685947112403436E-2</v>
      </c>
      <c r="O135" s="332">
        <f t="shared" si="39"/>
        <v>1.0002061825807742</v>
      </c>
      <c r="P135" s="333">
        <f t="shared" si="40"/>
        <v>5.180000535426476E-2</v>
      </c>
      <c r="Q135" s="334">
        <f t="shared" si="41"/>
        <v>13.641855724068044</v>
      </c>
      <c r="R135" s="335">
        <f t="shared" si="42"/>
        <v>-97.383365822881757</v>
      </c>
      <c r="S135" s="337">
        <f t="shared" si="43"/>
        <v>82.616634177118243</v>
      </c>
      <c r="U135" s="310">
        <f t="shared" si="49"/>
        <v>1000000000</v>
      </c>
      <c r="V135" s="310">
        <f t="shared" si="50"/>
        <v>54954051.610000007</v>
      </c>
      <c r="X135" s="336">
        <f t="shared" si="44"/>
        <v>2.1112017175148838</v>
      </c>
      <c r="Y135" s="337">
        <f t="shared" si="51"/>
        <v>-26.503883735372092</v>
      </c>
      <c r="AA135" s="336">
        <f t="shared" si="45"/>
        <v>11.53065400655316</v>
      </c>
      <c r="AB135" s="337">
        <f t="shared" si="46"/>
        <v>-70.879482087509658</v>
      </c>
      <c r="AD135">
        <f t="shared" si="52"/>
        <v>0</v>
      </c>
      <c r="AE135">
        <f t="shared" si="53"/>
        <v>0</v>
      </c>
    </row>
    <row r="136" spans="1:31" x14ac:dyDescent="0.25">
      <c r="A136" s="338">
        <v>7499.45</v>
      </c>
      <c r="B136" s="355">
        <f t="shared" si="48"/>
        <v>7.4994499999999995</v>
      </c>
      <c r="C136" s="328">
        <f t="shared" si="27"/>
        <v>2.7065090810391297</v>
      </c>
      <c r="D136" s="329">
        <f t="shared" si="28"/>
        <v>1.1923473540613339</v>
      </c>
      <c r="E136" s="329">
        <f t="shared" si="29"/>
        <v>1.0000048358785909</v>
      </c>
      <c r="F136" s="330">
        <f t="shared" si="30"/>
        <v>3.1099386176848395E-3</v>
      </c>
      <c r="G136" s="329">
        <f t="shared" si="31"/>
        <v>1</v>
      </c>
      <c r="H136" s="330">
        <f t="shared" si="32"/>
        <v>0</v>
      </c>
      <c r="I136" s="328">
        <f t="shared" si="33"/>
        <v>13601.18090188922</v>
      </c>
      <c r="J136" s="331">
        <f t="shared" si="34"/>
        <v>1.5707228037671452</v>
      </c>
      <c r="K136" s="339">
        <f t="shared" si="35"/>
        <v>2.438125513716674</v>
      </c>
      <c r="L136" s="340">
        <f t="shared" si="36"/>
        <v>1.1481765318130435</v>
      </c>
      <c r="M136" s="328">
        <f t="shared" si="37"/>
        <v>1.000652004861327</v>
      </c>
      <c r="N136" s="331">
        <f t="shared" si="38"/>
        <v>3.610126866747921E-2</v>
      </c>
      <c r="O136" s="332">
        <f t="shared" si="39"/>
        <v>1.0002110288536923</v>
      </c>
      <c r="P136" s="333">
        <f t="shared" si="40"/>
        <v>5.2403682869367231E-2</v>
      </c>
      <c r="Q136" s="334">
        <f t="shared" si="41"/>
        <v>13.537878588910221</v>
      </c>
      <c r="R136" s="335">
        <f t="shared" si="42"/>
        <v>-97.419363076313374</v>
      </c>
      <c r="S136" s="337">
        <f t="shared" si="43"/>
        <v>82.580636923686626</v>
      </c>
      <c r="U136" s="310">
        <f t="shared" si="49"/>
        <v>1000000000</v>
      </c>
      <c r="V136" s="310">
        <f t="shared" si="50"/>
        <v>56241750.302499995</v>
      </c>
      <c r="X136" s="336">
        <f t="shared" si="44"/>
        <v>2.0939865024880127</v>
      </c>
      <c r="Y136" s="337">
        <f t="shared" si="51"/>
        <v>-26.278568391699217</v>
      </c>
      <c r="AA136" s="336">
        <f t="shared" si="45"/>
        <v>11.443892086422206</v>
      </c>
      <c r="AB136" s="337">
        <f t="shared" si="46"/>
        <v>-71.14079468461415</v>
      </c>
      <c r="AD136">
        <f t="shared" si="52"/>
        <v>0</v>
      </c>
      <c r="AE136">
        <f t="shared" si="53"/>
        <v>0</v>
      </c>
    </row>
    <row r="137" spans="1:31" x14ac:dyDescent="0.25">
      <c r="A137" s="338">
        <v>7585.8</v>
      </c>
      <c r="B137" s="355">
        <f t="shared" si="48"/>
        <v>7.5857999999999999</v>
      </c>
      <c r="C137" s="328">
        <f t="shared" si="27"/>
        <v>2.7334389936289853</v>
      </c>
      <c r="D137" s="329">
        <f t="shared" si="28"/>
        <v>1.196261635053903</v>
      </c>
      <c r="E137" s="329">
        <f t="shared" si="29"/>
        <v>1.0000049478817674</v>
      </c>
      <c r="F137" s="330">
        <f t="shared" si="30"/>
        <v>3.1457467686964967E-3</v>
      </c>
      <c r="G137" s="329">
        <f t="shared" si="31"/>
        <v>1</v>
      </c>
      <c r="H137" s="330">
        <f t="shared" si="32"/>
        <v>0</v>
      </c>
      <c r="I137" s="328">
        <f t="shared" si="33"/>
        <v>13757.787314968255</v>
      </c>
      <c r="J137" s="331">
        <f t="shared" si="34"/>
        <v>1.5707236406878951</v>
      </c>
      <c r="K137" s="339">
        <f t="shared" si="35"/>
        <v>2.461498370673576</v>
      </c>
      <c r="L137" s="340">
        <f t="shared" si="36"/>
        <v>1.1524426992127186</v>
      </c>
      <c r="M137" s="328">
        <f t="shared" si="37"/>
        <v>1.0006671008677506</v>
      </c>
      <c r="N137" s="331">
        <f t="shared" si="38"/>
        <v>3.6516577763156428E-2</v>
      </c>
      <c r="O137" s="332">
        <f t="shared" si="39"/>
        <v>1.0002159319467103</v>
      </c>
      <c r="P137" s="333">
        <f t="shared" si="40"/>
        <v>5.3007370635626147E-2</v>
      </c>
      <c r="Q137" s="334">
        <f t="shared" si="41"/>
        <v>13.435138391827937</v>
      </c>
      <c r="R137" s="335">
        <f t="shared" si="42"/>
        <v>-97.455581985987223</v>
      </c>
      <c r="S137" s="337">
        <f t="shared" si="43"/>
        <v>82.544418014012777</v>
      </c>
      <c r="U137" s="310">
        <f t="shared" si="49"/>
        <v>1000000000</v>
      </c>
      <c r="V137" s="310">
        <f t="shared" si="50"/>
        <v>57544361.640000001</v>
      </c>
      <c r="X137" s="336">
        <f t="shared" si="44"/>
        <v>2.0772858495262958</v>
      </c>
      <c r="Y137" s="337">
        <f t="shared" si="51"/>
        <v>-26.057978415151918</v>
      </c>
      <c r="AA137" s="336">
        <f t="shared" si="45"/>
        <v>11.357852542301641</v>
      </c>
      <c r="AB137" s="337">
        <f t="shared" si="46"/>
        <v>-71.397603570835287</v>
      </c>
      <c r="AD137">
        <f t="shared" si="52"/>
        <v>0</v>
      </c>
      <c r="AE137">
        <f t="shared" si="53"/>
        <v>0</v>
      </c>
    </row>
    <row r="138" spans="1:31" x14ac:dyDescent="0.25">
      <c r="A138" s="338">
        <v>7674.15</v>
      </c>
      <c r="B138" s="355">
        <f t="shared" si="48"/>
        <v>7.67415</v>
      </c>
      <c r="C138" s="328">
        <f t="shared" si="27"/>
        <v>2.7610351359368708</v>
      </c>
      <c r="D138" s="329">
        <f t="shared" si="28"/>
        <v>1.2001874856934411</v>
      </c>
      <c r="E138" s="329">
        <f t="shared" si="29"/>
        <v>1.000005063806233</v>
      </c>
      <c r="F138" s="330">
        <f t="shared" si="30"/>
        <v>3.1823842837032357E-3</v>
      </c>
      <c r="G138" s="329">
        <f t="shared" si="31"/>
        <v>1</v>
      </c>
      <c r="H138" s="330">
        <f t="shared" si="32"/>
        <v>0</v>
      </c>
      <c r="I138" s="328">
        <f t="shared" si="33"/>
        <v>13918.02097560953</v>
      </c>
      <c r="J138" s="331">
        <f t="shared" si="34"/>
        <v>1.5707244774994678</v>
      </c>
      <c r="K138" s="339">
        <f t="shared" si="35"/>
        <v>2.4854580647764024</v>
      </c>
      <c r="L138" s="340">
        <f t="shared" si="36"/>
        <v>1.1567245520154108</v>
      </c>
      <c r="M138" s="328">
        <f t="shared" si="37"/>
        <v>1.0006827251550525</v>
      </c>
      <c r="N138" s="331">
        <f t="shared" si="38"/>
        <v>3.6941493017531746E-2</v>
      </c>
      <c r="O138" s="332">
        <f t="shared" si="39"/>
        <v>1.000221007437446</v>
      </c>
      <c r="P138" s="333">
        <f t="shared" si="40"/>
        <v>5.3625051479403885E-2</v>
      </c>
      <c r="Q138" s="334">
        <f t="shared" si="41"/>
        <v>13.331268587321201</v>
      </c>
      <c r="R138" s="335">
        <f t="shared" si="42"/>
        <v>-97.492869691534139</v>
      </c>
      <c r="S138" s="337">
        <f t="shared" si="43"/>
        <v>82.507130308465861</v>
      </c>
      <c r="U138" s="310">
        <f t="shared" si="49"/>
        <v>1000000000</v>
      </c>
      <c r="V138" s="310">
        <f t="shared" si="50"/>
        <v>58892578.222499996</v>
      </c>
      <c r="X138" s="336">
        <f t="shared" si="44"/>
        <v>2.0607100702983288</v>
      </c>
      <c r="Y138" s="337">
        <f t="shared" si="51"/>
        <v>-25.837040117306731</v>
      </c>
      <c r="AA138" s="336">
        <f t="shared" si="45"/>
        <v>11.270558517022874</v>
      </c>
      <c r="AB138" s="337">
        <f t="shared" si="46"/>
        <v>-71.655829574227411</v>
      </c>
      <c r="AD138">
        <f t="shared" si="52"/>
        <v>0</v>
      </c>
      <c r="AE138">
        <f t="shared" si="53"/>
        <v>0</v>
      </c>
    </row>
    <row r="139" spans="1:31" x14ac:dyDescent="0.25">
      <c r="A139" s="338">
        <v>7762.5</v>
      </c>
      <c r="B139" s="355">
        <f t="shared" si="48"/>
        <v>7.7625000000000002</v>
      </c>
      <c r="C139" s="328">
        <f t="shared" si="27"/>
        <v>2.7886729895676767</v>
      </c>
      <c r="D139" s="329">
        <f t="shared" si="28"/>
        <v>1.2040355783813577</v>
      </c>
      <c r="E139" s="329">
        <f t="shared" si="29"/>
        <v>1.0000051810730122</v>
      </c>
      <c r="F139" s="330">
        <f t="shared" si="30"/>
        <v>3.2190217901664716E-3</v>
      </c>
      <c r="G139" s="329">
        <f t="shared" si="31"/>
        <v>1</v>
      </c>
      <c r="H139" s="330">
        <f t="shared" si="32"/>
        <v>0</v>
      </c>
      <c r="I139" s="328">
        <f t="shared" si="33"/>
        <v>14078.25463626033</v>
      </c>
      <c r="J139" s="331">
        <f t="shared" si="34"/>
        <v>1.5707252952624604</v>
      </c>
      <c r="K139" s="339">
        <f t="shared" si="35"/>
        <v>2.5094624572775244</v>
      </c>
      <c r="L139" s="340">
        <f t="shared" si="36"/>
        <v>1.1609245640328603</v>
      </c>
      <c r="M139" s="328">
        <f t="shared" si="37"/>
        <v>1.0006985301129352</v>
      </c>
      <c r="N139" s="331">
        <f t="shared" si="38"/>
        <v>3.7366394926462751E-2</v>
      </c>
      <c r="O139" s="332">
        <f t="shared" si="39"/>
        <v>1.0002261424620527</v>
      </c>
      <c r="P139" s="333">
        <f t="shared" si="40"/>
        <v>5.4242743302360875E-2</v>
      </c>
      <c r="Q139" s="334">
        <f t="shared" si="41"/>
        <v>13.228633358043179</v>
      </c>
      <c r="R139" s="335">
        <f t="shared" si="42"/>
        <v>-97.530390099725594</v>
      </c>
      <c r="S139" s="337">
        <f t="shared" si="43"/>
        <v>82.469609900274406</v>
      </c>
      <c r="U139" s="310">
        <f t="shared" si="49"/>
        <v>1000000000</v>
      </c>
      <c r="V139" s="310">
        <f t="shared" si="50"/>
        <v>60256406.25</v>
      </c>
      <c r="X139" s="336">
        <f t="shared" si="44"/>
        <v>2.0446315522440428</v>
      </c>
      <c r="Y139" s="337">
        <f t="shared" si="51"/>
        <v>-25.620789095012459</v>
      </c>
      <c r="AA139" s="336">
        <f t="shared" si="45"/>
        <v>11.184001805799138</v>
      </c>
      <c r="AB139" s="337">
        <f t="shared" si="46"/>
        <v>-71.909601004713124</v>
      </c>
      <c r="AD139">
        <f t="shared" si="52"/>
        <v>0</v>
      </c>
      <c r="AE139">
        <f t="shared" si="53"/>
        <v>0</v>
      </c>
    </row>
    <row r="140" spans="1:31" x14ac:dyDescent="0.25">
      <c r="A140" s="338">
        <v>7852.9</v>
      </c>
      <c r="B140" s="355">
        <f t="shared" si="48"/>
        <v>7.8529</v>
      </c>
      <c r="C140" s="328">
        <f t="shared" si="27"/>
        <v>2.8169940226928945</v>
      </c>
      <c r="D140" s="329">
        <f t="shared" si="28"/>
        <v>1.2078947439813781</v>
      </c>
      <c r="E140" s="329">
        <f t="shared" si="29"/>
        <v>1.0000053024501463</v>
      </c>
      <c r="F140" s="330">
        <f t="shared" si="30"/>
        <v>3.2565093939459799E-3</v>
      </c>
      <c r="G140" s="329">
        <f t="shared" si="31"/>
        <v>1</v>
      </c>
      <c r="H140" s="330">
        <f t="shared" si="32"/>
        <v>0</v>
      </c>
      <c r="I140" s="328">
        <f t="shared" si="33"/>
        <v>14242.206225662409</v>
      </c>
      <c r="J140" s="331">
        <f t="shared" si="34"/>
        <v>1.5707261129540788</v>
      </c>
      <c r="K140" s="339">
        <f t="shared" si="35"/>
        <v>2.5340687689326136</v>
      </c>
      <c r="L140" s="340">
        <f t="shared" si="36"/>
        <v>1.1651395920174532</v>
      </c>
      <c r="M140" s="328">
        <f t="shared" si="37"/>
        <v>1.0007148887944113</v>
      </c>
      <c r="N140" s="331">
        <f t="shared" si="38"/>
        <v>3.780114193339313E-2</v>
      </c>
      <c r="O140" s="332">
        <f t="shared" si="39"/>
        <v>1.000231458284943</v>
      </c>
      <c r="P140" s="333">
        <f t="shared" si="40"/>
        <v>5.4874779028048333E-2</v>
      </c>
      <c r="Q140" s="334">
        <f t="shared" si="41"/>
        <v>13.124864351112516</v>
      </c>
      <c r="R140" s="335">
        <f t="shared" si="42"/>
        <v>-97.56902180408072</v>
      </c>
      <c r="S140" s="337">
        <f t="shared" si="43"/>
        <v>82.43097819591928</v>
      </c>
      <c r="U140" s="310">
        <f t="shared" si="49"/>
        <v>1000000000</v>
      </c>
      <c r="V140" s="310">
        <f t="shared" si="50"/>
        <v>61668038.409999996</v>
      </c>
      <c r="X140" s="336">
        <f t="shared" si="44"/>
        <v>2.0286743580254676</v>
      </c>
      <c r="Y140" s="337">
        <f t="shared" si="51"/>
        <v>-25.404241799650055</v>
      </c>
      <c r="AA140" s="336">
        <f t="shared" si="45"/>
        <v>11.096189993087046</v>
      </c>
      <c r="AB140" s="337">
        <f t="shared" si="46"/>
        <v>-72.164780004430696</v>
      </c>
      <c r="AD140">
        <f t="shared" si="52"/>
        <v>0</v>
      </c>
      <c r="AE140">
        <f t="shared" si="53"/>
        <v>0</v>
      </c>
    </row>
    <row r="141" spans="1:31" x14ac:dyDescent="0.25">
      <c r="A141" s="338">
        <v>7943.3</v>
      </c>
      <c r="B141" s="355">
        <f t="shared" si="48"/>
        <v>7.9432999999999998</v>
      </c>
      <c r="C141" s="328">
        <f t="shared" ref="C141:C204" si="54">SQRT(1+(A141/pole1)^2)</f>
        <v>2.8453561742275348</v>
      </c>
      <c r="D141" s="329">
        <f t="shared" ref="D141:D204" si="55">ATAN(A141/pole1)</f>
        <v>1.2116770296280028</v>
      </c>
      <c r="E141" s="329">
        <f t="shared" ref="E141:E204" si="56">SQRT(1+(A141/Zero1)^2)</f>
        <v>1.0000054252326078</v>
      </c>
      <c r="F141" s="330">
        <f t="shared" ref="F141:F204" si="57">ATAN(A141/Zero1)</f>
        <v>3.2939969885725797E-3</v>
      </c>
      <c r="G141" s="329">
        <f t="shared" ref="G141:G204" si="58">IF(VIN_nom&gt;Vout, 1, SQRT(1+(A141/z_RHP)^2))</f>
        <v>1</v>
      </c>
      <c r="H141" s="330">
        <f t="shared" ref="H141:H204" si="59">IF(VIN_nom&gt;Vout, 0, -ATAN(A141/z_RHP))</f>
        <v>0</v>
      </c>
      <c r="I141" s="328">
        <f t="shared" ref="I141:I204" si="60">SQRT(1+(A141/Pole2)^2)</f>
        <v>14406.157815073795</v>
      </c>
      <c r="J141" s="331">
        <f t="shared" ref="J141:J204" si="61">ATAN(A141/Pole2)</f>
        <v>1.5707269120339562</v>
      </c>
      <c r="K141" s="339">
        <f t="shared" ref="K141:K147" si="62">SQRT(1+(A141/Zero2)^2)</f>
        <v>2.5587192356492294</v>
      </c>
      <c r="L141" s="340">
        <f t="shared" ref="L141:L147" si="63">ATAN(A141/Zero2)</f>
        <v>1.1692734778858436</v>
      </c>
      <c r="M141" s="328">
        <f t="shared" ref="M141:M204" si="64">SQRT(1+(A141/pole4)^2)</f>
        <v>1.0007314366097604</v>
      </c>
      <c r="N141" s="331">
        <f t="shared" ref="N141:N204" si="65">ATAN(A141/pole4)</f>
        <v>3.8235874644777894E-2</v>
      </c>
      <c r="O141" s="332">
        <f t="shared" ref="O141:O204" si="66">SQRT((1-(V141/pterm2))^2+(A141/pterm1)^2)</f>
        <v>1.0002368364926337</v>
      </c>
      <c r="P141" s="333">
        <f t="shared" ref="P141:P204" si="67">IF((ATAN((A141/pterm1)/(1-A141^2/pterm2))&gt;0),ATAN((A141/pterm1)/(1-A141^2/pterm2)),PI()+ATAN((A141/pterm1)/(1-A141^2/pterm2)))</f>
        <v>5.5506826513450076E-2</v>
      </c>
      <c r="Q141" s="334">
        <f t="shared" ref="Q141:Q204" si="68">20*LOG10(((E141*K141*G141)/(C141*I141*O141*M141))*Adc)</f>
        <v>13.022327625874087</v>
      </c>
      <c r="R141" s="335">
        <f t="shared" ref="R141:R204" si="69">((F141+L141+H141)-(D141+J141+P141+N141))*radconv</f>
        <v>-97.607896501234393</v>
      </c>
      <c r="S141" s="337">
        <f t="shared" ref="S141:S204" si="70">IF(R141&gt;0,R141,R141+180)</f>
        <v>82.392103498765607</v>
      </c>
      <c r="U141" s="310">
        <f t="shared" si="49"/>
        <v>1000000000</v>
      </c>
      <c r="V141" s="310">
        <f t="shared" si="50"/>
        <v>63096014.890000001</v>
      </c>
      <c r="X141" s="336">
        <f t="shared" ref="X141:X204" si="71">20*LOG10((K141/(I141*M141))*AEA*Afb_Ch2)</f>
        <v>2.0131975201072287</v>
      </c>
      <c r="Y141" s="337">
        <f t="shared" si="51"/>
        <v>-25.192341719643473</v>
      </c>
      <c r="AA141" s="336">
        <f t="shared" ref="AA141:AA204" si="72">20*LOG10((E141*G141/(C141*O141))*Am_Ch2)</f>
        <v>11.009130105766857</v>
      </c>
      <c r="AB141" s="337">
        <f t="shared" ref="AB141:AB204" si="73">(F141+H141-(D141+P141))*radconv</f>
        <v>-72.415554781590942</v>
      </c>
      <c r="AD141">
        <f t="shared" si="52"/>
        <v>0</v>
      </c>
      <c r="AE141">
        <f t="shared" si="53"/>
        <v>0</v>
      </c>
    </row>
    <row r="142" spans="1:31" x14ac:dyDescent="0.25">
      <c r="A142" s="338">
        <v>8035.8</v>
      </c>
      <c r="B142" s="355">
        <f t="shared" ref="B142:B205" si="74">A142/1000</f>
        <v>8.0358000000000001</v>
      </c>
      <c r="C142" s="328">
        <f t="shared" si="54"/>
        <v>2.8744184736685487</v>
      </c>
      <c r="D142" s="329">
        <f t="shared" si="55"/>
        <v>1.2154698612464403</v>
      </c>
      <c r="E142" s="329">
        <f t="shared" si="56"/>
        <v>1.000005552321992</v>
      </c>
      <c r="F142" s="330">
        <f t="shared" si="57"/>
        <v>3.3323554137556243E-3</v>
      </c>
      <c r="G142" s="329">
        <f t="shared" si="58"/>
        <v>1</v>
      </c>
      <c r="H142" s="330">
        <f t="shared" si="59"/>
        <v>0</v>
      </c>
      <c r="I142" s="328">
        <f t="shared" si="60"/>
        <v>14573.918014425504</v>
      </c>
      <c r="J142" s="331">
        <f t="shared" si="61"/>
        <v>1.5707277110664566</v>
      </c>
      <c r="K142" s="339">
        <f t="shared" si="62"/>
        <v>2.5839867222588149</v>
      </c>
      <c r="L142" s="340">
        <f t="shared" si="63"/>
        <v>1.1734216800307626</v>
      </c>
      <c r="M142" s="328">
        <f t="shared" si="64"/>
        <v>1.0007485645978367</v>
      </c>
      <c r="N142" s="331">
        <f t="shared" si="65"/>
        <v>3.8680691267321529E-2</v>
      </c>
      <c r="O142" s="332">
        <f t="shared" si="66"/>
        <v>1.0002424042421272</v>
      </c>
      <c r="P142" s="333">
        <f t="shared" si="67"/>
        <v>5.6153568830318877E-2</v>
      </c>
      <c r="Q142" s="334">
        <f t="shared" si="68"/>
        <v>12.918654363505418</v>
      </c>
      <c r="R142" s="335">
        <f t="shared" si="69"/>
        <v>-97.64792499558574</v>
      </c>
      <c r="S142" s="337">
        <f t="shared" si="70"/>
        <v>82.35207500441426</v>
      </c>
      <c r="U142" s="310">
        <f t="shared" ref="U142:U205" si="75">IF(Q142&lt;0,A142,1000000000)</f>
        <v>1000000000</v>
      </c>
      <c r="V142" s="310">
        <f t="shared" ref="V142:V205" si="76">A142^2</f>
        <v>64574081.640000001</v>
      </c>
      <c r="X142" s="336">
        <f t="shared" si="71"/>
        <v>1.9978386512188275</v>
      </c>
      <c r="Y142" s="337">
        <f t="shared" ref="Y142:Y205" si="77">(L142-(J142+N142))*radconv</f>
        <v>-24.980199140249059</v>
      </c>
      <c r="AA142" s="336">
        <f t="shared" si="72"/>
        <v>10.92081571228659</v>
      </c>
      <c r="AB142" s="337">
        <f t="shared" si="73"/>
        <v>-72.667725855336656</v>
      </c>
      <c r="AD142">
        <f t="shared" ref="AD142:AD205" si="78">SUM((Q143&lt;0)*(Q142&gt;0))*A142</f>
        <v>0</v>
      </c>
      <c r="AE142">
        <f t="shared" si="53"/>
        <v>0</v>
      </c>
    </row>
    <row r="143" spans="1:31" x14ac:dyDescent="0.25">
      <c r="A143" s="338">
        <v>8128.3</v>
      </c>
      <c r="B143" s="355">
        <f t="shared" si="74"/>
        <v>8.1282999999999994</v>
      </c>
      <c r="C143" s="328">
        <f t="shared" si="54"/>
        <v>2.9035212951451115</v>
      </c>
      <c r="D143" s="329">
        <f t="shared" si="55"/>
        <v>1.2191867121801918</v>
      </c>
      <c r="E143" s="329">
        <f t="shared" si="56"/>
        <v>1.0000056808827524</v>
      </c>
      <c r="F143" s="330">
        <f t="shared" si="57"/>
        <v>3.3707138291323873E-3</v>
      </c>
      <c r="G143" s="329">
        <f t="shared" si="58"/>
        <v>1</v>
      </c>
      <c r="H143" s="330">
        <f t="shared" si="59"/>
        <v>0</v>
      </c>
      <c r="I143" s="328">
        <f t="shared" si="60"/>
        <v>14741.678213786303</v>
      </c>
      <c r="J143" s="331">
        <f t="shared" si="61"/>
        <v>1.570728491912988</v>
      </c>
      <c r="K143" s="339">
        <f t="shared" si="62"/>
        <v>2.6092978114387098</v>
      </c>
      <c r="L143" s="340">
        <f t="shared" si="63"/>
        <v>1.1774894730616505</v>
      </c>
      <c r="M143" s="328">
        <f t="shared" si="64"/>
        <v>1.0007658905890524</v>
      </c>
      <c r="N143" s="331">
        <f t="shared" si="65"/>
        <v>3.9125492575890278E-2</v>
      </c>
      <c r="O143" s="332">
        <f t="shared" si="66"/>
        <v>1.0002480373700218</v>
      </c>
      <c r="P143" s="333">
        <f t="shared" si="67"/>
        <v>5.6800323743435986E-2</v>
      </c>
      <c r="Q143" s="334">
        <f t="shared" si="68"/>
        <v>12.816211127450636</v>
      </c>
      <c r="R143" s="335">
        <f t="shared" si="69"/>
        <v>-97.688206023117004</v>
      </c>
      <c r="S143" s="337">
        <f t="shared" si="70"/>
        <v>82.311793976882996</v>
      </c>
      <c r="U143" s="310">
        <f t="shared" si="75"/>
        <v>1000000000</v>
      </c>
      <c r="V143" s="310">
        <f t="shared" si="76"/>
        <v>66069260.890000001</v>
      </c>
      <c r="X143" s="336">
        <f t="shared" si="71"/>
        <v>1.9829436196640715</v>
      </c>
      <c r="Y143" s="337">
        <f t="shared" si="77"/>
        <v>-24.772661744322903</v>
      </c>
      <c r="AA143" s="336">
        <f t="shared" si="72"/>
        <v>10.833267507786564</v>
      </c>
      <c r="AB143" s="337">
        <f t="shared" si="73"/>
        <v>-72.915544278794115</v>
      </c>
      <c r="AD143">
        <f t="shared" si="78"/>
        <v>0</v>
      </c>
      <c r="AE143">
        <f t="shared" si="53"/>
        <v>0</v>
      </c>
    </row>
    <row r="144" spans="1:31" x14ac:dyDescent="0.25">
      <c r="A144" s="338">
        <v>8222.9500000000007</v>
      </c>
      <c r="B144" s="355">
        <f t="shared" si="74"/>
        <v>8.2229500000000009</v>
      </c>
      <c r="C144" s="328">
        <f t="shared" si="54"/>
        <v>2.9333412481931287</v>
      </c>
      <c r="D144" s="329">
        <f t="shared" si="55"/>
        <v>1.2229135581253643</v>
      </c>
      <c r="E144" s="329">
        <f t="shared" si="56"/>
        <v>1.000005813954755</v>
      </c>
      <c r="F144" s="330">
        <f t="shared" si="57"/>
        <v>3.4099638082196074E-3</v>
      </c>
      <c r="G144" s="329">
        <f t="shared" si="58"/>
        <v>1</v>
      </c>
      <c r="H144" s="330">
        <f t="shared" si="59"/>
        <v>0</v>
      </c>
      <c r="I144" s="328">
        <f t="shared" si="60"/>
        <v>14913.337704276475</v>
      </c>
      <c r="J144" s="331">
        <f t="shared" si="61"/>
        <v>1.5707292727241997</v>
      </c>
      <c r="K144" s="339">
        <f t="shared" si="62"/>
        <v>2.6352410363469789</v>
      </c>
      <c r="L144" s="340">
        <f t="shared" si="63"/>
        <v>1.1815708590995049</v>
      </c>
      <c r="M144" s="328">
        <f t="shared" si="64"/>
        <v>1.0007838242417455</v>
      </c>
      <c r="N144" s="331">
        <f t="shared" si="65"/>
        <v>3.9580616474670691E-2</v>
      </c>
      <c r="O144" s="332">
        <f t="shared" si="66"/>
        <v>1.000253869138571</v>
      </c>
      <c r="P144" s="333">
        <f t="shared" si="67"/>
        <v>5.7462124526793161E-2</v>
      </c>
      <c r="Q144" s="334">
        <f t="shared" si="68"/>
        <v>12.712629909355277</v>
      </c>
      <c r="R144" s="335">
        <f t="shared" si="69"/>
        <v>-97.72968332154538</v>
      </c>
      <c r="S144" s="337">
        <f t="shared" si="70"/>
        <v>82.27031667845462</v>
      </c>
      <c r="U144" s="310">
        <f t="shared" si="75"/>
        <v>1000000000</v>
      </c>
      <c r="V144" s="310">
        <f t="shared" si="76"/>
        <v>67616906.702500015</v>
      </c>
      <c r="X144" s="336">
        <f t="shared" si="71"/>
        <v>1.9681633602871342</v>
      </c>
      <c r="Y144" s="337">
        <f t="shared" si="77"/>
        <v>-24.564936965295537</v>
      </c>
      <c r="AA144" s="336">
        <f t="shared" si="72"/>
        <v>10.744466549068143</v>
      </c>
      <c r="AB144" s="337">
        <f t="shared" si="73"/>
        <v>-73.164746356249836</v>
      </c>
      <c r="AD144">
        <f t="shared" si="78"/>
        <v>0</v>
      </c>
      <c r="AE144">
        <f t="shared" si="53"/>
        <v>0</v>
      </c>
    </row>
    <row r="145" spans="1:31" x14ac:dyDescent="0.25">
      <c r="A145" s="338">
        <v>8270.2750000000015</v>
      </c>
      <c r="B145" s="355">
        <f t="shared" si="74"/>
        <v>8.2702750000000016</v>
      </c>
      <c r="C145" s="328">
        <f t="shared" si="54"/>
        <v>2.948266271222904</v>
      </c>
      <c r="D145" s="329">
        <f t="shared" si="55"/>
        <v>1.2247486972536401</v>
      </c>
      <c r="E145" s="329">
        <f t="shared" si="56"/>
        <v>1.0000058810684698</v>
      </c>
      <c r="F145" s="330">
        <f t="shared" si="57"/>
        <v>3.4295887938308187E-3</v>
      </c>
      <c r="G145" s="329">
        <f t="shared" si="58"/>
        <v>1</v>
      </c>
      <c r="H145" s="330">
        <f t="shared" si="59"/>
        <v>0</v>
      </c>
      <c r="I145" s="328">
        <f t="shared" si="60"/>
        <v>14999.167449524912</v>
      </c>
      <c r="J145" s="331">
        <f t="shared" si="61"/>
        <v>1.5707296564277509</v>
      </c>
      <c r="K145" s="339">
        <f t="shared" si="62"/>
        <v>2.6482288682399009</v>
      </c>
      <c r="L145" s="340">
        <f t="shared" si="63"/>
        <v>1.1835815480912184</v>
      </c>
      <c r="M145" s="328">
        <f t="shared" si="64"/>
        <v>1.0007928688035443</v>
      </c>
      <c r="N145" s="331">
        <f t="shared" si="65"/>
        <v>3.9808172283817528E-2</v>
      </c>
      <c r="O145" s="332">
        <f t="shared" si="66"/>
        <v>1.0002568107158298</v>
      </c>
      <c r="P145" s="333">
        <f t="shared" si="67"/>
        <v>5.7793029968547752E-2</v>
      </c>
      <c r="Q145" s="334">
        <f t="shared" si="68"/>
        <v>12.661301543709783</v>
      </c>
      <c r="R145" s="335">
        <f t="shared" si="69"/>
        <v>-97.750520083743908</v>
      </c>
      <c r="S145" s="337">
        <f t="shared" si="70"/>
        <v>82.249479916256092</v>
      </c>
      <c r="U145" s="310">
        <f t="shared" si="75"/>
        <v>1000000000</v>
      </c>
      <c r="V145" s="310">
        <f t="shared" si="76"/>
        <v>68397448.575625017</v>
      </c>
      <c r="X145" s="336">
        <f t="shared" si="71"/>
        <v>1.960942251166939</v>
      </c>
      <c r="Y145" s="337">
        <f t="shared" si="77"/>
        <v>-24.462792944102087</v>
      </c>
      <c r="AA145" s="336">
        <f t="shared" si="72"/>
        <v>10.700359292542842</v>
      </c>
      <c r="AB145" s="337">
        <f t="shared" si="73"/>
        <v>-73.287727139641817</v>
      </c>
      <c r="AD145">
        <f t="shared" si="78"/>
        <v>0</v>
      </c>
      <c r="AE145">
        <f t="shared" si="53"/>
        <v>0</v>
      </c>
    </row>
    <row r="146" spans="1:31" x14ac:dyDescent="0.25">
      <c r="A146" s="338">
        <v>8317.6</v>
      </c>
      <c r="B146" s="355">
        <f t="shared" si="74"/>
        <v>8.3176000000000005</v>
      </c>
      <c r="C146" s="328">
        <f t="shared" si="54"/>
        <v>2.9632011231942292</v>
      </c>
      <c r="D146" s="329">
        <f t="shared" si="55"/>
        <v>1.2265653438519495</v>
      </c>
      <c r="E146" s="329">
        <f t="shared" si="56"/>
        <v>1.0000059485673267</v>
      </c>
      <c r="F146" s="330">
        <f t="shared" si="57"/>
        <v>3.4492137768002756E-3</v>
      </c>
      <c r="G146" s="329">
        <f t="shared" si="58"/>
        <v>1</v>
      </c>
      <c r="H146" s="330">
        <f t="shared" si="59"/>
        <v>0</v>
      </c>
      <c r="I146" s="328">
        <f t="shared" si="60"/>
        <v>15084.997194775529</v>
      </c>
      <c r="J146" s="331">
        <f t="shared" si="61"/>
        <v>1.5707300357649534</v>
      </c>
      <c r="K146" s="339">
        <f t="shared" si="62"/>
        <v>2.6612273020500488</v>
      </c>
      <c r="L146" s="340">
        <f t="shared" si="63"/>
        <v>1.1855726031464657</v>
      </c>
      <c r="M146" s="328">
        <f t="shared" si="64"/>
        <v>1.0008019651871072</v>
      </c>
      <c r="N146" s="331">
        <f t="shared" si="65"/>
        <v>4.0035723968194693E-2</v>
      </c>
      <c r="O146" s="332">
        <f t="shared" si="66"/>
        <v>1.0002597694275033</v>
      </c>
      <c r="P146" s="333">
        <f t="shared" si="67"/>
        <v>5.8123938802621768E-2</v>
      </c>
      <c r="Q146" s="334">
        <f t="shared" si="68"/>
        <v>12.610276472206646</v>
      </c>
      <c r="R146" s="335">
        <f t="shared" si="69"/>
        <v>-97.771421951729337</v>
      </c>
      <c r="S146" s="337">
        <f t="shared" si="70"/>
        <v>82.228578048270663</v>
      </c>
      <c r="U146" s="310">
        <f t="shared" si="75"/>
        <v>1000000000</v>
      </c>
      <c r="V146" s="310">
        <f t="shared" si="76"/>
        <v>69182469.760000005</v>
      </c>
      <c r="X146" s="336">
        <f t="shared" si="71"/>
        <v>1.9538307971585613</v>
      </c>
      <c r="Y146" s="337">
        <f t="shared" si="77"/>
        <v>-24.361773378099425</v>
      </c>
      <c r="AA146" s="336">
        <f t="shared" si="72"/>
        <v>10.656445675048083</v>
      </c>
      <c r="AB146" s="337">
        <f t="shared" si="73"/>
        <v>-73.409648573629923</v>
      </c>
      <c r="AD146">
        <f t="shared" si="78"/>
        <v>0</v>
      </c>
      <c r="AE146">
        <f t="shared" si="53"/>
        <v>0</v>
      </c>
    </row>
    <row r="147" spans="1:31" x14ac:dyDescent="0.25">
      <c r="A147" s="338">
        <v>8366.0499999999993</v>
      </c>
      <c r="B147" s="355">
        <f t="shared" si="74"/>
        <v>8.3660499999999995</v>
      </c>
      <c r="C147" s="328">
        <f t="shared" si="54"/>
        <v>2.97850103115687</v>
      </c>
      <c r="D147" s="329">
        <f t="shared" si="55"/>
        <v>1.2284062962729869</v>
      </c>
      <c r="E147" s="329">
        <f t="shared" si="56"/>
        <v>1.0000060180697368</v>
      </c>
      <c r="F147" s="330">
        <f t="shared" si="57"/>
        <v>3.4693052780070143E-3</v>
      </c>
      <c r="G147" s="329">
        <f t="shared" si="58"/>
        <v>1</v>
      </c>
      <c r="H147" s="330">
        <f t="shared" si="59"/>
        <v>0</v>
      </c>
      <c r="I147" s="328">
        <f t="shared" si="60"/>
        <v>15172.867266777592</v>
      </c>
      <c r="J147" s="331">
        <f t="shared" si="61"/>
        <v>1.5707304196737744</v>
      </c>
      <c r="K147" s="339">
        <f t="shared" si="62"/>
        <v>2.6745455534593248</v>
      </c>
      <c r="L147" s="340">
        <f t="shared" si="63"/>
        <v>1.1875909321070304</v>
      </c>
      <c r="M147" s="328">
        <f t="shared" si="64"/>
        <v>1.0008113314907723</v>
      </c>
      <c r="N147" s="331">
        <f t="shared" si="65"/>
        <v>4.0268680666108364E-2</v>
      </c>
      <c r="O147" s="332">
        <f t="shared" si="66"/>
        <v>1.0002628162278233</v>
      </c>
      <c r="P147" s="333">
        <f t="shared" si="67"/>
        <v>5.8462717466560669E-2</v>
      </c>
      <c r="Q147" s="334">
        <f t="shared" si="68"/>
        <v>12.55834890882393</v>
      </c>
      <c r="R147" s="335">
        <f t="shared" si="69"/>
        <v>-97.792887886018818</v>
      </c>
      <c r="S147" s="337">
        <f t="shared" si="70"/>
        <v>82.207112113981182</v>
      </c>
      <c r="U147" s="310">
        <f t="shared" si="75"/>
        <v>1000000000</v>
      </c>
      <c r="V147" s="310">
        <f t="shared" si="76"/>
        <v>69990792.602499992</v>
      </c>
      <c r="X147" s="336">
        <f t="shared" si="71"/>
        <v>1.946661590696751</v>
      </c>
      <c r="Y147" s="337">
        <f t="shared" si="77"/>
        <v>-24.259501078828094</v>
      </c>
      <c r="AA147" s="336">
        <f t="shared" si="72"/>
        <v>10.611687318127178</v>
      </c>
      <c r="AB147" s="337">
        <f t="shared" si="73"/>
        <v>-73.533386807190695</v>
      </c>
      <c r="AD147">
        <f t="shared" si="78"/>
        <v>0</v>
      </c>
      <c r="AE147">
        <f t="shared" si="53"/>
        <v>0</v>
      </c>
    </row>
    <row r="148" spans="1:31" x14ac:dyDescent="0.25">
      <c r="A148" s="341">
        <v>8414.5</v>
      </c>
      <c r="B148" s="355">
        <f t="shared" si="74"/>
        <v>8.4145000000000003</v>
      </c>
      <c r="C148" s="328">
        <f t="shared" si="54"/>
        <v>2.9938109303791647</v>
      </c>
      <c r="D148" s="329">
        <f t="shared" si="55"/>
        <v>1.230228426108817</v>
      </c>
      <c r="E148" s="329">
        <f t="shared" si="56"/>
        <v>1.0000060879758177</v>
      </c>
      <c r="F148" s="330">
        <f t="shared" si="57"/>
        <v>3.4893967764128456E-3</v>
      </c>
      <c r="G148" s="329">
        <f t="shared" si="58"/>
        <v>1</v>
      </c>
      <c r="H148" s="330">
        <f t="shared" si="59"/>
        <v>0</v>
      </c>
      <c r="I148" s="328">
        <f t="shared" si="60"/>
        <v>15260.73733878187</v>
      </c>
      <c r="J148" s="331">
        <f t="shared" si="61"/>
        <v>1.5707307991615644</v>
      </c>
      <c r="K148" s="339">
        <f t="shared" ref="K148:K157" si="79">SQRT(1+(A148/Zero2)^2)</f>
        <v>2.6878745920403966</v>
      </c>
      <c r="L148" s="340">
        <f t="shared" ref="L148:L157" si="80">ATAN(A148/Zero2)</f>
        <v>1.1895892515518176</v>
      </c>
      <c r="M148" s="328">
        <f t="shared" si="64"/>
        <v>1.000820752106272</v>
      </c>
      <c r="N148" s="331">
        <f t="shared" si="65"/>
        <v>4.0501632991072421E-2</v>
      </c>
      <c r="O148" s="332">
        <f t="shared" si="66"/>
        <v>1.0002658809961265</v>
      </c>
      <c r="P148" s="333">
        <f t="shared" si="67"/>
        <v>5.8801499726734374E-2</v>
      </c>
      <c r="Q148" s="334">
        <f t="shared" si="68"/>
        <v>12.506731721510871</v>
      </c>
      <c r="R148" s="335">
        <f t="shared" si="69"/>
        <v>-97.814421528772172</v>
      </c>
      <c r="S148" s="337">
        <f t="shared" si="70"/>
        <v>82.185578471227828</v>
      </c>
      <c r="U148" s="310">
        <f t="shared" si="75"/>
        <v>1000000000</v>
      </c>
      <c r="V148" s="310">
        <f t="shared" si="76"/>
        <v>70803810.25</v>
      </c>
      <c r="X148" s="336">
        <f t="shared" si="71"/>
        <v>1.9396027068241537</v>
      </c>
      <c r="Y148" s="337">
        <f t="shared" si="77"/>
        <v>-24.15837473650425</v>
      </c>
      <c r="AA148" s="336">
        <f t="shared" si="72"/>
        <v>10.567129014686715</v>
      </c>
      <c r="AB148" s="337">
        <f t="shared" si="73"/>
        <v>-73.656046792267887</v>
      </c>
      <c r="AD148">
        <f t="shared" si="78"/>
        <v>0</v>
      </c>
      <c r="AE148">
        <f t="shared" si="53"/>
        <v>0</v>
      </c>
    </row>
    <row r="149" spans="1:31" x14ac:dyDescent="0.25">
      <c r="A149" s="341">
        <v>8462.9500000000007</v>
      </c>
      <c r="B149" s="355">
        <f t="shared" si="74"/>
        <v>8.4629500000000011</v>
      </c>
      <c r="C149" s="328">
        <f t="shared" si="54"/>
        <v>3.0091306683600845</v>
      </c>
      <c r="D149" s="329">
        <f t="shared" si="55"/>
        <v>1.2320320086488377</v>
      </c>
      <c r="E149" s="329">
        <f t="shared" si="56"/>
        <v>1.0000061582855693</v>
      </c>
      <c r="F149" s="330">
        <f t="shared" si="57"/>
        <v>3.5094882720015474E-3</v>
      </c>
      <c r="G149" s="329">
        <f t="shared" si="58"/>
        <v>1</v>
      </c>
      <c r="H149" s="330">
        <f t="shared" si="59"/>
        <v>0</v>
      </c>
      <c r="I149" s="328">
        <f t="shared" si="60"/>
        <v>15348.607410788318</v>
      </c>
      <c r="J149" s="331">
        <f t="shared" si="61"/>
        <v>1.570731174304254</v>
      </c>
      <c r="K149" s="339">
        <f t="shared" si="79"/>
        <v>2.7012142581066079</v>
      </c>
      <c r="L149" s="340">
        <f t="shared" si="80"/>
        <v>1.1915678418467255</v>
      </c>
      <c r="M149" s="328">
        <f t="shared" si="64"/>
        <v>1.000830227032073</v>
      </c>
      <c r="N149" s="331">
        <f t="shared" si="65"/>
        <v>4.0734580917927553E-2</v>
      </c>
      <c r="O149" s="332">
        <f t="shared" si="66"/>
        <v>1.0002689637371338</v>
      </c>
      <c r="P149" s="333">
        <f t="shared" si="67"/>
        <v>5.9140285603733654E-2</v>
      </c>
      <c r="Q149" s="334">
        <f t="shared" si="68"/>
        <v>12.455421210748586</v>
      </c>
      <c r="R149" s="335">
        <f t="shared" si="69"/>
        <v>-97.836022593217052</v>
      </c>
      <c r="S149" s="337">
        <f t="shared" si="70"/>
        <v>82.163977406782948</v>
      </c>
      <c r="U149" s="310">
        <f t="shared" si="75"/>
        <v>1000000000</v>
      </c>
      <c r="V149" s="310">
        <f t="shared" si="76"/>
        <v>71621522.702500015</v>
      </c>
      <c r="X149" s="336">
        <f t="shared" si="71"/>
        <v>1.9326519000582194</v>
      </c>
      <c r="Y149" s="337">
        <f t="shared" si="77"/>
        <v>-24.058378290254179</v>
      </c>
      <c r="AA149" s="336">
        <f t="shared" si="72"/>
        <v>10.522769310690363</v>
      </c>
      <c r="AB149" s="337">
        <f t="shared" si="73"/>
        <v>-73.777644302962884</v>
      </c>
      <c r="AD149">
        <f t="shared" si="78"/>
        <v>0</v>
      </c>
      <c r="AE149">
        <f t="shared" si="53"/>
        <v>0</v>
      </c>
    </row>
    <row r="150" spans="1:31" x14ac:dyDescent="0.25">
      <c r="A150" s="341">
        <v>8511.4</v>
      </c>
      <c r="B150" s="355">
        <f t="shared" si="74"/>
        <v>8.5114000000000001</v>
      </c>
      <c r="C150" s="328">
        <f t="shared" si="54"/>
        <v>3.0244600955914231</v>
      </c>
      <c r="D150" s="329">
        <f t="shared" si="55"/>
        <v>1.233817314089301</v>
      </c>
      <c r="E150" s="329">
        <f t="shared" si="56"/>
        <v>1.0000062289989915</v>
      </c>
      <c r="F150" s="330">
        <f t="shared" si="57"/>
        <v>3.5295797647569003E-3</v>
      </c>
      <c r="G150" s="329">
        <f t="shared" si="58"/>
        <v>1</v>
      </c>
      <c r="H150" s="330">
        <f t="shared" si="59"/>
        <v>0</v>
      </c>
      <c r="I150" s="328">
        <f t="shared" si="60"/>
        <v>15436.477482796901</v>
      </c>
      <c r="J150" s="331">
        <f t="shared" si="61"/>
        <v>1.5707315451760451</v>
      </c>
      <c r="K150" s="339">
        <f t="shared" si="79"/>
        <v>2.7145643949840919</v>
      </c>
      <c r="L150" s="340">
        <f t="shared" si="80"/>
        <v>1.1935269784668288</v>
      </c>
      <c r="M150" s="328">
        <f t="shared" si="64"/>
        <v>1.0008397562666327</v>
      </c>
      <c r="N150" s="331">
        <f t="shared" si="65"/>
        <v>4.0967524421517298E-2</v>
      </c>
      <c r="O150" s="332">
        <f t="shared" si="66"/>
        <v>1.0002720644555945</v>
      </c>
      <c r="P150" s="333">
        <f t="shared" si="67"/>
        <v>5.947907511814518E-2</v>
      </c>
      <c r="Q150" s="334">
        <f t="shared" si="68"/>
        <v>12.404413741714333</v>
      </c>
      <c r="R150" s="335">
        <f t="shared" si="69"/>
        <v>-97.857690780889783</v>
      </c>
      <c r="S150" s="337">
        <f t="shared" si="70"/>
        <v>82.142309219110217</v>
      </c>
      <c r="U150" s="310">
        <f t="shared" si="75"/>
        <v>1000000000</v>
      </c>
      <c r="V150" s="310">
        <f t="shared" si="76"/>
        <v>72443929.959999993</v>
      </c>
      <c r="X150" s="336">
        <f t="shared" si="71"/>
        <v>1.9258069802547384</v>
      </c>
      <c r="Y150" s="337">
        <f t="shared" si="77"/>
        <v>-23.959495959328795</v>
      </c>
      <c r="AA150" s="336">
        <f t="shared" si="72"/>
        <v>10.478606761459595</v>
      </c>
      <c r="AB150" s="337">
        <f t="shared" si="73"/>
        <v>-73.898194821560963</v>
      </c>
      <c r="AD150">
        <f t="shared" si="78"/>
        <v>0</v>
      </c>
      <c r="AE150">
        <f t="shared" si="53"/>
        <v>0</v>
      </c>
    </row>
    <row r="151" spans="1:31" x14ac:dyDescent="0.25">
      <c r="A151" s="341">
        <v>8560.9500000000007</v>
      </c>
      <c r="B151" s="355">
        <f t="shared" si="74"/>
        <v>8.5609500000000001</v>
      </c>
      <c r="C151" s="328">
        <f t="shared" si="54"/>
        <v>3.0401474283301204</v>
      </c>
      <c r="D151" s="329">
        <f t="shared" si="55"/>
        <v>1.2356245248913764</v>
      </c>
      <c r="E151" s="329">
        <f t="shared" si="56"/>
        <v>1.0000063017354002</v>
      </c>
      <c r="F151" s="330">
        <f t="shared" si="57"/>
        <v>3.550127408167068E-3</v>
      </c>
      <c r="G151" s="329">
        <f t="shared" si="58"/>
        <v>1</v>
      </c>
      <c r="H151" s="330">
        <f t="shared" si="59"/>
        <v>0</v>
      </c>
      <c r="I151" s="328">
        <f t="shared" si="60"/>
        <v>15526.342540962649</v>
      </c>
      <c r="J151" s="331">
        <f t="shared" si="61"/>
        <v>1.5707319201261623</v>
      </c>
      <c r="K151" s="339">
        <f t="shared" si="79"/>
        <v>2.7282283008556161</v>
      </c>
      <c r="L151" s="340">
        <f t="shared" si="80"/>
        <v>1.1955107558322187</v>
      </c>
      <c r="M151" s="328">
        <f t="shared" si="64"/>
        <v>1.0008495580218661</v>
      </c>
      <c r="N151" s="331">
        <f t="shared" si="65"/>
        <v>4.1205752030846442E-2</v>
      </c>
      <c r="O151" s="332">
        <f t="shared" si="66"/>
        <v>1.0002752541715034</v>
      </c>
      <c r="P151" s="333">
        <f t="shared" si="67"/>
        <v>5.9825560231831783E-2</v>
      </c>
      <c r="Q151" s="334">
        <f t="shared" si="68"/>
        <v>12.352557926766652</v>
      </c>
      <c r="R151" s="335">
        <f t="shared" si="69"/>
        <v>-97.879920023103423</v>
      </c>
      <c r="S151" s="337">
        <f t="shared" si="70"/>
        <v>82.120079976896577</v>
      </c>
      <c r="U151" s="310">
        <f t="shared" si="75"/>
        <v>1000000000</v>
      </c>
      <c r="V151" s="310">
        <f t="shared" si="76"/>
        <v>73289864.902500018</v>
      </c>
      <c r="X151" s="336">
        <f t="shared" si="71"/>
        <v>1.9189139488281934</v>
      </c>
      <c r="Y151" s="337">
        <f t="shared" si="77"/>
        <v>-23.859504808321407</v>
      </c>
      <c r="AA151" s="336">
        <f t="shared" si="72"/>
        <v>10.433643977938459</v>
      </c>
      <c r="AB151" s="337">
        <f t="shared" si="73"/>
        <v>-74.02041521478202</v>
      </c>
      <c r="AD151">
        <f t="shared" si="78"/>
        <v>0</v>
      </c>
      <c r="AE151">
        <f t="shared" si="53"/>
        <v>0</v>
      </c>
    </row>
    <row r="152" spans="1:31" x14ac:dyDescent="0.25">
      <c r="A152" s="341">
        <v>8610.5</v>
      </c>
      <c r="B152" s="355">
        <f t="shared" si="74"/>
        <v>8.6105</v>
      </c>
      <c r="C152" s="328">
        <f t="shared" si="54"/>
        <v>3.0558445882609657</v>
      </c>
      <c r="D152" s="329">
        <f t="shared" si="55"/>
        <v>1.2374131750457056</v>
      </c>
      <c r="E152" s="329">
        <f t="shared" si="56"/>
        <v>1.0000063748940171</v>
      </c>
      <c r="F152" s="330">
        <f t="shared" si="57"/>
        <v>3.5706750485794553E-3</v>
      </c>
      <c r="G152" s="329">
        <f t="shared" si="58"/>
        <v>1</v>
      </c>
      <c r="H152" s="330">
        <f t="shared" si="59"/>
        <v>0</v>
      </c>
      <c r="I152" s="328">
        <f t="shared" si="60"/>
        <v>15616.207599130554</v>
      </c>
      <c r="J152" s="331">
        <f t="shared" si="61"/>
        <v>1.570732290760902</v>
      </c>
      <c r="K152" s="339">
        <f t="shared" si="79"/>
        <v>2.7419028362888649</v>
      </c>
      <c r="L152" s="340">
        <f t="shared" si="80"/>
        <v>1.1974747537034449</v>
      </c>
      <c r="M152" s="328">
        <f t="shared" si="64"/>
        <v>1.0008594165765936</v>
      </c>
      <c r="N152" s="331">
        <f t="shared" si="65"/>
        <v>4.1443974960568578E-2</v>
      </c>
      <c r="O152" s="332">
        <f t="shared" si="66"/>
        <v>1.0002784627005799</v>
      </c>
      <c r="P152" s="333">
        <f t="shared" si="67"/>
        <v>6.0172049193511719E-2</v>
      </c>
      <c r="Q152" s="334">
        <f t="shared" si="68"/>
        <v>12.301011581207195</v>
      </c>
      <c r="R152" s="335">
        <f t="shared" si="69"/>
        <v>-97.902218805343637</v>
      </c>
      <c r="S152" s="337">
        <f t="shared" si="70"/>
        <v>82.097781194656363</v>
      </c>
      <c r="U152" s="310">
        <f t="shared" si="75"/>
        <v>1000000000</v>
      </c>
      <c r="V152" s="310">
        <f t="shared" si="76"/>
        <v>74140710.25</v>
      </c>
      <c r="X152" s="336">
        <f t="shared" si="71"/>
        <v>1.9121272039416726</v>
      </c>
      <c r="Y152" s="337">
        <f t="shared" si="77"/>
        <v>-23.760646423477159</v>
      </c>
      <c r="AA152" s="336">
        <f t="shared" si="72"/>
        <v>10.388884377265519</v>
      </c>
      <c r="AB152" s="337">
        <f t="shared" si="73"/>
        <v>-74.141572381866496</v>
      </c>
      <c r="AD152">
        <f t="shared" si="78"/>
        <v>0</v>
      </c>
      <c r="AE152">
        <f t="shared" si="53"/>
        <v>0</v>
      </c>
    </row>
    <row r="153" spans="1:31" x14ac:dyDescent="0.25">
      <c r="A153" s="341">
        <v>8660.0499999999993</v>
      </c>
      <c r="B153" s="355">
        <f t="shared" si="74"/>
        <v>8.66005</v>
      </c>
      <c r="C153" s="328">
        <f t="shared" si="54"/>
        <v>3.0715514247184013</v>
      </c>
      <c r="D153" s="329">
        <f t="shared" si="55"/>
        <v>1.2391835377569138</v>
      </c>
      <c r="E153" s="329">
        <f t="shared" si="56"/>
        <v>1.0000064484748423</v>
      </c>
      <c r="F153" s="330">
        <f t="shared" si="57"/>
        <v>3.5912226859767128E-3</v>
      </c>
      <c r="G153" s="329">
        <f t="shared" si="58"/>
        <v>1</v>
      </c>
      <c r="H153" s="330">
        <f t="shared" si="59"/>
        <v>0</v>
      </c>
      <c r="I153" s="328">
        <f t="shared" si="60"/>
        <v>15706.072657300578</v>
      </c>
      <c r="J153" s="331">
        <f t="shared" si="61"/>
        <v>1.5707326571543381</v>
      </c>
      <c r="K153" s="339">
        <f t="shared" si="79"/>
        <v>2.755587843037044</v>
      </c>
      <c r="L153" s="340">
        <f t="shared" si="80"/>
        <v>1.1994192515065454</v>
      </c>
      <c r="M153" s="328">
        <f t="shared" si="64"/>
        <v>1.0008693319291369</v>
      </c>
      <c r="N153" s="331">
        <f t="shared" si="65"/>
        <v>4.1682193183784022E-2</v>
      </c>
      <c r="O153" s="332">
        <f t="shared" si="66"/>
        <v>1.0002816900479918</v>
      </c>
      <c r="P153" s="333">
        <f t="shared" si="67"/>
        <v>6.0518542025192537E-2</v>
      </c>
      <c r="Q153" s="334">
        <f t="shared" si="68"/>
        <v>12.249771017499459</v>
      </c>
      <c r="R153" s="335">
        <f t="shared" si="69"/>
        <v>-97.924586775114548</v>
      </c>
      <c r="S153" s="337">
        <f t="shared" si="70"/>
        <v>82.075413224885452</v>
      </c>
      <c r="U153" s="310">
        <f t="shared" si="75"/>
        <v>1000000000</v>
      </c>
      <c r="V153" s="310">
        <f t="shared" si="76"/>
        <v>74996466.002499983</v>
      </c>
      <c r="X153" s="336">
        <f t="shared" si="71"/>
        <v>1.9054445722593938</v>
      </c>
      <c r="Y153" s="337">
        <f t="shared" si="77"/>
        <v>-23.662904797566231</v>
      </c>
      <c r="AA153" s="336">
        <f t="shared" si="72"/>
        <v>10.344326445240064</v>
      </c>
      <c r="AB153" s="337">
        <f t="shared" si="73"/>
        <v>-74.261681977548335</v>
      </c>
      <c r="AD153">
        <f t="shared" si="78"/>
        <v>0</v>
      </c>
      <c r="AE153">
        <f t="shared" si="53"/>
        <v>0</v>
      </c>
    </row>
    <row r="154" spans="1:31" x14ac:dyDescent="0.25">
      <c r="A154" s="341">
        <v>8709.6</v>
      </c>
      <c r="B154" s="355">
        <f t="shared" si="74"/>
        <v>8.7096</v>
      </c>
      <c r="C154" s="328">
        <f t="shared" si="54"/>
        <v>3.0872677900110457</v>
      </c>
      <c r="D154" s="329">
        <f t="shared" si="55"/>
        <v>1.2409358811300977</v>
      </c>
      <c r="E154" s="329">
        <f t="shared" si="56"/>
        <v>1.0000065224778756</v>
      </c>
      <c r="F154" s="330">
        <f t="shared" si="57"/>
        <v>3.611770320341491E-3</v>
      </c>
      <c r="G154" s="329">
        <f t="shared" si="58"/>
        <v>1</v>
      </c>
      <c r="H154" s="330">
        <f t="shared" si="59"/>
        <v>0</v>
      </c>
      <c r="I154" s="328">
        <f t="shared" si="60"/>
        <v>15795.937715472692</v>
      </c>
      <c r="J154" s="331">
        <f t="shared" si="61"/>
        <v>1.5707330193788585</v>
      </c>
      <c r="K154" s="339">
        <f t="shared" si="79"/>
        <v>2.7692831658614114</v>
      </c>
      <c r="L154" s="340">
        <f t="shared" si="80"/>
        <v>1.2013445237362306</v>
      </c>
      <c r="M154" s="328">
        <f t="shared" si="64"/>
        <v>1.0008793040778072</v>
      </c>
      <c r="N154" s="331">
        <f t="shared" si="65"/>
        <v>4.1920406673596283E-2</v>
      </c>
      <c r="O154" s="332">
        <f t="shared" si="66"/>
        <v>1.000284936218937</v>
      </c>
      <c r="P154" s="333">
        <f t="shared" si="67"/>
        <v>6.08650387488772E-2</v>
      </c>
      <c r="Q154" s="334">
        <f t="shared" si="68"/>
        <v>12.198832612648935</v>
      </c>
      <c r="R154" s="335">
        <f t="shared" si="69"/>
        <v>-97.947023570186403</v>
      </c>
      <c r="S154" s="337">
        <f t="shared" si="70"/>
        <v>82.052976429813597</v>
      </c>
      <c r="U154" s="310">
        <f t="shared" si="75"/>
        <v>1000000000</v>
      </c>
      <c r="V154" s="310">
        <f t="shared" si="76"/>
        <v>75857132.160000011</v>
      </c>
      <c r="X154" s="336">
        <f t="shared" si="71"/>
        <v>1.8988639342795808</v>
      </c>
      <c r="Y154" s="337">
        <f t="shared" si="77"/>
        <v>-23.566264205806679</v>
      </c>
      <c r="AA154" s="336">
        <f t="shared" si="72"/>
        <v>10.299968678369355</v>
      </c>
      <c r="AB154" s="337">
        <f t="shared" si="73"/>
        <v>-74.380759364379713</v>
      </c>
      <c r="AD154">
        <f t="shared" si="78"/>
        <v>0</v>
      </c>
      <c r="AE154">
        <f t="shared" ref="AE154:AE217" si="81">IF(AD154&gt;0,S154,0)</f>
        <v>0</v>
      </c>
    </row>
    <row r="155" spans="1:31" x14ac:dyDescent="0.25">
      <c r="A155" s="341">
        <v>8760.3250000000007</v>
      </c>
      <c r="B155" s="355">
        <f t="shared" si="74"/>
        <v>8.7603249999999999</v>
      </c>
      <c r="C155" s="328">
        <f t="shared" si="54"/>
        <v>3.1033665633967784</v>
      </c>
      <c r="D155" s="329">
        <f t="shared" si="55"/>
        <v>1.2427113878793619</v>
      </c>
      <c r="E155" s="329">
        <f t="shared" si="56"/>
        <v>1.0000065986731186</v>
      </c>
      <c r="F155" s="330">
        <f t="shared" si="57"/>
        <v>3.632805206246828E-3</v>
      </c>
      <c r="G155" s="329">
        <f t="shared" si="58"/>
        <v>1</v>
      </c>
      <c r="H155" s="330">
        <f t="shared" si="59"/>
        <v>0</v>
      </c>
      <c r="I155" s="328">
        <f t="shared" si="60"/>
        <v>15887.933781585416</v>
      </c>
      <c r="J155" s="331">
        <f t="shared" si="61"/>
        <v>1.57073338594844</v>
      </c>
      <c r="K155" s="339">
        <f t="shared" si="79"/>
        <v>2.7833137785715034</v>
      </c>
      <c r="L155" s="340">
        <f t="shared" si="80"/>
        <v>1.2032958174313544</v>
      </c>
      <c r="M155" s="328">
        <f t="shared" si="64"/>
        <v>1.0008895715308048</v>
      </c>
      <c r="N155" s="331">
        <f t="shared" si="65"/>
        <v>4.2164264088950174E-2</v>
      </c>
      <c r="O155" s="332">
        <f t="shared" si="66"/>
        <v>1.0002882788715393</v>
      </c>
      <c r="P155" s="333">
        <f t="shared" si="67"/>
        <v>6.1219756149676237E-2</v>
      </c>
      <c r="Q155" s="334">
        <f t="shared" si="68"/>
        <v>12.146995559299835</v>
      </c>
      <c r="R155" s="335">
        <f t="shared" si="69"/>
        <v>-97.97006332351485</v>
      </c>
      <c r="S155" s="337">
        <f t="shared" si="70"/>
        <v>82.02993667648515</v>
      </c>
      <c r="U155" s="310">
        <f t="shared" si="75"/>
        <v>1000000000</v>
      </c>
      <c r="V155" s="310">
        <f t="shared" si="76"/>
        <v>76743294.105625018</v>
      </c>
      <c r="X155" s="336">
        <f t="shared" si="71"/>
        <v>1.8922307392223614</v>
      </c>
      <c r="Y155" s="337">
        <f t="shared" si="77"/>
        <v>-23.468456315966499</v>
      </c>
      <c r="AA155" s="336">
        <f t="shared" si="72"/>
        <v>10.254764820077472</v>
      </c>
      <c r="AB155" s="337">
        <f t="shared" si="73"/>
        <v>-74.501607007548358</v>
      </c>
      <c r="AD155">
        <f t="shared" si="78"/>
        <v>0</v>
      </c>
      <c r="AE155">
        <f t="shared" si="81"/>
        <v>0</v>
      </c>
    </row>
    <row r="156" spans="1:31" x14ac:dyDescent="0.25">
      <c r="A156" s="341">
        <v>8811.0499999999993</v>
      </c>
      <c r="B156" s="355">
        <f t="shared" si="74"/>
        <v>8.8110499999999998</v>
      </c>
      <c r="C156" s="328">
        <f t="shared" si="54"/>
        <v>3.1194750189163409</v>
      </c>
      <c r="D156" s="329">
        <f t="shared" si="55"/>
        <v>1.2444685632712305</v>
      </c>
      <c r="E156" s="329">
        <f t="shared" si="56"/>
        <v>1.0000066753108308</v>
      </c>
      <c r="F156" s="330">
        <f t="shared" si="57"/>
        <v>3.653840088937362E-3</v>
      </c>
      <c r="G156" s="329">
        <f t="shared" si="58"/>
        <v>1</v>
      </c>
      <c r="H156" s="330">
        <f t="shared" si="59"/>
        <v>0</v>
      </c>
      <c r="I156" s="328">
        <f t="shared" si="60"/>
        <v>15979.929847700249</v>
      </c>
      <c r="J156" s="331">
        <f t="shared" si="61"/>
        <v>1.5707337482973573</v>
      </c>
      <c r="K156" s="339">
        <f t="shared" si="79"/>
        <v>2.7973548825483174</v>
      </c>
      <c r="L156" s="340">
        <f t="shared" si="80"/>
        <v>1.2052275296880979</v>
      </c>
      <c r="M156" s="328">
        <f t="shared" si="64"/>
        <v>1.000899898501918</v>
      </c>
      <c r="N156" s="331">
        <f t="shared" si="65"/>
        <v>4.2408116486716246E-2</v>
      </c>
      <c r="O156" s="332">
        <f t="shared" si="66"/>
        <v>1.0002916412621192</v>
      </c>
      <c r="P156" s="333">
        <f t="shared" si="67"/>
        <v>6.1574477675902795E-2</v>
      </c>
      <c r="Q156" s="334">
        <f t="shared" si="68"/>
        <v>12.095467682334935</v>
      </c>
      <c r="R156" s="335">
        <f t="shared" si="69"/>
        <v>-97.993174408448795</v>
      </c>
      <c r="S156" s="337">
        <f t="shared" si="70"/>
        <v>82.006825591551205</v>
      </c>
      <c r="U156" s="310">
        <f t="shared" si="75"/>
        <v>1000000000</v>
      </c>
      <c r="V156" s="310">
        <f t="shared" si="76"/>
        <v>77634602.102499992</v>
      </c>
      <c r="X156" s="336">
        <f t="shared" si="71"/>
        <v>1.885700103533507</v>
      </c>
      <c r="Y156" s="337">
        <f t="shared" si="77"/>
        <v>-23.371769830590743</v>
      </c>
      <c r="AA156" s="336">
        <f t="shared" si="72"/>
        <v>10.209767578801427</v>
      </c>
      <c r="AB156" s="337">
        <f t="shared" si="73"/>
        <v>-74.621404577858058</v>
      </c>
      <c r="AD156">
        <f t="shared" si="78"/>
        <v>0</v>
      </c>
      <c r="AE156">
        <f t="shared" si="81"/>
        <v>0</v>
      </c>
    </row>
    <row r="157" spans="1:31" x14ac:dyDescent="0.25">
      <c r="A157" s="341">
        <v>8861.7749999999996</v>
      </c>
      <c r="B157" s="355">
        <f t="shared" si="74"/>
        <v>8.8617749999999997</v>
      </c>
      <c r="C157" s="328">
        <f t="shared" si="54"/>
        <v>3.1355930073499039</v>
      </c>
      <c r="D157" s="329">
        <f t="shared" si="55"/>
        <v>1.2462076790579344</v>
      </c>
      <c r="E157" s="329">
        <f t="shared" si="56"/>
        <v>1.0000067523910121</v>
      </c>
      <c r="F157" s="330">
        <f t="shared" si="57"/>
        <v>3.6748749683944808E-3</v>
      </c>
      <c r="G157" s="329">
        <f t="shared" si="58"/>
        <v>1</v>
      </c>
      <c r="H157" s="330">
        <f t="shared" si="59"/>
        <v>0</v>
      </c>
      <c r="I157" s="328">
        <f t="shared" si="60"/>
        <v>16071.925913817156</v>
      </c>
      <c r="J157" s="331">
        <f t="shared" si="61"/>
        <v>1.570734106498088</v>
      </c>
      <c r="K157" s="339">
        <f t="shared" si="79"/>
        <v>2.8114063206011681</v>
      </c>
      <c r="L157" s="340">
        <f t="shared" si="80"/>
        <v>1.2071399395857854</v>
      </c>
      <c r="M157" s="328">
        <f t="shared" si="64"/>
        <v>1.0009102849893043</v>
      </c>
      <c r="N157" s="331">
        <f t="shared" si="65"/>
        <v>4.2651963838049395E-2</v>
      </c>
      <c r="O157" s="332">
        <f t="shared" si="66"/>
        <v>1.0002950233963503</v>
      </c>
      <c r="P157" s="333">
        <f t="shared" si="67"/>
        <v>6.1929203351147495E-2</v>
      </c>
      <c r="Q157" s="334">
        <f t="shared" si="68"/>
        <v>12.044245295573583</v>
      </c>
      <c r="R157" s="335">
        <f t="shared" si="69"/>
        <v>-98.016356409029385</v>
      </c>
      <c r="S157" s="337">
        <f t="shared" si="70"/>
        <v>81.983643590970615</v>
      </c>
      <c r="U157" s="310">
        <f t="shared" si="75"/>
        <v>1000000000</v>
      </c>
      <c r="V157" s="310">
        <f t="shared" si="76"/>
        <v>78531056.15062499</v>
      </c>
      <c r="X157" s="336">
        <f t="shared" si="71"/>
        <v>1.879269918624751</v>
      </c>
      <c r="Y157" s="337">
        <f t="shared" si="77"/>
        <v>-23.2761887621119</v>
      </c>
      <c r="AA157" s="336">
        <f t="shared" si="72"/>
        <v>10.164975376948831</v>
      </c>
      <c r="AB157" s="337">
        <f t="shared" si="73"/>
        <v>-74.74016764691747</v>
      </c>
      <c r="AD157">
        <f t="shared" si="78"/>
        <v>0</v>
      </c>
      <c r="AE157">
        <f t="shared" si="81"/>
        <v>0</v>
      </c>
    </row>
    <row r="158" spans="1:31" x14ac:dyDescent="0.25">
      <c r="A158" s="338">
        <v>8912.5</v>
      </c>
      <c r="B158" s="355">
        <f t="shared" si="74"/>
        <v>8.9124999999999996</v>
      </c>
      <c r="C158" s="328">
        <f t="shared" si="54"/>
        <v>3.1517203824426838</v>
      </c>
      <c r="D158" s="329">
        <f t="shared" si="55"/>
        <v>1.2479290018713973</v>
      </c>
      <c r="E158" s="329">
        <f t="shared" si="56"/>
        <v>1.0000068299136626</v>
      </c>
      <c r="F158" s="330">
        <f t="shared" si="57"/>
        <v>3.6959098445995694E-3</v>
      </c>
      <c r="G158" s="329">
        <f t="shared" si="58"/>
        <v>1</v>
      </c>
      <c r="H158" s="330">
        <f t="shared" si="59"/>
        <v>0</v>
      </c>
      <c r="I158" s="328">
        <f t="shared" si="60"/>
        <v>16163.921979936104</v>
      </c>
      <c r="J158" s="331">
        <f t="shared" si="61"/>
        <v>1.5707344606214593</v>
      </c>
      <c r="K158" s="339">
        <f t="shared" ref="K158:K214" si="82">SQRT(1+(A158/Zero2)^2)</f>
        <v>2.8254679385517441</v>
      </c>
      <c r="L158" s="340">
        <f t="shared" ref="L158:L214" si="83">ATAN(A158/Zero2)</f>
        <v>1.2090333212190252</v>
      </c>
      <c r="M158" s="328">
        <f t="shared" si="64"/>
        <v>1.000920730991111</v>
      </c>
      <c r="N158" s="331">
        <f t="shared" si="65"/>
        <v>4.28958061141081E-2</v>
      </c>
      <c r="O158" s="332">
        <f t="shared" si="66"/>
        <v>1.0002984252799387</v>
      </c>
      <c r="P158" s="333">
        <f t="shared" si="67"/>
        <v>6.2283933198995715E-2</v>
      </c>
      <c r="Q158" s="334">
        <f t="shared" si="68"/>
        <v>11.993324777462659</v>
      </c>
      <c r="R158" s="335">
        <f t="shared" si="69"/>
        <v>-98.039608901434221</v>
      </c>
      <c r="S158" s="337">
        <f t="shared" si="70"/>
        <v>81.960391098565779</v>
      </c>
      <c r="U158" s="310">
        <f t="shared" si="75"/>
        <v>1000000000</v>
      </c>
      <c r="V158" s="310">
        <f t="shared" si="76"/>
        <v>79432656.25</v>
      </c>
      <c r="X158" s="336">
        <f t="shared" si="71"/>
        <v>1.8729381284457509</v>
      </c>
      <c r="Y158" s="337">
        <f t="shared" si="77"/>
        <v>-23.181697408471329</v>
      </c>
      <c r="AA158" s="336">
        <f t="shared" si="72"/>
        <v>10.120386649016908</v>
      </c>
      <c r="AB158" s="337">
        <f t="shared" si="73"/>
        <v>-74.857911492962899</v>
      </c>
      <c r="AD158">
        <f t="shared" si="78"/>
        <v>0</v>
      </c>
      <c r="AE158">
        <f t="shared" si="81"/>
        <v>0</v>
      </c>
    </row>
    <row r="159" spans="1:31" x14ac:dyDescent="0.25">
      <c r="A159" s="338">
        <v>8964.4</v>
      </c>
      <c r="B159" s="355">
        <f t="shared" si="74"/>
        <v>8.9643999999999995</v>
      </c>
      <c r="C159" s="328">
        <f t="shared" si="54"/>
        <v>3.1682308998105713</v>
      </c>
      <c r="D159" s="329">
        <f t="shared" si="55"/>
        <v>1.2496720544762956</v>
      </c>
      <c r="E159" s="329">
        <f t="shared" si="56"/>
        <v>1.0000069096900188</v>
      </c>
      <c r="F159" s="330">
        <f t="shared" si="57"/>
        <v>3.7174319718213363E-3</v>
      </c>
      <c r="G159" s="329">
        <f t="shared" si="58"/>
        <v>1</v>
      </c>
      <c r="H159" s="330">
        <f t="shared" si="59"/>
        <v>0</v>
      </c>
      <c r="I159" s="328">
        <f t="shared" si="60"/>
        <v>16258.04905399581</v>
      </c>
      <c r="J159" s="331">
        <f t="shared" si="61"/>
        <v>1.5707348187998531</v>
      </c>
      <c r="K159" s="339">
        <f t="shared" si="82"/>
        <v>2.8398656601314705</v>
      </c>
      <c r="L159" s="340">
        <f t="shared" si="83"/>
        <v>1.2109511476049448</v>
      </c>
      <c r="M159" s="328">
        <f t="shared" si="64"/>
        <v>1.0009314805617027</v>
      </c>
      <c r="N159" s="331">
        <f t="shared" si="65"/>
        <v>4.31452914989124E-2</v>
      </c>
      <c r="O159" s="332">
        <f t="shared" si="66"/>
        <v>1.0003019264120232</v>
      </c>
      <c r="P159" s="333">
        <f t="shared" si="67"/>
        <v>6.264688439499734E-2</v>
      </c>
      <c r="Q159" s="334">
        <f t="shared" si="68"/>
        <v>11.941533457708548</v>
      </c>
      <c r="R159" s="335">
        <f t="shared" si="69"/>
        <v>-98.063472527793351</v>
      </c>
      <c r="S159" s="337">
        <f t="shared" si="70"/>
        <v>81.936527472206649</v>
      </c>
      <c r="U159" s="310">
        <f t="shared" si="75"/>
        <v>1000000000</v>
      </c>
      <c r="V159" s="310">
        <f t="shared" si="76"/>
        <v>80360467.359999999</v>
      </c>
      <c r="X159" s="336">
        <f t="shared" si="71"/>
        <v>1.8665594169149737</v>
      </c>
      <c r="Y159" s="337">
        <f t="shared" si="77"/>
        <v>-23.086129032319864</v>
      </c>
      <c r="AA159" s="336">
        <f t="shared" si="72"/>
        <v>10.074974040793574</v>
      </c>
      <c r="AB159" s="337">
        <f t="shared" si="73"/>
        <v>-74.977343495473505</v>
      </c>
      <c r="AD159">
        <f t="shared" si="78"/>
        <v>0</v>
      </c>
      <c r="AE159">
        <f t="shared" si="81"/>
        <v>0</v>
      </c>
    </row>
    <row r="160" spans="1:31" x14ac:dyDescent="0.25">
      <c r="A160" s="338">
        <v>9016.2999999999993</v>
      </c>
      <c r="B160" s="355">
        <f t="shared" si="74"/>
        <v>9.0162999999999993</v>
      </c>
      <c r="C160" s="328">
        <f t="shared" si="54"/>
        <v>3.184750943178055</v>
      </c>
      <c r="D160" s="329">
        <f t="shared" si="55"/>
        <v>1.2513970290388723</v>
      </c>
      <c r="E160" s="329">
        <f t="shared" si="56"/>
        <v>1.0000069899295803</v>
      </c>
      <c r="F160" s="330">
        <f t="shared" si="57"/>
        <v>3.7389540955992452E-3</v>
      </c>
      <c r="G160" s="329">
        <f t="shared" si="58"/>
        <v>1</v>
      </c>
      <c r="H160" s="330">
        <f t="shared" si="59"/>
        <v>0</v>
      </c>
      <c r="I160" s="328">
        <f t="shared" si="60"/>
        <v>16352.176128057576</v>
      </c>
      <c r="J160" s="331">
        <f t="shared" si="61"/>
        <v>1.5707351728547243</v>
      </c>
      <c r="K160" s="339">
        <f t="shared" si="82"/>
        <v>2.8542737215029779</v>
      </c>
      <c r="L160" s="340">
        <f t="shared" si="83"/>
        <v>1.212849618959529</v>
      </c>
      <c r="M160" s="328">
        <f t="shared" si="64"/>
        <v>1.0009422924318891</v>
      </c>
      <c r="N160" s="331">
        <f t="shared" si="65"/>
        <v>4.339477150951631E-2</v>
      </c>
      <c r="O160" s="332">
        <f t="shared" si="66"/>
        <v>1.0003054482312046</v>
      </c>
      <c r="P160" s="333">
        <f t="shared" si="67"/>
        <v>6.3009840009087603E-2</v>
      </c>
      <c r="Q160" s="334">
        <f t="shared" si="68"/>
        <v>11.890050684114858</v>
      </c>
      <c r="R160" s="335">
        <f t="shared" si="69"/>
        <v>-98.087409029389292</v>
      </c>
      <c r="S160" s="337">
        <f t="shared" si="70"/>
        <v>81.912590970610708</v>
      </c>
      <c r="U160" s="310">
        <f t="shared" si="75"/>
        <v>1000000000</v>
      </c>
      <c r="V160" s="310">
        <f t="shared" si="76"/>
        <v>81293665.689999983</v>
      </c>
      <c r="X160" s="336">
        <f t="shared" si="71"/>
        <v>1.8602795185732248</v>
      </c>
      <c r="Y160" s="337">
        <f t="shared" si="77"/>
        <v>-22.991669073598086</v>
      </c>
      <c r="AA160" s="336">
        <f t="shared" si="72"/>
        <v>10.029771165541632</v>
      </c>
      <c r="AB160" s="337">
        <f t="shared" si="73"/>
        <v>-75.095739955791174</v>
      </c>
      <c r="AD160">
        <f t="shared" si="78"/>
        <v>0</v>
      </c>
      <c r="AE160">
        <f t="shared" si="81"/>
        <v>0</v>
      </c>
    </row>
    <row r="161" spans="1:31" x14ac:dyDescent="0.25">
      <c r="A161" s="338">
        <v>9068.2000000000007</v>
      </c>
      <c r="B161" s="355">
        <f t="shared" si="74"/>
        <v>9.0682000000000009</v>
      </c>
      <c r="C161" s="328">
        <f t="shared" si="54"/>
        <v>3.2012803650698394</v>
      </c>
      <c r="D161" s="329">
        <f t="shared" si="55"/>
        <v>1.2531041952447761</v>
      </c>
      <c r="E161" s="329">
        <f t="shared" si="56"/>
        <v>1.0000070706323465</v>
      </c>
      <c r="F161" s="330">
        <f t="shared" si="57"/>
        <v>3.7604762159133579E-3</v>
      </c>
      <c r="G161" s="329">
        <f t="shared" si="58"/>
        <v>1</v>
      </c>
      <c r="H161" s="330">
        <f t="shared" si="59"/>
        <v>0</v>
      </c>
      <c r="I161" s="328">
        <f t="shared" si="60"/>
        <v>16446.303202121373</v>
      </c>
      <c r="J161" s="331">
        <f t="shared" si="61"/>
        <v>1.5707355228568731</v>
      </c>
      <c r="K161" s="339">
        <f t="shared" si="82"/>
        <v>2.8686919668708515</v>
      </c>
      <c r="L161" s="340">
        <f t="shared" si="83"/>
        <v>1.214729013333038</v>
      </c>
      <c r="M161" s="328">
        <f t="shared" si="64"/>
        <v>1.0009531665996518</v>
      </c>
      <c r="N161" s="331">
        <f t="shared" si="65"/>
        <v>4.3644246115039094E-2</v>
      </c>
      <c r="O161" s="332">
        <f t="shared" si="66"/>
        <v>1.0003089907437002</v>
      </c>
      <c r="P161" s="333">
        <f t="shared" si="67"/>
        <v>6.337280006651233E-2</v>
      </c>
      <c r="Q161" s="334">
        <f t="shared" si="68"/>
        <v>11.838872778161605</v>
      </c>
      <c r="R161" s="335">
        <f t="shared" si="69"/>
        <v>-98.111417930699844</v>
      </c>
      <c r="S161" s="337">
        <f t="shared" si="70"/>
        <v>81.888582069300156</v>
      </c>
      <c r="U161" s="310">
        <f t="shared" si="75"/>
        <v>1000000000</v>
      </c>
      <c r="V161" s="310">
        <f t="shared" si="76"/>
        <v>82232251.24000001</v>
      </c>
      <c r="X161" s="336">
        <f t="shared" si="71"/>
        <v>1.8540963921098184</v>
      </c>
      <c r="Y161" s="337">
        <f t="shared" si="77"/>
        <v>-22.8983016034868</v>
      </c>
      <c r="AA161" s="336">
        <f t="shared" si="72"/>
        <v>9.9847763860517844</v>
      </c>
      <c r="AB161" s="337">
        <f t="shared" si="73"/>
        <v>-75.213116327213044</v>
      </c>
      <c r="AD161">
        <f t="shared" si="78"/>
        <v>0</v>
      </c>
      <c r="AE161">
        <f t="shared" si="81"/>
        <v>0</v>
      </c>
    </row>
    <row r="162" spans="1:31" x14ac:dyDescent="0.25">
      <c r="A162" s="338">
        <v>9120.1</v>
      </c>
      <c r="B162" s="355">
        <f t="shared" si="74"/>
        <v>9.1201000000000008</v>
      </c>
      <c r="C162" s="328">
        <f t="shared" si="54"/>
        <v>3.2178190209579864</v>
      </c>
      <c r="D162" s="329">
        <f t="shared" si="55"/>
        <v>1.2547938176551734</v>
      </c>
      <c r="E162" s="329">
        <f t="shared" si="56"/>
        <v>1.0000071517983176</v>
      </c>
      <c r="F162" s="330">
        <f t="shared" si="57"/>
        <v>3.7819983327437366E-3</v>
      </c>
      <c r="G162" s="329">
        <f t="shared" si="58"/>
        <v>1</v>
      </c>
      <c r="H162" s="330">
        <f t="shared" si="59"/>
        <v>0</v>
      </c>
      <c r="I162" s="328">
        <f t="shared" si="60"/>
        <v>16540.430276187155</v>
      </c>
      <c r="J162" s="331">
        <f t="shared" si="61"/>
        <v>1.5707358688754887</v>
      </c>
      <c r="K162" s="339">
        <f t="shared" si="82"/>
        <v>2.8831202434471308</v>
      </c>
      <c r="L162" s="340">
        <f t="shared" si="83"/>
        <v>1.2165896037548087</v>
      </c>
      <c r="M162" s="328">
        <f t="shared" si="64"/>
        <v>1.0009641030629604</v>
      </c>
      <c r="N162" s="331">
        <f t="shared" si="65"/>
        <v>4.3893715284603986E-2</v>
      </c>
      <c r="O162" s="332">
        <f t="shared" si="66"/>
        <v>1.000312553955764</v>
      </c>
      <c r="P162" s="333">
        <f t="shared" si="67"/>
        <v>6.3735764592511443E-2</v>
      </c>
      <c r="Q162" s="334">
        <f t="shared" si="68"/>
        <v>11.787996125887592</v>
      </c>
      <c r="R162" s="335">
        <f t="shared" si="69"/>
        <v>-98.135498750177064</v>
      </c>
      <c r="S162" s="337">
        <f t="shared" si="70"/>
        <v>81.864501249822936</v>
      </c>
      <c r="U162" s="310">
        <f t="shared" si="75"/>
        <v>1000000000</v>
      </c>
      <c r="V162" s="310">
        <f t="shared" si="76"/>
        <v>83176224.010000005</v>
      </c>
      <c r="X162" s="336">
        <f t="shared" si="71"/>
        <v>1.8480080473382521</v>
      </c>
      <c r="Y162" s="337">
        <f t="shared" si="77"/>
        <v>-22.806010980752419</v>
      </c>
      <c r="AA162" s="336">
        <f t="shared" si="72"/>
        <v>9.9399880785493373</v>
      </c>
      <c r="AB162" s="337">
        <f t="shared" si="73"/>
        <v>-75.329487769424645</v>
      </c>
      <c r="AD162">
        <f t="shared" si="78"/>
        <v>0</v>
      </c>
      <c r="AE162">
        <f t="shared" si="81"/>
        <v>0</v>
      </c>
    </row>
    <row r="163" spans="1:31" x14ac:dyDescent="0.25">
      <c r="A163" s="338">
        <v>9173.2000000000007</v>
      </c>
      <c r="B163" s="355">
        <f t="shared" si="74"/>
        <v>9.1732000000000014</v>
      </c>
      <c r="C163" s="328">
        <f t="shared" si="54"/>
        <v>3.2347494825176275</v>
      </c>
      <c r="D163" s="329">
        <f t="shared" si="55"/>
        <v>1.256504620203426</v>
      </c>
      <c r="E163" s="329">
        <f t="shared" si="56"/>
        <v>1.0000072353203522</v>
      </c>
      <c r="F163" s="330">
        <f t="shared" si="57"/>
        <v>3.8040180671462249E-3</v>
      </c>
      <c r="G163" s="329">
        <f t="shared" si="58"/>
        <v>1</v>
      </c>
      <c r="H163" s="330">
        <f t="shared" si="59"/>
        <v>0</v>
      </c>
      <c r="I163" s="328">
        <f t="shared" si="60"/>
        <v>16636.733698788281</v>
      </c>
      <c r="J163" s="331">
        <f t="shared" si="61"/>
        <v>1.5707362188422955</v>
      </c>
      <c r="K163" s="339">
        <f t="shared" si="82"/>
        <v>2.8978923473218186</v>
      </c>
      <c r="L163" s="340">
        <f t="shared" si="83"/>
        <v>1.2184740320639058</v>
      </c>
      <c r="M163" s="328">
        <f t="shared" si="64"/>
        <v>1.0009753568630793</v>
      </c>
      <c r="N163" s="331">
        <f t="shared" si="65"/>
        <v>4.4148946869314504E-2</v>
      </c>
      <c r="O163" s="332">
        <f t="shared" si="66"/>
        <v>1.0003162209837986</v>
      </c>
      <c r="P163" s="333">
        <f t="shared" si="67"/>
        <v>6.4107126012951945E-2</v>
      </c>
      <c r="Q163" s="334">
        <f t="shared" si="68"/>
        <v>11.736251214211331</v>
      </c>
      <c r="R163" s="335">
        <f t="shared" si="69"/>
        <v>-98.160210275335487</v>
      </c>
      <c r="S163" s="337">
        <f t="shared" si="70"/>
        <v>81.839789724664513</v>
      </c>
      <c r="U163" s="310">
        <f t="shared" si="75"/>
        <v>1000000000</v>
      </c>
      <c r="V163" s="310">
        <f t="shared" si="76"/>
        <v>84147598.24000001</v>
      </c>
      <c r="X163" s="336">
        <f t="shared" si="71"/>
        <v>1.8418750022736599</v>
      </c>
      <c r="Y163" s="337">
        <f t="shared" si="77"/>
        <v>-22.712684935962901</v>
      </c>
      <c r="AA163" s="336">
        <f t="shared" si="72"/>
        <v>9.8943762119376686</v>
      </c>
      <c r="AB163" s="337">
        <f t="shared" si="73"/>
        <v>-75.447525339372604</v>
      </c>
      <c r="AD163">
        <f t="shared" si="78"/>
        <v>0</v>
      </c>
      <c r="AE163">
        <f t="shared" si="81"/>
        <v>0</v>
      </c>
    </row>
    <row r="164" spans="1:31" x14ac:dyDescent="0.25">
      <c r="A164" s="338">
        <v>9226.2999999999993</v>
      </c>
      <c r="B164" s="355">
        <f t="shared" si="74"/>
        <v>9.2262999999999984</v>
      </c>
      <c r="C164" s="328">
        <f t="shared" si="54"/>
        <v>3.2516893130833218</v>
      </c>
      <c r="D164" s="329">
        <f t="shared" si="55"/>
        <v>1.2581976026489101</v>
      </c>
      <c r="E164" s="329">
        <f t="shared" si="56"/>
        <v>1.0000073193272587</v>
      </c>
      <c r="F164" s="330">
        <f t="shared" si="57"/>
        <v>3.8260377978597969E-3</v>
      </c>
      <c r="G164" s="329">
        <f t="shared" si="58"/>
        <v>1</v>
      </c>
      <c r="H164" s="330">
        <f t="shared" si="59"/>
        <v>0</v>
      </c>
      <c r="I164" s="328">
        <f t="shared" si="60"/>
        <v>16733.037121391419</v>
      </c>
      <c r="J164" s="331">
        <f t="shared" si="61"/>
        <v>1.5707365647807841</v>
      </c>
      <c r="K164" s="339">
        <f t="shared" si="82"/>
        <v>2.912674637412946</v>
      </c>
      <c r="L164" s="340">
        <f t="shared" si="83"/>
        <v>1.220339339390228</v>
      </c>
      <c r="M164" s="328">
        <f t="shared" si="64"/>
        <v>1.0009866758684292</v>
      </c>
      <c r="N164" s="331">
        <f t="shared" si="65"/>
        <v>4.4404172698410911E-2</v>
      </c>
      <c r="O164" s="332">
        <f t="shared" si="66"/>
        <v>1.0003199096930306</v>
      </c>
      <c r="P164" s="333">
        <f t="shared" si="67"/>
        <v>6.4478492164428608E-2</v>
      </c>
      <c r="Q164" s="334">
        <f t="shared" si="68"/>
        <v>11.684814195189732</v>
      </c>
      <c r="R164" s="335">
        <f t="shared" si="69"/>
        <v>-98.18499604612974</v>
      </c>
      <c r="S164" s="337">
        <f t="shared" si="70"/>
        <v>81.81500395387026</v>
      </c>
      <c r="U164" s="310">
        <f t="shared" si="75"/>
        <v>1000000000</v>
      </c>
      <c r="V164" s="310">
        <f t="shared" si="76"/>
        <v>85124611.689999983</v>
      </c>
      <c r="X164" s="336">
        <f t="shared" si="71"/>
        <v>1.8358371152745763</v>
      </c>
      <c r="Y164" s="337">
        <f t="shared" si="77"/>
        <v>-22.620453882209734</v>
      </c>
      <c r="AA164" s="336">
        <f t="shared" si="72"/>
        <v>9.848977079915155</v>
      </c>
      <c r="AB164" s="337">
        <f t="shared" si="73"/>
        <v>-75.564542163919995</v>
      </c>
      <c r="AD164">
        <f t="shared" si="78"/>
        <v>0</v>
      </c>
      <c r="AE164">
        <f t="shared" si="81"/>
        <v>0</v>
      </c>
    </row>
    <row r="165" spans="1:31" x14ac:dyDescent="0.25">
      <c r="A165" s="338">
        <v>9279.4</v>
      </c>
      <c r="B165" s="355">
        <f t="shared" si="74"/>
        <v>9.279399999999999</v>
      </c>
      <c r="C165" s="328">
        <f t="shared" si="54"/>
        <v>3.2686383669894878</v>
      </c>
      <c r="D165" s="329">
        <f t="shared" si="55"/>
        <v>1.2598730324213752</v>
      </c>
      <c r="E165" s="329">
        <f t="shared" si="56"/>
        <v>1.0000074038190374</v>
      </c>
      <c r="F165" s="330">
        <f t="shared" si="57"/>
        <v>3.8480575248631011E-3</v>
      </c>
      <c r="G165" s="329">
        <f t="shared" si="58"/>
        <v>1</v>
      </c>
      <c r="H165" s="330">
        <f t="shared" si="59"/>
        <v>0</v>
      </c>
      <c r="I165" s="328">
        <f t="shared" si="60"/>
        <v>16829.340543996535</v>
      </c>
      <c r="J165" s="331">
        <f t="shared" si="61"/>
        <v>1.5707369067601082</v>
      </c>
      <c r="K165" s="339">
        <f t="shared" si="82"/>
        <v>2.92746695941414</v>
      </c>
      <c r="L165" s="340">
        <f t="shared" si="83"/>
        <v>1.2221858025060472</v>
      </c>
      <c r="M165" s="328">
        <f t="shared" si="64"/>
        <v>1.000998060076798</v>
      </c>
      <c r="N165" s="331">
        <f t="shared" si="65"/>
        <v>4.4659392738838087E-2</v>
      </c>
      <c r="O165" s="332">
        <f t="shared" si="66"/>
        <v>1.0003236200902741</v>
      </c>
      <c r="P165" s="333">
        <f t="shared" si="67"/>
        <v>6.4849863073954003E-2</v>
      </c>
      <c r="Q165" s="334">
        <f t="shared" si="68"/>
        <v>11.63368139865652</v>
      </c>
      <c r="R165" s="335">
        <f t="shared" si="69"/>
        <v>-98.209855530889939</v>
      </c>
      <c r="S165" s="337">
        <f t="shared" si="70"/>
        <v>81.790144469110061</v>
      </c>
      <c r="U165" s="310">
        <f t="shared" si="75"/>
        <v>1000000000</v>
      </c>
      <c r="V165" s="310">
        <f t="shared" si="76"/>
        <v>86107264.359999999</v>
      </c>
      <c r="X165" s="336">
        <f t="shared" si="71"/>
        <v>1.8298924114357993</v>
      </c>
      <c r="Y165" s="337">
        <f t="shared" si="77"/>
        <v>-22.529301963678147</v>
      </c>
      <c r="AA165" s="336">
        <f t="shared" si="72"/>
        <v>9.8037889872207202</v>
      </c>
      <c r="AB165" s="337">
        <f t="shared" si="73"/>
        <v>-75.680553567211788</v>
      </c>
      <c r="AD165">
        <f t="shared" si="78"/>
        <v>0</v>
      </c>
      <c r="AE165">
        <f t="shared" si="81"/>
        <v>0</v>
      </c>
    </row>
    <row r="166" spans="1:31" x14ac:dyDescent="0.25">
      <c r="A166" s="338">
        <v>9332.5</v>
      </c>
      <c r="B166" s="355">
        <f t="shared" si="74"/>
        <v>9.3324999999999996</v>
      </c>
      <c r="C166" s="328">
        <f t="shared" si="54"/>
        <v>3.2855965014977588</v>
      </c>
      <c r="D166" s="329">
        <f t="shared" si="55"/>
        <v>1.2615311718280635</v>
      </c>
      <c r="E166" s="329">
        <f t="shared" si="56"/>
        <v>1.000007488795688</v>
      </c>
      <c r="F166" s="330">
        <f t="shared" si="57"/>
        <v>3.8700772481347844E-3</v>
      </c>
      <c r="G166" s="329">
        <f t="shared" si="58"/>
        <v>1</v>
      </c>
      <c r="H166" s="330">
        <f t="shared" si="59"/>
        <v>0</v>
      </c>
      <c r="I166" s="328">
        <f t="shared" si="60"/>
        <v>16925.643966603602</v>
      </c>
      <c r="J166" s="331">
        <f t="shared" si="61"/>
        <v>1.5707372448478489</v>
      </c>
      <c r="K166" s="339">
        <f t="shared" si="82"/>
        <v>2.9422691620184693</v>
      </c>
      <c r="L166" s="340">
        <f t="shared" si="83"/>
        <v>1.2240136931336698</v>
      </c>
      <c r="M166" s="328">
        <f t="shared" si="64"/>
        <v>1.0010095094859615</v>
      </c>
      <c r="N166" s="331">
        <f t="shared" si="65"/>
        <v>4.4914606957545428E-2</v>
      </c>
      <c r="O166" s="332">
        <f t="shared" si="66"/>
        <v>1.0003273521823819</v>
      </c>
      <c r="P166" s="333">
        <f t="shared" si="67"/>
        <v>6.5221238768534223E-2</v>
      </c>
      <c r="Q166" s="334">
        <f t="shared" si="68"/>
        <v>11.582849218911784</v>
      </c>
      <c r="R166" s="335">
        <f t="shared" si="69"/>
        <v>-98.234788193699671</v>
      </c>
      <c r="S166" s="337">
        <f t="shared" si="70"/>
        <v>81.765211806300329</v>
      </c>
      <c r="U166" s="310">
        <f t="shared" si="75"/>
        <v>1000000000</v>
      </c>
      <c r="V166" s="310">
        <f t="shared" si="76"/>
        <v>87095556.25</v>
      </c>
      <c r="X166" s="336">
        <f t="shared" si="71"/>
        <v>1.8240389655571907</v>
      </c>
      <c r="Y166" s="337">
        <f t="shared" si="77"/>
        <v>-22.439213613805219</v>
      </c>
      <c r="AA166" s="336">
        <f t="shared" si="72"/>
        <v>9.7588102533545928</v>
      </c>
      <c r="AB166" s="337">
        <f t="shared" si="73"/>
        <v>-75.795574579894463</v>
      </c>
      <c r="AD166">
        <f t="shared" si="78"/>
        <v>0</v>
      </c>
      <c r="AE166">
        <f t="shared" si="81"/>
        <v>0</v>
      </c>
    </row>
    <row r="167" spans="1:31" x14ac:dyDescent="0.25">
      <c r="A167" s="338">
        <v>9386.85</v>
      </c>
      <c r="B167" s="355">
        <f t="shared" si="74"/>
        <v>9.3868500000000008</v>
      </c>
      <c r="C167" s="328">
        <f t="shared" si="54"/>
        <v>3.3029630965767316</v>
      </c>
      <c r="D167" s="329">
        <f t="shared" si="55"/>
        <v>1.2632107074751162</v>
      </c>
      <c r="E167" s="329">
        <f t="shared" si="56"/>
        <v>1.0000075762748577</v>
      </c>
      <c r="F167" s="330">
        <f t="shared" si="57"/>
        <v>3.8926153225873625E-3</v>
      </c>
      <c r="G167" s="329">
        <f t="shared" si="58"/>
        <v>1</v>
      </c>
      <c r="H167" s="330">
        <f t="shared" si="59"/>
        <v>0</v>
      </c>
      <c r="I167" s="328">
        <f t="shared" si="60"/>
        <v>17024.214418935033</v>
      </c>
      <c r="J167" s="331">
        <f t="shared" si="61"/>
        <v>1.5707375869331934</v>
      </c>
      <c r="K167" s="339">
        <f t="shared" si="82"/>
        <v>2.9574298931061511</v>
      </c>
      <c r="L167" s="340">
        <f t="shared" si="83"/>
        <v>1.2258656581714338</v>
      </c>
      <c r="M167" s="328">
        <f t="shared" si="64"/>
        <v>1.0010212959386355</v>
      </c>
      <c r="N167" s="331">
        <f t="shared" si="65"/>
        <v>4.5175822980532084E-2</v>
      </c>
      <c r="O167" s="332">
        <f t="shared" si="66"/>
        <v>1.000331194603896</v>
      </c>
      <c r="P167" s="333">
        <f t="shared" si="67"/>
        <v>6.5601361812330311E-2</v>
      </c>
      <c r="Q167" s="334">
        <f t="shared" si="68"/>
        <v>11.531128042651853</v>
      </c>
      <c r="R167" s="335">
        <f t="shared" si="69"/>
        <v>-98.260383002642669</v>
      </c>
      <c r="S167" s="337">
        <f t="shared" si="70"/>
        <v>81.739616997357331</v>
      </c>
      <c r="U167" s="310">
        <f t="shared" si="75"/>
        <v>1000000000</v>
      </c>
      <c r="V167" s="310">
        <f t="shared" si="76"/>
        <v>88112952.922499999</v>
      </c>
      <c r="X167" s="336">
        <f t="shared" si="71"/>
        <v>1.8181402736076777</v>
      </c>
      <c r="Y167" s="337">
        <f t="shared" si="77"/>
        <v>-22.348090008936236</v>
      </c>
      <c r="AA167" s="336">
        <f t="shared" si="72"/>
        <v>9.7129877690441742</v>
      </c>
      <c r="AB167" s="337">
        <f t="shared" si="73"/>
        <v>-75.91229299370643</v>
      </c>
      <c r="AD167">
        <f t="shared" si="78"/>
        <v>0</v>
      </c>
      <c r="AE167">
        <f t="shared" si="81"/>
        <v>0</v>
      </c>
    </row>
    <row r="168" spans="1:31" x14ac:dyDescent="0.25">
      <c r="A168" s="338">
        <v>9441.2000000000007</v>
      </c>
      <c r="B168" s="355">
        <f t="shared" si="74"/>
        <v>9.4412000000000003</v>
      </c>
      <c r="C168" s="328">
        <f t="shared" si="54"/>
        <v>3.3203389113068082</v>
      </c>
      <c r="D168" s="329">
        <f t="shared" si="55"/>
        <v>1.2648726692626004</v>
      </c>
      <c r="E168" s="329">
        <f t="shared" si="56"/>
        <v>1.0000076642619962</v>
      </c>
      <c r="F168" s="330">
        <f t="shared" si="57"/>
        <v>3.915153393085298E-3</v>
      </c>
      <c r="G168" s="329">
        <f t="shared" si="58"/>
        <v>1</v>
      </c>
      <c r="H168" s="330">
        <f t="shared" si="59"/>
        <v>0</v>
      </c>
      <c r="I168" s="328">
        <f t="shared" si="60"/>
        <v>17122.784871268435</v>
      </c>
      <c r="J168" s="331">
        <f t="shared" si="61"/>
        <v>1.5707379250799836</v>
      </c>
      <c r="K168" s="339">
        <f t="shared" si="82"/>
        <v>2.9726006640262632</v>
      </c>
      <c r="L168" s="340">
        <f t="shared" si="83"/>
        <v>1.2276987263068382</v>
      </c>
      <c r="M168" s="328">
        <f t="shared" si="64"/>
        <v>1.001033150693196</v>
      </c>
      <c r="N168" s="331">
        <f t="shared" si="65"/>
        <v>4.5437032834430062E-2</v>
      </c>
      <c r="O168" s="332">
        <f t="shared" si="66"/>
        <v>1.0003350597683656</v>
      </c>
      <c r="P168" s="333">
        <f t="shared" si="67"/>
        <v>6.5981489926348114E-2</v>
      </c>
      <c r="Q168" s="334">
        <f t="shared" si="68"/>
        <v>11.47971435981365</v>
      </c>
      <c r="R168" s="335">
        <f t="shared" si="69"/>
        <v>-98.286053327957376</v>
      </c>
      <c r="S168" s="337">
        <f t="shared" si="70"/>
        <v>81.713946672042624</v>
      </c>
      <c r="U168" s="310">
        <f t="shared" si="75"/>
        <v>1000000000</v>
      </c>
      <c r="V168" s="310">
        <f t="shared" si="76"/>
        <v>89136257.440000013</v>
      </c>
      <c r="X168" s="336">
        <f t="shared" si="71"/>
        <v>1.8123332586528573</v>
      </c>
      <c r="Y168" s="337">
        <f t="shared" si="77"/>
        <v>-22.258048537694268</v>
      </c>
      <c r="AA168" s="336">
        <f t="shared" si="72"/>
        <v>9.6673811011607942</v>
      </c>
      <c r="AB168" s="337">
        <f t="shared" si="73"/>
        <v>-76.028004790263111</v>
      </c>
      <c r="AD168">
        <f t="shared" si="78"/>
        <v>0</v>
      </c>
      <c r="AE168">
        <f t="shared" si="81"/>
        <v>0</v>
      </c>
    </row>
    <row r="169" spans="1:31" x14ac:dyDescent="0.25">
      <c r="A169" s="338">
        <v>9495.5499999999993</v>
      </c>
      <c r="B169" s="355">
        <f t="shared" si="74"/>
        <v>9.4955499999999997</v>
      </c>
      <c r="C169" s="328">
        <f t="shared" si="54"/>
        <v>3.3377238016985911</v>
      </c>
      <c r="D169" s="329">
        <f t="shared" si="55"/>
        <v>1.266517322543026</v>
      </c>
      <c r="E169" s="329">
        <f t="shared" si="56"/>
        <v>1.000007752757103</v>
      </c>
      <c r="F169" s="330">
        <f t="shared" si="57"/>
        <v>3.9376914596056948E-3</v>
      </c>
      <c r="G169" s="329">
        <f t="shared" si="58"/>
        <v>1</v>
      </c>
      <c r="H169" s="330">
        <f t="shared" si="59"/>
        <v>0</v>
      </c>
      <c r="I169" s="328">
        <f t="shared" si="60"/>
        <v>17221.355323603773</v>
      </c>
      <c r="J169" s="331">
        <f t="shared" si="61"/>
        <v>1.5707382593558494</v>
      </c>
      <c r="K169" s="339">
        <f t="shared" si="82"/>
        <v>2.9877813218439244</v>
      </c>
      <c r="L169" s="340">
        <f t="shared" si="83"/>
        <v>1.2295131731670357</v>
      </c>
      <c r="M169" s="328">
        <f t="shared" si="64"/>
        <v>1.0010450737472163</v>
      </c>
      <c r="N169" s="331">
        <f t="shared" si="65"/>
        <v>4.5698236483814159E-2</v>
      </c>
      <c r="O169" s="332">
        <f t="shared" si="66"/>
        <v>1.0003389476832667</v>
      </c>
      <c r="P169" s="333">
        <f t="shared" si="67"/>
        <v>6.6361623139524872E-2</v>
      </c>
      <c r="Q169" s="334">
        <f t="shared" si="68"/>
        <v>11.428604504311542</v>
      </c>
      <c r="R169" s="335">
        <f t="shared" si="69"/>
        <v>-98.311798584454664</v>
      </c>
      <c r="S169" s="337">
        <f t="shared" si="70"/>
        <v>81.688201415545336</v>
      </c>
      <c r="U169" s="310">
        <f t="shared" si="75"/>
        <v>1000000000</v>
      </c>
      <c r="V169" s="310">
        <f t="shared" si="76"/>
        <v>90165469.80249998</v>
      </c>
      <c r="X169" s="336">
        <f t="shared" si="71"/>
        <v>1.8066160086716541</v>
      </c>
      <c r="Y169" s="337">
        <f t="shared" si="77"/>
        <v>-22.169073409651951</v>
      </c>
      <c r="AA169" s="336">
        <f t="shared" si="72"/>
        <v>9.6219884956398865</v>
      </c>
      <c r="AB169" s="337">
        <f t="shared" si="73"/>
        <v>-76.142725174802692</v>
      </c>
      <c r="AD169">
        <f t="shared" si="78"/>
        <v>0</v>
      </c>
      <c r="AE169">
        <f t="shared" si="81"/>
        <v>0</v>
      </c>
    </row>
    <row r="170" spans="1:31" x14ac:dyDescent="0.25">
      <c r="A170" s="338">
        <v>9549.9</v>
      </c>
      <c r="B170" s="355">
        <f t="shared" si="74"/>
        <v>9.5498999999999992</v>
      </c>
      <c r="C170" s="328">
        <f t="shared" si="54"/>
        <v>3.3551176266726337</v>
      </c>
      <c r="D170" s="329">
        <f t="shared" si="55"/>
        <v>1.268144927545134</v>
      </c>
      <c r="E170" s="329">
        <f t="shared" si="56"/>
        <v>1.0000078417601779</v>
      </c>
      <c r="F170" s="330">
        <f t="shared" si="57"/>
        <v>3.960229522125657E-3</v>
      </c>
      <c r="G170" s="329">
        <f t="shared" si="58"/>
        <v>1</v>
      </c>
      <c r="H170" s="330">
        <f t="shared" si="59"/>
        <v>0</v>
      </c>
      <c r="I170" s="328">
        <f t="shared" si="60"/>
        <v>17319.92577594101</v>
      </c>
      <c r="J170" s="331">
        <f t="shared" si="61"/>
        <v>1.5707385898268811</v>
      </c>
      <c r="K170" s="339">
        <f t="shared" si="82"/>
        <v>3.0029717166180583</v>
      </c>
      <c r="L170" s="340">
        <f t="shared" si="83"/>
        <v>1.2313092692980967</v>
      </c>
      <c r="M170" s="328">
        <f t="shared" si="64"/>
        <v>1.001057065098256</v>
      </c>
      <c r="N170" s="331">
        <f t="shared" si="65"/>
        <v>4.5959433893264262E-2</v>
      </c>
      <c r="O170" s="332">
        <f t="shared" si="66"/>
        <v>1.0003428583561187</v>
      </c>
      <c r="P170" s="333">
        <f t="shared" si="67"/>
        <v>6.6741761480790557E-2</v>
      </c>
      <c r="Q170" s="334">
        <f t="shared" si="68"/>
        <v>11.377794874526408</v>
      </c>
      <c r="R170" s="335">
        <f t="shared" si="69"/>
        <v>-98.33761818441117</v>
      </c>
      <c r="S170" s="337">
        <f t="shared" si="70"/>
        <v>81.66238181558883</v>
      </c>
      <c r="U170" s="310">
        <f t="shared" si="75"/>
        <v>1000000000</v>
      </c>
      <c r="V170" s="310">
        <f t="shared" si="76"/>
        <v>91200590.00999999</v>
      </c>
      <c r="X170" s="336">
        <f t="shared" si="71"/>
        <v>1.8009866600134021</v>
      </c>
      <c r="Y170" s="337">
        <f t="shared" si="77"/>
        <v>-22.08114912541852</v>
      </c>
      <c r="AA170" s="336">
        <f t="shared" si="72"/>
        <v>9.5768082145130045</v>
      </c>
      <c r="AB170" s="337">
        <f t="shared" si="73"/>
        <v>-76.256469058992664</v>
      </c>
      <c r="AD170">
        <f t="shared" si="78"/>
        <v>0</v>
      </c>
      <c r="AE170">
        <f t="shared" si="81"/>
        <v>0</v>
      </c>
    </row>
    <row r="171" spans="1:31" x14ac:dyDescent="0.25">
      <c r="A171" s="338">
        <v>9605.5249999999996</v>
      </c>
      <c r="B171" s="355">
        <f t="shared" si="74"/>
        <v>9.6055250000000001</v>
      </c>
      <c r="C171" s="328">
        <f t="shared" si="54"/>
        <v>3.3729286016493885</v>
      </c>
      <c r="D171" s="329">
        <f t="shared" si="55"/>
        <v>1.2697933280695834</v>
      </c>
      <c r="E171" s="329">
        <f t="shared" si="56"/>
        <v>1.0000079333771643</v>
      </c>
      <c r="F171" s="330">
        <f t="shared" si="57"/>
        <v>3.9832963022772682E-3</v>
      </c>
      <c r="G171" s="329">
        <f t="shared" si="58"/>
        <v>1</v>
      </c>
      <c r="H171" s="330">
        <f t="shared" si="59"/>
        <v>0</v>
      </c>
      <c r="I171" s="328">
        <f t="shared" si="60"/>
        <v>17420.808598597207</v>
      </c>
      <c r="J171" s="331">
        <f t="shared" si="61"/>
        <v>1.570738924178084</v>
      </c>
      <c r="K171" s="339">
        <f t="shared" si="82"/>
        <v>3.0185283926606825</v>
      </c>
      <c r="L171" s="340">
        <f t="shared" si="83"/>
        <v>1.233128775757697</v>
      </c>
      <c r="M171" s="328">
        <f t="shared" si="64"/>
        <v>1.0010694084716658</v>
      </c>
      <c r="N171" s="331">
        <f t="shared" si="65"/>
        <v>4.6226752250659017E-2</v>
      </c>
      <c r="O171" s="332">
        <f t="shared" si="66"/>
        <v>1.0003468843426104</v>
      </c>
      <c r="P171" s="333">
        <f t="shared" si="67"/>
        <v>6.7130822850967539E-2</v>
      </c>
      <c r="Q171" s="334">
        <f t="shared" si="68"/>
        <v>11.32610047895276</v>
      </c>
      <c r="R171" s="335">
        <f t="shared" si="69"/>
        <v>-98.364119852418668</v>
      </c>
      <c r="S171" s="337">
        <f t="shared" si="70"/>
        <v>81.635880147581332</v>
      </c>
      <c r="U171" s="310">
        <f t="shared" si="75"/>
        <v>1000000000</v>
      </c>
      <c r="V171" s="310">
        <f t="shared" si="76"/>
        <v>92266110.52562499</v>
      </c>
      <c r="X171" s="336">
        <f t="shared" si="71"/>
        <v>1.7953143751805722</v>
      </c>
      <c r="Y171" s="337">
        <f t="shared" si="77"/>
        <v>-21.992234454962922</v>
      </c>
      <c r="AA171" s="336">
        <f t="shared" si="72"/>
        <v>9.5307861037721882</v>
      </c>
      <c r="AB171" s="337">
        <f t="shared" si="73"/>
        <v>-76.371885397455728</v>
      </c>
      <c r="AD171">
        <f t="shared" si="78"/>
        <v>0</v>
      </c>
      <c r="AE171">
        <f t="shared" si="81"/>
        <v>0</v>
      </c>
    </row>
    <row r="172" spans="1:31" x14ac:dyDescent="0.25">
      <c r="A172" s="338">
        <v>9661.15</v>
      </c>
      <c r="B172" s="355">
        <f t="shared" si="74"/>
        <v>9.6611499999999992</v>
      </c>
      <c r="C172" s="328">
        <f t="shared" si="54"/>
        <v>3.3907486453310933</v>
      </c>
      <c r="D172" s="329">
        <f t="shared" si="55"/>
        <v>1.2714244066842282</v>
      </c>
      <c r="E172" s="329">
        <f t="shared" si="56"/>
        <v>1.0000080255262309</v>
      </c>
      <c r="F172" s="330">
        <f t="shared" si="57"/>
        <v>4.0063630781900211E-3</v>
      </c>
      <c r="G172" s="329">
        <f t="shared" si="58"/>
        <v>1</v>
      </c>
      <c r="H172" s="330">
        <f t="shared" si="59"/>
        <v>0</v>
      </c>
      <c r="I172" s="328">
        <f t="shared" si="60"/>
        <v>17521.691421255331</v>
      </c>
      <c r="J172" s="331">
        <f t="shared" si="61"/>
        <v>1.5707392546791688</v>
      </c>
      <c r="K172" s="339">
        <f t="shared" si="82"/>
        <v>3.0340949593600448</v>
      </c>
      <c r="L172" s="340">
        <f t="shared" si="83"/>
        <v>1.2349296180016069</v>
      </c>
      <c r="M172" s="328">
        <f t="shared" si="64"/>
        <v>1.0010818233788319</v>
      </c>
      <c r="N172" s="331">
        <f t="shared" si="65"/>
        <v>4.6494063996862858E-2</v>
      </c>
      <c r="O172" s="332">
        <f t="shared" si="66"/>
        <v>1.0003509341834118</v>
      </c>
      <c r="P172" s="333">
        <f t="shared" si="67"/>
        <v>6.7519889653949783E-2</v>
      </c>
      <c r="Q172" s="334">
        <f t="shared" si="68"/>
        <v>11.274713127171321</v>
      </c>
      <c r="R172" s="335">
        <f t="shared" si="69"/>
        <v>-98.390698141019129</v>
      </c>
      <c r="S172" s="337">
        <f t="shared" si="70"/>
        <v>81.609301858980871</v>
      </c>
      <c r="U172" s="310">
        <f t="shared" si="75"/>
        <v>1000000000</v>
      </c>
      <c r="V172" s="310">
        <f t="shared" si="76"/>
        <v>93337819.32249999</v>
      </c>
      <c r="X172" s="336">
        <f t="shared" si="71"/>
        <v>1.7897303632432977</v>
      </c>
      <c r="Y172" s="337">
        <f t="shared" si="77"/>
        <v>-21.904388565906675</v>
      </c>
      <c r="AA172" s="336">
        <f t="shared" si="72"/>
        <v>9.4849827639280164</v>
      </c>
      <c r="AB172" s="337">
        <f t="shared" si="73"/>
        <v>-76.486309575112429</v>
      </c>
      <c r="AD172">
        <f t="shared" si="78"/>
        <v>0</v>
      </c>
      <c r="AE172">
        <f t="shared" si="81"/>
        <v>0</v>
      </c>
    </row>
    <row r="173" spans="1:31" x14ac:dyDescent="0.25">
      <c r="A173" s="338">
        <v>9716.7749999999996</v>
      </c>
      <c r="B173" s="355">
        <f t="shared" si="74"/>
        <v>9.7167750000000002</v>
      </c>
      <c r="C173" s="328">
        <f t="shared" si="54"/>
        <v>3.4085776154841816</v>
      </c>
      <c r="D173" s="329">
        <f t="shared" si="55"/>
        <v>1.2730384264545638</v>
      </c>
      <c r="E173" s="329">
        <f t="shared" si="56"/>
        <v>1.0000081182073781</v>
      </c>
      <c r="F173" s="330">
        <f t="shared" si="57"/>
        <v>4.0294298498393727E-3</v>
      </c>
      <c r="G173" s="329">
        <f t="shared" si="58"/>
        <v>1</v>
      </c>
      <c r="H173" s="330">
        <f t="shared" si="59"/>
        <v>0</v>
      </c>
      <c r="I173" s="328">
        <f t="shared" si="60"/>
        <v>17622.57424391534</v>
      </c>
      <c r="J173" s="331">
        <f t="shared" si="61"/>
        <v>1.5707395813962564</v>
      </c>
      <c r="K173" s="339">
        <f t="shared" si="82"/>
        <v>3.0496712652602511</v>
      </c>
      <c r="L173" s="340">
        <f t="shared" si="83"/>
        <v>1.2367120702436454</v>
      </c>
      <c r="M173" s="328">
        <f t="shared" si="64"/>
        <v>1.0010943098170924</v>
      </c>
      <c r="N173" s="331">
        <f t="shared" si="65"/>
        <v>4.6761369093920639E-2</v>
      </c>
      <c r="O173" s="332">
        <f t="shared" si="66"/>
        <v>1.0003550078867236</v>
      </c>
      <c r="P173" s="333">
        <f t="shared" si="67"/>
        <v>6.7908961920727443E-2</v>
      </c>
      <c r="Q173" s="334">
        <f t="shared" si="68"/>
        <v>11.22362915831798</v>
      </c>
      <c r="R173" s="335">
        <f t="shared" si="69"/>
        <v>-98.417352414851436</v>
      </c>
      <c r="S173" s="337">
        <f t="shared" si="70"/>
        <v>81.582647585148564</v>
      </c>
      <c r="U173" s="310">
        <f t="shared" si="75"/>
        <v>1000000000</v>
      </c>
      <c r="V173" s="310">
        <f t="shared" si="76"/>
        <v>94415716.40062499</v>
      </c>
      <c r="X173" s="336">
        <f t="shared" si="71"/>
        <v>1.7842327744718798</v>
      </c>
      <c r="Y173" s="337">
        <f t="shared" si="77"/>
        <v>-21.817595748569019</v>
      </c>
      <c r="AA173" s="336">
        <f t="shared" si="72"/>
        <v>9.4393963838461019</v>
      </c>
      <c r="AB173" s="337">
        <f t="shared" si="73"/>
        <v>-76.599756666282403</v>
      </c>
      <c r="AD173">
        <f t="shared" si="78"/>
        <v>0</v>
      </c>
      <c r="AE173">
        <f t="shared" si="81"/>
        <v>0</v>
      </c>
    </row>
    <row r="174" spans="1:31" x14ac:dyDescent="0.25">
      <c r="A174" s="338">
        <v>9772.4</v>
      </c>
      <c r="B174" s="355">
        <f t="shared" si="74"/>
        <v>9.7723999999999993</v>
      </c>
      <c r="C174" s="328">
        <f t="shared" si="54"/>
        <v>3.4264153727649633</v>
      </c>
      <c r="D174" s="329">
        <f t="shared" si="55"/>
        <v>1.2746356453277026</v>
      </c>
      <c r="E174" s="329">
        <f t="shared" si="56"/>
        <v>1.0000082114206053</v>
      </c>
      <c r="F174" s="330">
        <f t="shared" si="57"/>
        <v>4.0524966172007749E-3</v>
      </c>
      <c r="G174" s="329">
        <f t="shared" si="58"/>
        <v>1</v>
      </c>
      <c r="H174" s="330">
        <f t="shared" si="59"/>
        <v>0</v>
      </c>
      <c r="I174" s="328">
        <f t="shared" si="60"/>
        <v>17723.457066577215</v>
      </c>
      <c r="J174" s="331">
        <f t="shared" si="61"/>
        <v>1.5707399043939636</v>
      </c>
      <c r="K174" s="339">
        <f t="shared" si="82"/>
        <v>3.0652571618901345</v>
      </c>
      <c r="L174" s="340">
        <f t="shared" si="83"/>
        <v>1.2384764015931244</v>
      </c>
      <c r="M174" s="328">
        <f t="shared" si="64"/>
        <v>1.0011068677837716</v>
      </c>
      <c r="N174" s="331">
        <f t="shared" si="65"/>
        <v>4.7028667503882897E-2</v>
      </c>
      <c r="O174" s="332">
        <f t="shared" si="66"/>
        <v>1.0003591054607934</v>
      </c>
      <c r="P174" s="333">
        <f t="shared" si="67"/>
        <v>6.8298039682282582E-2</v>
      </c>
      <c r="Q174" s="334">
        <f t="shared" si="68"/>
        <v>11.172844975961675</v>
      </c>
      <c r="R174" s="335">
        <f t="shared" si="69"/>
        <v>-98.444082037673198</v>
      </c>
      <c r="S174" s="337">
        <f t="shared" si="70"/>
        <v>81.555917962326802</v>
      </c>
      <c r="U174" s="310">
        <f t="shared" si="75"/>
        <v>1000000000</v>
      </c>
      <c r="V174" s="310">
        <f t="shared" si="76"/>
        <v>95499801.75999999</v>
      </c>
      <c r="X174" s="336">
        <f t="shared" si="71"/>
        <v>1.7788198061599987</v>
      </c>
      <c r="Y174" s="337">
        <f t="shared" si="77"/>
        <v>-21.731840585650072</v>
      </c>
      <c r="AA174" s="336">
        <f t="shared" si="72"/>
        <v>9.3940251698016759</v>
      </c>
      <c r="AB174" s="337">
        <f t="shared" si="73"/>
        <v>-76.712241452023108</v>
      </c>
      <c r="AD174">
        <f t="shared" si="78"/>
        <v>0</v>
      </c>
      <c r="AE174">
        <f t="shared" si="81"/>
        <v>0</v>
      </c>
    </row>
    <row r="175" spans="1:31" x14ac:dyDescent="0.25">
      <c r="A175" s="338">
        <v>9829.2999999999993</v>
      </c>
      <c r="B175" s="355">
        <f t="shared" si="74"/>
        <v>9.8292999999999999</v>
      </c>
      <c r="C175" s="328">
        <f t="shared" si="54"/>
        <v>3.4446709447311235</v>
      </c>
      <c r="D175" s="329">
        <f t="shared" si="55"/>
        <v>1.276252355332796</v>
      </c>
      <c r="E175" s="329">
        <f t="shared" si="56"/>
        <v>1.0000083073209192</v>
      </c>
      <c r="F175" s="330">
        <f t="shared" si="57"/>
        <v>4.0760921015092688E-3</v>
      </c>
      <c r="G175" s="329">
        <f t="shared" si="58"/>
        <v>1</v>
      </c>
      <c r="H175" s="330">
        <f t="shared" si="59"/>
        <v>0</v>
      </c>
      <c r="I175" s="328">
        <f t="shared" si="60"/>
        <v>17826.652259558166</v>
      </c>
      <c r="J175" s="331">
        <f t="shared" si="61"/>
        <v>1.5707402310128078</v>
      </c>
      <c r="K175" s="339">
        <f t="shared" si="82"/>
        <v>3.0812100795496624</v>
      </c>
      <c r="L175" s="340">
        <f t="shared" si="83"/>
        <v>1.2402627004357618</v>
      </c>
      <c r="M175" s="328">
        <f t="shared" si="64"/>
        <v>1.0011197875996725</v>
      </c>
      <c r="N175" s="331">
        <f t="shared" si="65"/>
        <v>4.730208579547758E-2</v>
      </c>
      <c r="O175" s="332">
        <f t="shared" si="66"/>
        <v>1.0003633216631875</v>
      </c>
      <c r="P175" s="333">
        <f t="shared" si="67"/>
        <v>6.8696041348166009E-2</v>
      </c>
      <c r="Q175" s="334">
        <f t="shared" si="68"/>
        <v>11.121203240727311</v>
      </c>
      <c r="R175" s="335">
        <f t="shared" si="69"/>
        <v>-98.471501635119907</v>
      </c>
      <c r="S175" s="337">
        <f t="shared" si="70"/>
        <v>81.528498364880093</v>
      </c>
      <c r="U175" s="310">
        <f t="shared" si="75"/>
        <v>1000000000</v>
      </c>
      <c r="V175" s="310">
        <f t="shared" si="76"/>
        <v>96615138.48999998</v>
      </c>
      <c r="X175" s="336">
        <f t="shared" si="71"/>
        <v>1.7733684858448333</v>
      </c>
      <c r="Y175" s="337">
        <f t="shared" si="77"/>
        <v>-21.645177628950155</v>
      </c>
      <c r="AA175" s="336">
        <f t="shared" si="72"/>
        <v>9.3478347548824754</v>
      </c>
      <c r="AB175" s="337">
        <f t="shared" si="73"/>
        <v>-76.826324006169756</v>
      </c>
      <c r="AD175">
        <f t="shared" si="78"/>
        <v>0</v>
      </c>
      <c r="AE175">
        <f t="shared" si="81"/>
        <v>0</v>
      </c>
    </row>
    <row r="176" spans="1:31" x14ac:dyDescent="0.25">
      <c r="A176" s="338">
        <v>9886.2000000000007</v>
      </c>
      <c r="B176" s="355">
        <f t="shared" si="74"/>
        <v>9.8862000000000005</v>
      </c>
      <c r="C176" s="328">
        <f t="shared" si="54"/>
        <v>3.4629354252688782</v>
      </c>
      <c r="D176" s="329">
        <f t="shared" si="55"/>
        <v>1.2778520155296638</v>
      </c>
      <c r="E176" s="329">
        <f t="shared" si="56"/>
        <v>1.0000084037779846</v>
      </c>
      <c r="F176" s="330">
        <f t="shared" si="57"/>
        <v>4.0996875812790356E-3</v>
      </c>
      <c r="G176" s="329">
        <f t="shared" si="58"/>
        <v>1</v>
      </c>
      <c r="H176" s="330">
        <f t="shared" si="59"/>
        <v>0</v>
      </c>
      <c r="I176" s="328">
        <f t="shared" si="60"/>
        <v>17929.847452541009</v>
      </c>
      <c r="J176" s="331">
        <f t="shared" si="61"/>
        <v>1.5707405538719443</v>
      </c>
      <c r="K176" s="339">
        <f t="shared" si="82"/>
        <v>3.0971727276294896</v>
      </c>
      <c r="L176" s="340">
        <f t="shared" si="83"/>
        <v>1.2420305919104997</v>
      </c>
      <c r="M176" s="328">
        <f t="shared" si="64"/>
        <v>1.0011327822549132</v>
      </c>
      <c r="N176" s="331">
        <f t="shared" si="65"/>
        <v>4.7575497009598906E-2</v>
      </c>
      <c r="O176" s="332">
        <f t="shared" si="66"/>
        <v>1.0003675628607906</v>
      </c>
      <c r="P176" s="333">
        <f t="shared" si="67"/>
        <v>6.9094048829163215E-2</v>
      </c>
      <c r="Q176" s="334">
        <f t="shared" si="68"/>
        <v>11.069867779947769</v>
      </c>
      <c r="R176" s="335">
        <f t="shared" si="69"/>
        <v>-98.498998727523258</v>
      </c>
      <c r="S176" s="337">
        <f t="shared" si="70"/>
        <v>81.501001272476742</v>
      </c>
      <c r="U176" s="310">
        <f t="shared" si="75"/>
        <v>1000000000</v>
      </c>
      <c r="V176" s="310">
        <f t="shared" si="76"/>
        <v>97736950.440000013</v>
      </c>
      <c r="X176" s="336">
        <f t="shared" si="71"/>
        <v>1.7680020385076245</v>
      </c>
      <c r="Y176" s="337">
        <f t="shared" si="77"/>
        <v>-21.559568715819296</v>
      </c>
      <c r="AA176" s="336">
        <f t="shared" si="72"/>
        <v>9.3018657414401442</v>
      </c>
      <c r="AB176" s="337">
        <f t="shared" si="73"/>
        <v>-76.939430011703962</v>
      </c>
      <c r="AD176">
        <f t="shared" si="78"/>
        <v>0</v>
      </c>
      <c r="AE176">
        <f t="shared" si="81"/>
        <v>0</v>
      </c>
    </row>
    <row r="177" spans="1:31" x14ac:dyDescent="0.25">
      <c r="A177" s="338">
        <v>9943.1</v>
      </c>
      <c r="B177" s="355">
        <f t="shared" si="74"/>
        <v>9.9431000000000012</v>
      </c>
      <c r="C177" s="328">
        <f t="shared" si="54"/>
        <v>3.4812086741593151</v>
      </c>
      <c r="D177" s="329">
        <f t="shared" si="55"/>
        <v>1.279434886155439</v>
      </c>
      <c r="E177" s="329">
        <f t="shared" si="56"/>
        <v>1.0000085007918011</v>
      </c>
      <c r="F177" s="330">
        <f t="shared" si="57"/>
        <v>4.1232830564838013E-3</v>
      </c>
      <c r="G177" s="329">
        <f t="shared" si="58"/>
        <v>1</v>
      </c>
      <c r="H177" s="330">
        <f t="shared" si="59"/>
        <v>0</v>
      </c>
      <c r="I177" s="328">
        <f t="shared" si="60"/>
        <v>18033.042645525693</v>
      </c>
      <c r="J177" s="331">
        <f t="shared" si="61"/>
        <v>1.5707408730359183</v>
      </c>
      <c r="K177" s="339">
        <f t="shared" si="82"/>
        <v>3.1131449564514542</v>
      </c>
      <c r="L177" s="340">
        <f t="shared" si="83"/>
        <v>1.2437803482019012</v>
      </c>
      <c r="M177" s="328">
        <f t="shared" si="64"/>
        <v>1.0011458517465797</v>
      </c>
      <c r="N177" s="331">
        <f t="shared" si="65"/>
        <v>4.7848901105646248E-2</v>
      </c>
      <c r="O177" s="332">
        <f t="shared" si="66"/>
        <v>1.0003718290625836</v>
      </c>
      <c r="P177" s="333">
        <f t="shared" si="67"/>
        <v>6.9492062158409057E-2</v>
      </c>
      <c r="Q177" s="334">
        <f t="shared" si="68"/>
        <v>11.018834943905642</v>
      </c>
      <c r="R177" s="335">
        <f t="shared" si="69"/>
        <v>-98.526572633617803</v>
      </c>
      <c r="S177" s="337">
        <f t="shared" si="70"/>
        <v>81.473427366382197</v>
      </c>
      <c r="U177" s="310">
        <f t="shared" si="75"/>
        <v>1000000000</v>
      </c>
      <c r="V177" s="310">
        <f t="shared" si="76"/>
        <v>98865237.610000014</v>
      </c>
      <c r="X177" s="336">
        <f t="shared" si="71"/>
        <v>1.7627186783595921</v>
      </c>
      <c r="Y177" s="337">
        <f t="shared" si="77"/>
        <v>-21.474998252602667</v>
      </c>
      <c r="AA177" s="336">
        <f t="shared" si="72"/>
        <v>9.2561162655460478</v>
      </c>
      <c r="AB177" s="337">
        <f t="shared" si="73"/>
        <v>-77.051574381015158</v>
      </c>
      <c r="AD177">
        <f t="shared" si="78"/>
        <v>0</v>
      </c>
      <c r="AE177">
        <f t="shared" si="81"/>
        <v>0</v>
      </c>
    </row>
    <row r="178" spans="1:31" x14ac:dyDescent="0.25">
      <c r="A178" s="338">
        <v>10000</v>
      </c>
      <c r="B178" s="355">
        <f t="shared" si="74"/>
        <v>10</v>
      </c>
      <c r="C178" s="328">
        <f t="shared" si="54"/>
        <v>3.4994905540456243</v>
      </c>
      <c r="D178" s="329">
        <f t="shared" si="55"/>
        <v>1.2810012223496339</v>
      </c>
      <c r="E178" s="329">
        <f t="shared" si="56"/>
        <v>1.0000085983623686</v>
      </c>
      <c r="F178" s="330">
        <f t="shared" si="57"/>
        <v>4.1468785270972969E-3</v>
      </c>
      <c r="G178" s="329">
        <f t="shared" si="58"/>
        <v>1</v>
      </c>
      <c r="H178" s="330">
        <f t="shared" si="59"/>
        <v>0</v>
      </c>
      <c r="I178" s="328">
        <f t="shared" si="60"/>
        <v>18136.237838512192</v>
      </c>
      <c r="J178" s="331">
        <f t="shared" si="61"/>
        <v>1.5707411885678062</v>
      </c>
      <c r="K178" s="339">
        <f t="shared" si="82"/>
        <v>3.1291266193045209</v>
      </c>
      <c r="L178" s="340">
        <f t="shared" si="83"/>
        <v>1.2455122363831288</v>
      </c>
      <c r="M178" s="328">
        <f t="shared" si="64"/>
        <v>1.0011589960717409</v>
      </c>
      <c r="N178" s="331">
        <f t="shared" si="65"/>
        <v>4.8122298043025397E-2</v>
      </c>
      <c r="O178" s="332">
        <f t="shared" si="66"/>
        <v>1.0003761202775994</v>
      </c>
      <c r="P178" s="333">
        <f t="shared" si="67"/>
        <v>6.9890081369029258E-2</v>
      </c>
      <c r="Q178" s="334">
        <f t="shared" si="68"/>
        <v>10.968101147137602</v>
      </c>
      <c r="R178" s="335">
        <f t="shared" si="69"/>
        <v>-98.554222672843466</v>
      </c>
      <c r="S178" s="337">
        <f t="shared" si="70"/>
        <v>81.445777327156534</v>
      </c>
      <c r="U178" s="310">
        <f t="shared" si="75"/>
        <v>1000000000</v>
      </c>
      <c r="V178" s="310">
        <f t="shared" si="76"/>
        <v>100000000</v>
      </c>
      <c r="X178" s="336">
        <f t="shared" si="71"/>
        <v>1.7575166652004066</v>
      </c>
      <c r="Y178" s="337">
        <f t="shared" si="77"/>
        <v>-21.391450938423379</v>
      </c>
      <c r="AA178" s="336">
        <f t="shared" si="72"/>
        <v>9.2105844819371967</v>
      </c>
      <c r="AB178" s="337">
        <f t="shared" si="73"/>
        <v>-77.162771734420062</v>
      </c>
      <c r="AD178">
        <f t="shared" si="78"/>
        <v>0</v>
      </c>
      <c r="AE178">
        <f t="shared" si="81"/>
        <v>0</v>
      </c>
    </row>
    <row r="179" spans="1:31" x14ac:dyDescent="0.25">
      <c r="A179" s="338">
        <v>10058.25</v>
      </c>
      <c r="B179" s="355">
        <f t="shared" si="74"/>
        <v>10.058249999999999</v>
      </c>
      <c r="C179" s="328">
        <f t="shared" si="54"/>
        <v>3.5182149869074055</v>
      </c>
      <c r="D179" s="329">
        <f t="shared" si="55"/>
        <v>1.2825878548065091</v>
      </c>
      <c r="E179" s="329">
        <f t="shared" si="56"/>
        <v>1.0000086988246011</v>
      </c>
      <c r="F179" s="330">
        <f t="shared" si="57"/>
        <v>4.1710338151651552E-3</v>
      </c>
      <c r="G179" s="329">
        <f t="shared" si="58"/>
        <v>1</v>
      </c>
      <c r="H179" s="330">
        <f t="shared" si="59"/>
        <v>0</v>
      </c>
      <c r="I179" s="328">
        <f t="shared" si="60"/>
        <v>18241.881423601273</v>
      </c>
      <c r="J179" s="331">
        <f t="shared" si="61"/>
        <v>1.5707415078879385</v>
      </c>
      <c r="K179" s="339">
        <f t="shared" si="82"/>
        <v>3.1454970827479465</v>
      </c>
      <c r="L179" s="340">
        <f t="shared" si="83"/>
        <v>1.2472669796066276</v>
      </c>
      <c r="M179" s="328">
        <f t="shared" si="64"/>
        <v>1.0011725297717</v>
      </c>
      <c r="N179" s="331">
        <f t="shared" si="65"/>
        <v>4.8402174093147725E-2</v>
      </c>
      <c r="O179" s="332">
        <f t="shared" si="66"/>
        <v>1.0003805392252114</v>
      </c>
      <c r="P179" s="333">
        <f t="shared" si="67"/>
        <v>7.0297550044603238E-2</v>
      </c>
      <c r="Q179" s="334">
        <f t="shared" si="68"/>
        <v>10.916469737037618</v>
      </c>
      <c r="R179" s="335">
        <f t="shared" si="69"/>
        <v>-98.582606886947275</v>
      </c>
      <c r="S179" s="337">
        <f t="shared" si="70"/>
        <v>81.417393113052725</v>
      </c>
      <c r="U179" s="310">
        <f t="shared" si="75"/>
        <v>1000000000</v>
      </c>
      <c r="V179" s="310">
        <f t="shared" si="76"/>
        <v>101168393.0625</v>
      </c>
      <c r="X179" s="336">
        <f t="shared" si="71"/>
        <v>1.7522737244192803</v>
      </c>
      <c r="Y179" s="337">
        <f t="shared" si="77"/>
        <v>-21.306965569645879</v>
      </c>
      <c r="AA179" s="336">
        <f t="shared" si="72"/>
        <v>9.1641960126183353</v>
      </c>
      <c r="AB179" s="337">
        <f t="shared" si="73"/>
        <v>-77.275641317301407</v>
      </c>
      <c r="AD179">
        <f t="shared" si="78"/>
        <v>0</v>
      </c>
      <c r="AE179">
        <f t="shared" si="81"/>
        <v>0</v>
      </c>
    </row>
    <row r="180" spans="1:31" x14ac:dyDescent="0.25">
      <c r="A180" s="338">
        <v>10116.5</v>
      </c>
      <c r="B180" s="355">
        <f t="shared" si="74"/>
        <v>10.1165</v>
      </c>
      <c r="C180" s="328">
        <f t="shared" si="54"/>
        <v>3.5369481827450966</v>
      </c>
      <c r="D180" s="329">
        <f t="shared" si="55"/>
        <v>1.2841576842073417</v>
      </c>
      <c r="E180" s="329">
        <f t="shared" si="56"/>
        <v>1.0000087998703164</v>
      </c>
      <c r="F180" s="330">
        <f t="shared" si="57"/>
        <v>4.1951890983655737E-3</v>
      </c>
      <c r="G180" s="329">
        <f t="shared" si="58"/>
        <v>1</v>
      </c>
      <c r="H180" s="330">
        <f t="shared" si="59"/>
        <v>0</v>
      </c>
      <c r="I180" s="328">
        <f t="shared" si="60"/>
        <v>18347.525008692199</v>
      </c>
      <c r="J180" s="331">
        <f t="shared" si="61"/>
        <v>1.5707418235308312</v>
      </c>
      <c r="K180" s="339">
        <f t="shared" si="82"/>
        <v>3.1618771312578446</v>
      </c>
      <c r="L180" s="340">
        <f t="shared" si="83"/>
        <v>1.2490035472987566</v>
      </c>
      <c r="M180" s="328">
        <f t="shared" si="64"/>
        <v>1.0011861418919836</v>
      </c>
      <c r="N180" s="331">
        <f t="shared" si="65"/>
        <v>4.8682042554805904E-2</v>
      </c>
      <c r="O180" s="332">
        <f t="shared" si="66"/>
        <v>1.0003849844063695</v>
      </c>
      <c r="P180" s="333">
        <f t="shared" si="67"/>
        <v>7.0705024954169929E-2</v>
      </c>
      <c r="Q180" s="334">
        <f t="shared" si="68"/>
        <v>10.865144320030531</v>
      </c>
      <c r="R180" s="335">
        <f t="shared" si="69"/>
        <v>-98.611069450078048</v>
      </c>
      <c r="S180" s="337">
        <f t="shared" si="70"/>
        <v>81.388930549921952</v>
      </c>
      <c r="U180" s="310">
        <f t="shared" si="75"/>
        <v>1000000000</v>
      </c>
      <c r="V180" s="310">
        <f t="shared" si="76"/>
        <v>102343572.25</v>
      </c>
      <c r="X180" s="336">
        <f t="shared" si="71"/>
        <v>1.7471124862192213</v>
      </c>
      <c r="Y180" s="337">
        <f t="shared" si="77"/>
        <v>-21.223520936630187</v>
      </c>
      <c r="AA180" s="336">
        <f t="shared" si="72"/>
        <v>9.1180318338113082</v>
      </c>
      <c r="AB180" s="337">
        <f t="shared" si="73"/>
        <v>-77.387548513447868</v>
      </c>
      <c r="AD180">
        <f t="shared" si="78"/>
        <v>0</v>
      </c>
      <c r="AE180">
        <f t="shared" si="81"/>
        <v>0</v>
      </c>
    </row>
    <row r="181" spans="1:31" x14ac:dyDescent="0.25">
      <c r="A181" s="338">
        <v>10174.75</v>
      </c>
      <c r="B181" s="355">
        <f t="shared" si="74"/>
        <v>10.17475</v>
      </c>
      <c r="C181" s="328">
        <f t="shared" si="54"/>
        <v>3.5556900030551648</v>
      </c>
      <c r="D181" s="329">
        <f t="shared" si="55"/>
        <v>1.2857109684566963</v>
      </c>
      <c r="E181" s="329">
        <f t="shared" si="56"/>
        <v>1.0000089014995146</v>
      </c>
      <c r="F181" s="330">
        <f t="shared" si="57"/>
        <v>4.2193443766703666E-3</v>
      </c>
      <c r="G181" s="329">
        <f t="shared" si="58"/>
        <v>1</v>
      </c>
      <c r="H181" s="330">
        <f t="shared" si="59"/>
        <v>0</v>
      </c>
      <c r="I181" s="328">
        <f t="shared" si="60"/>
        <v>18453.168593784929</v>
      </c>
      <c r="J181" s="331">
        <f t="shared" si="61"/>
        <v>1.5707421355596403</v>
      </c>
      <c r="K181" s="339">
        <f t="shared" si="82"/>
        <v>3.1782666166365945</v>
      </c>
      <c r="L181" s="340">
        <f t="shared" si="83"/>
        <v>1.2507222100832665</v>
      </c>
      <c r="M181" s="328">
        <f t="shared" si="64"/>
        <v>1.0011998324293936</v>
      </c>
      <c r="N181" s="331">
        <f t="shared" si="65"/>
        <v>4.8961903384468188E-2</v>
      </c>
      <c r="O181" s="332">
        <f t="shared" si="66"/>
        <v>1.000389455830933</v>
      </c>
      <c r="P181" s="333">
        <f t="shared" si="67"/>
        <v>7.1112506133239162E-2</v>
      </c>
      <c r="Q181" s="334">
        <f t="shared" si="68"/>
        <v>10.814121249056024</v>
      </c>
      <c r="R181" s="335">
        <f t="shared" si="69"/>
        <v>-98.6396096366406</v>
      </c>
      <c r="S181" s="337">
        <f t="shared" si="70"/>
        <v>81.3603903633594</v>
      </c>
      <c r="U181" s="310">
        <f t="shared" si="75"/>
        <v>1000000000</v>
      </c>
      <c r="V181" s="310">
        <f t="shared" si="76"/>
        <v>103525537.5625</v>
      </c>
      <c r="X181" s="336">
        <f t="shared" si="71"/>
        <v>1.7420312232705664</v>
      </c>
      <c r="Y181" s="337">
        <f t="shared" si="77"/>
        <v>-21.141101534901907</v>
      </c>
      <c r="AA181" s="336">
        <f t="shared" si="72"/>
        <v>9.0720900257854602</v>
      </c>
      <c r="AB181" s="337">
        <f t="shared" si="73"/>
        <v>-77.498508101738679</v>
      </c>
      <c r="AD181">
        <f t="shared" si="78"/>
        <v>0</v>
      </c>
      <c r="AE181">
        <f t="shared" si="81"/>
        <v>0</v>
      </c>
    </row>
    <row r="182" spans="1:31" x14ac:dyDescent="0.25">
      <c r="A182" s="338">
        <v>10233</v>
      </c>
      <c r="B182" s="355">
        <f t="shared" si="74"/>
        <v>10.233000000000001</v>
      </c>
      <c r="C182" s="328">
        <f t="shared" si="54"/>
        <v>3.5744403121758341</v>
      </c>
      <c r="D182" s="329">
        <f t="shared" si="55"/>
        <v>1.2872479603707105</v>
      </c>
      <c r="E182" s="329">
        <f t="shared" si="56"/>
        <v>1.0000090037121951</v>
      </c>
      <c r="F182" s="330">
        <f t="shared" si="57"/>
        <v>4.2434996500513448E-3</v>
      </c>
      <c r="G182" s="329">
        <f t="shared" si="58"/>
        <v>1</v>
      </c>
      <c r="H182" s="330">
        <f t="shared" si="59"/>
        <v>0</v>
      </c>
      <c r="I182" s="328">
        <f t="shared" si="60"/>
        <v>18558.812178879431</v>
      </c>
      <c r="J182" s="331">
        <f t="shared" si="61"/>
        <v>1.570742444036084</v>
      </c>
      <c r="K182" s="339">
        <f t="shared" si="82"/>
        <v>3.1946653936432376</v>
      </c>
      <c r="L182" s="340">
        <f t="shared" si="83"/>
        <v>1.252423233455187</v>
      </c>
      <c r="M182" s="328">
        <f t="shared" si="64"/>
        <v>1.0012136013807125</v>
      </c>
      <c r="N182" s="331">
        <f t="shared" si="65"/>
        <v>4.9241756538610001E-2</v>
      </c>
      <c r="O182" s="332">
        <f t="shared" si="66"/>
        <v>1.0003939535088178</v>
      </c>
      <c r="P182" s="333">
        <f t="shared" si="67"/>
        <v>7.1519993617310471E-2</v>
      </c>
      <c r="Q182" s="334">
        <f t="shared" si="68"/>
        <v>10.763396941321039</v>
      </c>
      <c r="R182" s="335">
        <f t="shared" si="69"/>
        <v>-98.668226723265889</v>
      </c>
      <c r="S182" s="337">
        <f t="shared" si="70"/>
        <v>81.331773276734111</v>
      </c>
      <c r="U182" s="310">
        <f t="shared" si="75"/>
        <v>1000000000</v>
      </c>
      <c r="V182" s="310">
        <f t="shared" si="76"/>
        <v>104714289</v>
      </c>
      <c r="X182" s="336">
        <f t="shared" si="71"/>
        <v>1.737028252551639</v>
      </c>
      <c r="Y182" s="337">
        <f t="shared" si="77"/>
        <v>-21.059692153758782</v>
      </c>
      <c r="AA182" s="336">
        <f t="shared" si="72"/>
        <v>9.0263686887694004</v>
      </c>
      <c r="AB182" s="337">
        <f t="shared" si="73"/>
        <v>-77.608534569507128</v>
      </c>
      <c r="AD182">
        <f t="shared" si="78"/>
        <v>0</v>
      </c>
      <c r="AE182">
        <f t="shared" si="81"/>
        <v>0</v>
      </c>
    </row>
    <row r="183" spans="1:31" x14ac:dyDescent="0.25">
      <c r="A183" s="338">
        <v>10292.5</v>
      </c>
      <c r="B183" s="355">
        <f t="shared" si="74"/>
        <v>10.2925</v>
      </c>
      <c r="C183" s="328">
        <f t="shared" si="54"/>
        <v>3.59360161428978</v>
      </c>
      <c r="D183" s="329">
        <f t="shared" si="55"/>
        <v>1.2888013721122022</v>
      </c>
      <c r="E183" s="329">
        <f t="shared" si="56"/>
        <v>1.0000091087206793</v>
      </c>
      <c r="F183" s="330">
        <f t="shared" si="57"/>
        <v>4.2681732718256064E-3</v>
      </c>
      <c r="G183" s="329">
        <f t="shared" si="58"/>
        <v>1</v>
      </c>
      <c r="H183" s="330">
        <f t="shared" si="59"/>
        <v>0</v>
      </c>
      <c r="I183" s="328">
        <f t="shared" si="60"/>
        <v>18666.722793698798</v>
      </c>
      <c r="J183" s="331">
        <f t="shared" si="61"/>
        <v>1.5707427555273779</v>
      </c>
      <c r="K183" s="339">
        <f t="shared" si="82"/>
        <v>3.2114255205838216</v>
      </c>
      <c r="L183" s="340">
        <f t="shared" si="83"/>
        <v>1.2541428190305017</v>
      </c>
      <c r="M183" s="328">
        <f t="shared" si="64"/>
        <v>1.0012277467557429</v>
      </c>
      <c r="N183" s="331">
        <f t="shared" si="65"/>
        <v>4.9527607155640745E-2</v>
      </c>
      <c r="O183" s="332">
        <f t="shared" si="66"/>
        <v>1.0003985748181961</v>
      </c>
      <c r="P183" s="333">
        <f t="shared" si="67"/>
        <v>7.1936232014298968E-2</v>
      </c>
      <c r="Q183" s="334">
        <f t="shared" si="68"/>
        <v>10.711888918223691</v>
      </c>
      <c r="R183" s="335">
        <f t="shared" si="69"/>
        <v>-98.697536554045158</v>
      </c>
      <c r="S183" s="337">
        <f t="shared" si="70"/>
        <v>81.302463445954842</v>
      </c>
      <c r="U183" s="310">
        <f t="shared" si="75"/>
        <v>1000000000</v>
      </c>
      <c r="V183" s="310">
        <f t="shared" si="76"/>
        <v>105935556.25</v>
      </c>
      <c r="X183" s="336">
        <f t="shared" si="71"/>
        <v>1.7319970472434887</v>
      </c>
      <c r="Y183" s="337">
        <f t="shared" si="77"/>
        <v>-20.977563038751388</v>
      </c>
      <c r="AA183" s="336">
        <f t="shared" si="72"/>
        <v>8.9798918709802003</v>
      </c>
      <c r="AB183" s="337">
        <f t="shared" si="73"/>
        <v>-77.719973515293759</v>
      </c>
      <c r="AD183">
        <f t="shared" si="78"/>
        <v>0</v>
      </c>
      <c r="AE183">
        <f t="shared" si="81"/>
        <v>0</v>
      </c>
    </row>
    <row r="184" spans="1:31" x14ac:dyDescent="0.25">
      <c r="A184" s="338">
        <v>10352</v>
      </c>
      <c r="B184" s="355">
        <f t="shared" si="74"/>
        <v>10.352</v>
      </c>
      <c r="C184" s="328">
        <f t="shared" si="54"/>
        <v>3.6127714960835373</v>
      </c>
      <c r="D184" s="329">
        <f t="shared" si="55"/>
        <v>1.2903383022803787</v>
      </c>
      <c r="E184" s="329">
        <f t="shared" si="56"/>
        <v>1.0000092143379564</v>
      </c>
      <c r="F184" s="330">
        <f t="shared" si="57"/>
        <v>4.2928468884030164E-3</v>
      </c>
      <c r="G184" s="329">
        <f t="shared" si="58"/>
        <v>1</v>
      </c>
      <c r="H184" s="330">
        <f t="shared" si="59"/>
        <v>0</v>
      </c>
      <c r="I184" s="328">
        <f t="shared" si="60"/>
        <v>18774.633408519952</v>
      </c>
      <c r="J184" s="331">
        <f t="shared" si="61"/>
        <v>1.5707430634379664</v>
      </c>
      <c r="K184" s="339">
        <f t="shared" si="82"/>
        <v>3.2281950450080146</v>
      </c>
      <c r="L184" s="340">
        <f t="shared" si="83"/>
        <v>1.2558445441110271</v>
      </c>
      <c r="M184" s="328">
        <f t="shared" si="64"/>
        <v>1.0012419739393528</v>
      </c>
      <c r="N184" s="331">
        <f t="shared" si="65"/>
        <v>4.9813449672418172E-2</v>
      </c>
      <c r="O184" s="332">
        <f t="shared" si="66"/>
        <v>1.0004032235408327</v>
      </c>
      <c r="P184" s="333">
        <f t="shared" si="67"/>
        <v>7.2352477064634629E-2</v>
      </c>
      <c r="Q184" s="334">
        <f t="shared" si="68"/>
        <v>10.660685260473864</v>
      </c>
      <c r="R184" s="335">
        <f t="shared" si="69"/>
        <v>-98.726925103442085</v>
      </c>
      <c r="S184" s="337">
        <f t="shared" si="70"/>
        <v>81.273074896557915</v>
      </c>
      <c r="U184" s="310">
        <f t="shared" si="75"/>
        <v>1000000000</v>
      </c>
      <c r="V184" s="310">
        <f t="shared" si="76"/>
        <v>107163904</v>
      </c>
      <c r="X184" s="336">
        <f t="shared" si="71"/>
        <v>1.7270441163404251</v>
      </c>
      <c r="Y184" s="337">
        <f t="shared" si="77"/>
        <v>-20.89645658544698</v>
      </c>
      <c r="AA184" s="336">
        <f t="shared" si="72"/>
        <v>8.9336411441334356</v>
      </c>
      <c r="AB184" s="337">
        <f t="shared" si="73"/>
        <v>-77.830468517995115</v>
      </c>
      <c r="AD184">
        <f t="shared" si="78"/>
        <v>0</v>
      </c>
      <c r="AE184">
        <f t="shared" si="81"/>
        <v>0</v>
      </c>
    </row>
    <row r="185" spans="1:31" x14ac:dyDescent="0.25">
      <c r="A185" s="338">
        <v>10411.5</v>
      </c>
      <c r="B185" s="355">
        <f t="shared" si="74"/>
        <v>10.4115</v>
      </c>
      <c r="C185" s="328">
        <f t="shared" si="54"/>
        <v>3.6319498217032651</v>
      </c>
      <c r="D185" s="329">
        <f t="shared" si="55"/>
        <v>1.2918590046465654</v>
      </c>
      <c r="E185" s="329">
        <f t="shared" si="56"/>
        <v>1.0000093205640264</v>
      </c>
      <c r="F185" s="330">
        <f t="shared" si="57"/>
        <v>4.3175204997535337E-3</v>
      </c>
      <c r="G185" s="329">
        <f t="shared" si="58"/>
        <v>1</v>
      </c>
      <c r="H185" s="330">
        <f t="shared" si="59"/>
        <v>0</v>
      </c>
      <c r="I185" s="328">
        <f t="shared" si="60"/>
        <v>18882.544023342871</v>
      </c>
      <c r="J185" s="331">
        <f t="shared" si="61"/>
        <v>1.5707433678292386</v>
      </c>
      <c r="K185" s="339">
        <f t="shared" si="82"/>
        <v>3.2449738212215808</v>
      </c>
      <c r="L185" s="340">
        <f t="shared" si="83"/>
        <v>1.2575286758173045</v>
      </c>
      <c r="M185" s="328">
        <f t="shared" si="64"/>
        <v>1.0012562829280551</v>
      </c>
      <c r="N185" s="331">
        <f t="shared" si="65"/>
        <v>5.0099284042578525E-2</v>
      </c>
      <c r="O185" s="332">
        <f t="shared" si="66"/>
        <v>1.0004078996874797</v>
      </c>
      <c r="P185" s="333">
        <f t="shared" si="67"/>
        <v>7.2768728806118121E-2</v>
      </c>
      <c r="Q185" s="334">
        <f t="shared" si="68"/>
        <v>10.609782347836894</v>
      </c>
      <c r="R185" s="335">
        <f t="shared" si="69"/>
        <v>-98.756391609631393</v>
      </c>
      <c r="S185" s="337">
        <f t="shared" si="70"/>
        <v>81.243608390368607</v>
      </c>
      <c r="U185" s="310">
        <f t="shared" si="75"/>
        <v>1000000000</v>
      </c>
      <c r="V185" s="310">
        <f t="shared" si="76"/>
        <v>108399332.25</v>
      </c>
      <c r="X185" s="336">
        <f t="shared" si="71"/>
        <v>1.7221678008136365</v>
      </c>
      <c r="Y185" s="337">
        <f t="shared" si="77"/>
        <v>-20.816357489826775</v>
      </c>
      <c r="AA185" s="336">
        <f t="shared" si="72"/>
        <v>8.8876145470232579</v>
      </c>
      <c r="AB185" s="337">
        <f t="shared" si="73"/>
        <v>-77.940034119804608</v>
      </c>
      <c r="AD185">
        <f t="shared" si="78"/>
        <v>0</v>
      </c>
      <c r="AE185">
        <f t="shared" si="81"/>
        <v>0</v>
      </c>
    </row>
    <row r="186" spans="1:31" x14ac:dyDescent="0.25">
      <c r="A186" s="338">
        <v>10471</v>
      </c>
      <c r="B186" s="355">
        <f t="shared" si="74"/>
        <v>10.471</v>
      </c>
      <c r="C186" s="328">
        <f t="shared" si="54"/>
        <v>3.6511364580903041</v>
      </c>
      <c r="D186" s="329">
        <f t="shared" si="55"/>
        <v>1.2933637279515917</v>
      </c>
      <c r="E186" s="329">
        <f t="shared" si="56"/>
        <v>1.0000094273988891</v>
      </c>
      <c r="F186" s="330">
        <f t="shared" si="57"/>
        <v>4.3421941058471164E-3</v>
      </c>
      <c r="G186" s="329">
        <f t="shared" si="58"/>
        <v>1</v>
      </c>
      <c r="H186" s="330">
        <f t="shared" si="59"/>
        <v>0</v>
      </c>
      <c r="I186" s="328">
        <f t="shared" si="60"/>
        <v>18990.454638167514</v>
      </c>
      <c r="J186" s="331">
        <f t="shared" si="61"/>
        <v>1.5707436687611889</v>
      </c>
      <c r="K186" s="339">
        <f t="shared" si="82"/>
        <v>3.2617617064485773</v>
      </c>
      <c r="L186" s="340">
        <f t="shared" si="83"/>
        <v>1.2591954761742938</v>
      </c>
      <c r="M186" s="328">
        <f t="shared" si="64"/>
        <v>1.0012706737183426</v>
      </c>
      <c r="N186" s="331">
        <f t="shared" si="65"/>
        <v>5.0385110219765987E-2</v>
      </c>
      <c r="O186" s="332">
        <f t="shared" si="66"/>
        <v>1.00041260326895</v>
      </c>
      <c r="P186" s="333">
        <f t="shared" si="67"/>
        <v>7.3184987276538715E-2</v>
      </c>
      <c r="Q186" s="334">
        <f t="shared" si="68"/>
        <v>10.559176623786247</v>
      </c>
      <c r="R186" s="335">
        <f t="shared" si="69"/>
        <v>-98.785935314436756</v>
      </c>
      <c r="S186" s="337">
        <f t="shared" si="70"/>
        <v>81.214064685563244</v>
      </c>
      <c r="U186" s="310">
        <f t="shared" si="75"/>
        <v>1000000000</v>
      </c>
      <c r="V186" s="310">
        <f t="shared" si="76"/>
        <v>109641841</v>
      </c>
      <c r="X186" s="336">
        <f t="shared" si="71"/>
        <v>1.7173664842948722</v>
      </c>
      <c r="Y186" s="337">
        <f t="shared" si="77"/>
        <v>-20.737250739747864</v>
      </c>
      <c r="AA186" s="336">
        <f t="shared" si="72"/>
        <v>8.8418101394913737</v>
      </c>
      <c r="AB186" s="337">
        <f t="shared" si="73"/>
        <v>-78.048684574688878</v>
      </c>
      <c r="AD186">
        <f t="shared" si="78"/>
        <v>0</v>
      </c>
      <c r="AE186">
        <f t="shared" si="81"/>
        <v>0</v>
      </c>
    </row>
    <row r="187" spans="1:31" x14ac:dyDescent="0.25">
      <c r="A187" s="338">
        <v>10532</v>
      </c>
      <c r="B187" s="355">
        <f t="shared" si="74"/>
        <v>10.532</v>
      </c>
      <c r="C187" s="328">
        <f t="shared" si="54"/>
        <v>3.6708152824511067</v>
      </c>
      <c r="D187" s="329">
        <f t="shared" si="55"/>
        <v>1.2948900522920639</v>
      </c>
      <c r="E187" s="329">
        <f t="shared" si="56"/>
        <v>1.000009537559075</v>
      </c>
      <c r="F187" s="330">
        <f t="shared" si="57"/>
        <v>4.3674897301348888E-3</v>
      </c>
      <c r="G187" s="329">
        <f t="shared" si="58"/>
        <v>1</v>
      </c>
      <c r="H187" s="330">
        <f t="shared" si="59"/>
        <v>0</v>
      </c>
      <c r="I187" s="328">
        <f t="shared" si="60"/>
        <v>19101.085688661773</v>
      </c>
      <c r="J187" s="331">
        <f t="shared" si="61"/>
        <v>1.5707439737497999</v>
      </c>
      <c r="K187" s="339">
        <f t="shared" si="82"/>
        <v>3.2789821255729419</v>
      </c>
      <c r="L187" s="340">
        <f t="shared" si="83"/>
        <v>1.2608865735213433</v>
      </c>
      <c r="M187" s="328">
        <f t="shared" si="64"/>
        <v>1.0012855122188866</v>
      </c>
      <c r="N187" s="331">
        <f t="shared" si="65"/>
        <v>5.0678133544985224E-2</v>
      </c>
      <c r="O187" s="332">
        <f t="shared" si="66"/>
        <v>1.000417453920482</v>
      </c>
      <c r="P187" s="333">
        <f t="shared" si="67"/>
        <v>7.3611746683057089E-2</v>
      </c>
      <c r="Q187" s="334">
        <f t="shared" si="68"/>
        <v>10.507599988812089</v>
      </c>
      <c r="R187" s="335">
        <f t="shared" si="69"/>
        <v>-98.816303171360246</v>
      </c>
      <c r="S187" s="337">
        <f t="shared" si="70"/>
        <v>81.183696828639754</v>
      </c>
      <c r="U187" s="310">
        <f t="shared" si="75"/>
        <v>1000000000</v>
      </c>
      <c r="V187" s="310">
        <f t="shared" si="76"/>
        <v>110923024</v>
      </c>
      <c r="X187" s="336">
        <f t="shared" si="71"/>
        <v>1.7125203365912378</v>
      </c>
      <c r="Y187" s="337">
        <f t="shared" si="77"/>
        <v>-20.657164473318826</v>
      </c>
      <c r="AA187" s="336">
        <f t="shared" si="72"/>
        <v>8.7950796522208528</v>
      </c>
      <c r="AB187" s="337">
        <f t="shared" si="73"/>
        <v>-78.159138698041403</v>
      </c>
      <c r="AD187">
        <f t="shared" si="78"/>
        <v>0</v>
      </c>
      <c r="AE187">
        <f t="shared" si="81"/>
        <v>0</v>
      </c>
    </row>
    <row r="188" spans="1:31" x14ac:dyDescent="0.25">
      <c r="A188" s="338">
        <v>10593</v>
      </c>
      <c r="B188" s="355">
        <f t="shared" si="74"/>
        <v>10.593</v>
      </c>
      <c r="C188" s="328">
        <f t="shared" si="54"/>
        <v>3.6905025673728402</v>
      </c>
      <c r="D188" s="329">
        <f t="shared" si="55"/>
        <v>1.2964000955175368</v>
      </c>
      <c r="E188" s="329">
        <f t="shared" si="56"/>
        <v>1.0000096483591356</v>
      </c>
      <c r="F188" s="330">
        <f t="shared" si="57"/>
        <v>4.3927853488333864E-3</v>
      </c>
      <c r="G188" s="329">
        <f t="shared" si="58"/>
        <v>1</v>
      </c>
      <c r="H188" s="330">
        <f t="shared" si="59"/>
        <v>0</v>
      </c>
      <c r="I188" s="328">
        <f t="shared" si="60"/>
        <v>19211.716739157786</v>
      </c>
      <c r="J188" s="331">
        <f t="shared" si="61"/>
        <v>1.5707442752258449</v>
      </c>
      <c r="K188" s="339">
        <f t="shared" si="82"/>
        <v>3.2962118239689877</v>
      </c>
      <c r="L188" s="340">
        <f t="shared" si="83"/>
        <v>1.2625599964711987</v>
      </c>
      <c r="M188" s="328">
        <f t="shared" si="64"/>
        <v>1.001300436689925</v>
      </c>
      <c r="N188" s="331">
        <f t="shared" si="65"/>
        <v>5.0971148160286008E-2</v>
      </c>
      <c r="O188" s="332">
        <f t="shared" si="66"/>
        <v>1.000422333430758</v>
      </c>
      <c r="P188" s="333">
        <f t="shared" si="67"/>
        <v>7.4038513242464563E-2</v>
      </c>
      <c r="Q188" s="334">
        <f t="shared" si="68"/>
        <v>10.456328344230707</v>
      </c>
      <c r="R188" s="335">
        <f t="shared" si="69"/>
        <v>-98.846750567327021</v>
      </c>
      <c r="S188" s="337">
        <f t="shared" si="70"/>
        <v>81.153249432672979</v>
      </c>
      <c r="U188" s="310">
        <f t="shared" si="75"/>
        <v>1000000000</v>
      </c>
      <c r="V188" s="310">
        <f t="shared" si="76"/>
        <v>112211649</v>
      </c>
      <c r="X188" s="336">
        <f t="shared" si="71"/>
        <v>1.707749708418441</v>
      </c>
      <c r="Y188" s="337">
        <f t="shared" si="77"/>
        <v>-20.578090174958803</v>
      </c>
      <c r="AA188" s="336">
        <f t="shared" si="72"/>
        <v>8.748578635812267</v>
      </c>
      <c r="AB188" s="337">
        <f t="shared" si="73"/>
        <v>-78.268660392368247</v>
      </c>
      <c r="AD188">
        <f t="shared" si="78"/>
        <v>0</v>
      </c>
      <c r="AE188">
        <f t="shared" si="81"/>
        <v>0</v>
      </c>
    </row>
    <row r="189" spans="1:31" x14ac:dyDescent="0.25">
      <c r="A189" s="338">
        <v>10654</v>
      </c>
      <c r="B189" s="355">
        <f t="shared" si="74"/>
        <v>10.654</v>
      </c>
      <c r="C189" s="328">
        <f t="shared" si="54"/>
        <v>3.7101981781736399</v>
      </c>
      <c r="D189" s="329">
        <f t="shared" si="55"/>
        <v>1.297894109971361</v>
      </c>
      <c r="E189" s="329">
        <f t="shared" si="56"/>
        <v>1.0000097597990705</v>
      </c>
      <c r="F189" s="330">
        <f t="shared" si="57"/>
        <v>4.4180809619102429E-3</v>
      </c>
      <c r="G189" s="329">
        <f t="shared" si="58"/>
        <v>1</v>
      </c>
      <c r="H189" s="330">
        <f t="shared" si="59"/>
        <v>0</v>
      </c>
      <c r="I189" s="328">
        <f t="shared" si="60"/>
        <v>19322.347789655527</v>
      </c>
      <c r="J189" s="331">
        <f t="shared" si="61"/>
        <v>1.5707445732496581</v>
      </c>
      <c r="K189" s="339">
        <f t="shared" si="82"/>
        <v>3.3134506568821385</v>
      </c>
      <c r="L189" s="340">
        <f t="shared" si="83"/>
        <v>1.2642160114405774</v>
      </c>
      <c r="M189" s="328">
        <f t="shared" si="64"/>
        <v>1.0013154471276136</v>
      </c>
      <c r="N189" s="331">
        <f t="shared" si="65"/>
        <v>5.1264154015743885E-2</v>
      </c>
      <c r="O189" s="332">
        <f t="shared" si="66"/>
        <v>1.000427241811632</v>
      </c>
      <c r="P189" s="333">
        <f t="shared" si="67"/>
        <v>7.4465286995443136E-2</v>
      </c>
      <c r="Q189" s="334">
        <f t="shared" si="68"/>
        <v>10.405358056697692</v>
      </c>
      <c r="R189" s="335">
        <f t="shared" si="69"/>
        <v>-98.877276698921889</v>
      </c>
      <c r="S189" s="337">
        <f t="shared" si="70"/>
        <v>81.122723301078111</v>
      </c>
      <c r="U189" s="310">
        <f t="shared" si="75"/>
        <v>1000000000</v>
      </c>
      <c r="V189" s="310">
        <f t="shared" si="76"/>
        <v>113507716</v>
      </c>
      <c r="X189" s="336">
        <f t="shared" si="71"/>
        <v>1.7030529893698438</v>
      </c>
      <c r="Y189" s="337">
        <f t="shared" si="77"/>
        <v>-20.500012580710752</v>
      </c>
      <c r="AA189" s="336">
        <f t="shared" si="72"/>
        <v>8.7023050673278473</v>
      </c>
      <c r="AB189" s="337">
        <f t="shared" si="73"/>
        <v>-78.377264118211144</v>
      </c>
      <c r="AD189">
        <f t="shared" si="78"/>
        <v>0</v>
      </c>
      <c r="AE189">
        <f t="shared" si="81"/>
        <v>0</v>
      </c>
    </row>
    <row r="190" spans="1:31" x14ac:dyDescent="0.25">
      <c r="A190" s="338">
        <v>10715</v>
      </c>
      <c r="B190" s="355">
        <f t="shared" si="74"/>
        <v>10.715</v>
      </c>
      <c r="C190" s="328">
        <f t="shared" si="54"/>
        <v>3.729901982960008</v>
      </c>
      <c r="D190" s="329">
        <f t="shared" si="55"/>
        <v>1.2993723429543229</v>
      </c>
      <c r="E190" s="329">
        <f t="shared" si="56"/>
        <v>1.0000098718788795</v>
      </c>
      <c r="F190" s="330">
        <f t="shared" si="57"/>
        <v>4.4433765693330848E-3</v>
      </c>
      <c r="G190" s="329">
        <f t="shared" si="58"/>
        <v>1</v>
      </c>
      <c r="H190" s="330">
        <f t="shared" si="59"/>
        <v>0</v>
      </c>
      <c r="I190" s="328">
        <f t="shared" si="60"/>
        <v>19432.978840154963</v>
      </c>
      <c r="J190" s="331">
        <f t="shared" si="61"/>
        <v>1.5707448678801998</v>
      </c>
      <c r="K190" s="339">
        <f t="shared" si="82"/>
        <v>3.3306984824787111</v>
      </c>
      <c r="L190" s="340">
        <f t="shared" si="83"/>
        <v>1.2658548797140199</v>
      </c>
      <c r="M190" s="328">
        <f t="shared" si="64"/>
        <v>1.0013305435280861</v>
      </c>
      <c r="N190" s="331">
        <f t="shared" si="65"/>
        <v>5.1557151061443408E-2</v>
      </c>
      <c r="O190" s="332">
        <f t="shared" si="66"/>
        <v>1.0004321790750261</v>
      </c>
      <c r="P190" s="333">
        <f t="shared" si="67"/>
        <v>7.4892067982661847E-2</v>
      </c>
      <c r="Q190" s="334">
        <f t="shared" si="68"/>
        <v>10.354685556946613</v>
      </c>
      <c r="R190" s="335">
        <f t="shared" si="69"/>
        <v>-98.907880767784917</v>
      </c>
      <c r="S190" s="337">
        <f t="shared" si="70"/>
        <v>81.092119232215083</v>
      </c>
      <c r="U190" s="310">
        <f t="shared" si="75"/>
        <v>1000000000</v>
      </c>
      <c r="V190" s="310">
        <f t="shared" si="76"/>
        <v>114811225</v>
      </c>
      <c r="X190" s="336">
        <f t="shared" si="71"/>
        <v>1.6984286106945858</v>
      </c>
      <c r="Y190" s="337">
        <f t="shared" si="77"/>
        <v>-20.422916720591449</v>
      </c>
      <c r="AA190" s="336">
        <f t="shared" si="72"/>
        <v>8.6562569462520251</v>
      </c>
      <c r="AB190" s="337">
        <f t="shared" si="73"/>
        <v>-78.484964047193486</v>
      </c>
      <c r="AD190">
        <f t="shared" si="78"/>
        <v>0</v>
      </c>
      <c r="AE190">
        <f t="shared" si="81"/>
        <v>0</v>
      </c>
    </row>
    <row r="191" spans="1:31" x14ac:dyDescent="0.25">
      <c r="A191" s="338">
        <v>10777.5</v>
      </c>
      <c r="B191" s="355">
        <f t="shared" si="74"/>
        <v>10.7775</v>
      </c>
      <c r="C191" s="328">
        <f t="shared" si="54"/>
        <v>3.7500986711760533</v>
      </c>
      <c r="D191" s="329">
        <f t="shared" si="55"/>
        <v>1.3008708110057681</v>
      </c>
      <c r="E191" s="329">
        <f t="shared" si="56"/>
        <v>1.0000099873784187</v>
      </c>
      <c r="F191" s="330">
        <f t="shared" si="57"/>
        <v>4.4692941939911534E-3</v>
      </c>
      <c r="G191" s="329">
        <f t="shared" si="58"/>
        <v>1</v>
      </c>
      <c r="H191" s="330">
        <f t="shared" si="59"/>
        <v>0</v>
      </c>
      <c r="I191" s="328">
        <f t="shared" si="60"/>
        <v>19546.330326324151</v>
      </c>
      <c r="J191" s="331">
        <f t="shared" si="61"/>
        <v>1.5707451662965453</v>
      </c>
      <c r="K191" s="339">
        <f t="shared" si="82"/>
        <v>3.3483796167175544</v>
      </c>
      <c r="L191" s="340">
        <f t="shared" si="83"/>
        <v>1.2675165316341082</v>
      </c>
      <c r="M191" s="328">
        <f t="shared" si="64"/>
        <v>1.0013461003069875</v>
      </c>
      <c r="N191" s="331">
        <f t="shared" si="65"/>
        <v>5.1857343762970479E-2</v>
      </c>
      <c r="O191" s="332">
        <f t="shared" si="66"/>
        <v>1.0004372677156659</v>
      </c>
      <c r="P191" s="333">
        <f t="shared" si="67"/>
        <v>7.5329351130097907E-2</v>
      </c>
      <c r="Q191" s="334">
        <f t="shared" si="68"/>
        <v>10.303072207415976</v>
      </c>
      <c r="R191" s="335">
        <f t="shared" si="69"/>
        <v>-98.939317401990593</v>
      </c>
      <c r="S191" s="337">
        <f t="shared" si="70"/>
        <v>81.060682598009407</v>
      </c>
      <c r="U191" s="310">
        <f t="shared" si="75"/>
        <v>1000000000</v>
      </c>
      <c r="V191" s="310">
        <f t="shared" si="76"/>
        <v>116154506.25</v>
      </c>
      <c r="X191" s="336">
        <f t="shared" si="71"/>
        <v>1.6937639503883417</v>
      </c>
      <c r="Y191" s="337">
        <f t="shared" si="77"/>
        <v>-20.344927951296732</v>
      </c>
      <c r="AA191" s="336">
        <f t="shared" si="72"/>
        <v>8.6093082570276316</v>
      </c>
      <c r="AB191" s="337">
        <f t="shared" si="73"/>
        <v>-78.594389450693882</v>
      </c>
      <c r="AD191">
        <f t="shared" si="78"/>
        <v>0</v>
      </c>
      <c r="AE191">
        <f t="shared" si="81"/>
        <v>0</v>
      </c>
    </row>
    <row r="192" spans="1:31" x14ac:dyDescent="0.25">
      <c r="A192" s="338">
        <v>10840</v>
      </c>
      <c r="B192" s="355">
        <f t="shared" si="74"/>
        <v>10.84</v>
      </c>
      <c r="C192" s="328">
        <f t="shared" si="54"/>
        <v>3.770303689663582</v>
      </c>
      <c r="D192" s="329">
        <f t="shared" si="55"/>
        <v>1.3023532218065808</v>
      </c>
      <c r="E192" s="329">
        <f t="shared" si="56"/>
        <v>1.0000101035496876</v>
      </c>
      <c r="F192" s="330">
        <f t="shared" si="57"/>
        <v>4.4952118126449277E-3</v>
      </c>
      <c r="G192" s="329">
        <f t="shared" si="58"/>
        <v>1</v>
      </c>
      <c r="H192" s="330">
        <f t="shared" si="59"/>
        <v>0</v>
      </c>
      <c r="I192" s="328">
        <f t="shared" si="60"/>
        <v>19659.681812495059</v>
      </c>
      <c r="J192" s="331">
        <f t="shared" si="61"/>
        <v>1.5707454612717426</v>
      </c>
      <c r="K192" s="339">
        <f t="shared" si="82"/>
        <v>3.3660698989842066</v>
      </c>
      <c r="L192" s="340">
        <f t="shared" si="83"/>
        <v>1.2691607225277883</v>
      </c>
      <c r="M192" s="328">
        <f t="shared" si="64"/>
        <v>1.0013617473200431</v>
      </c>
      <c r="N192" s="331">
        <f t="shared" si="65"/>
        <v>5.2157527110085006E-2</v>
      </c>
      <c r="O192" s="332">
        <f t="shared" si="66"/>
        <v>1.0004423867023</v>
      </c>
      <c r="P192" s="333">
        <f t="shared" si="67"/>
        <v>7.576664195832615E-2</v>
      </c>
      <c r="Q192" s="334">
        <f t="shared" si="68"/>
        <v>10.251764084839824</v>
      </c>
      <c r="R192" s="335">
        <f t="shared" si="69"/>
        <v>-98.970834173913104</v>
      </c>
      <c r="S192" s="337">
        <f t="shared" si="70"/>
        <v>81.029165826086896</v>
      </c>
      <c r="U192" s="310">
        <f t="shared" si="75"/>
        <v>1000000000</v>
      </c>
      <c r="V192" s="310">
        <f t="shared" si="76"/>
        <v>117505600</v>
      </c>
      <c r="X192" s="336">
        <f t="shared" si="71"/>
        <v>1.6891720263636838</v>
      </c>
      <c r="Y192" s="337">
        <f t="shared" si="77"/>
        <v>-20.267938891990678</v>
      </c>
      <c r="AA192" s="336">
        <f t="shared" si="72"/>
        <v>8.5625920584761381</v>
      </c>
      <c r="AB192" s="337">
        <f t="shared" si="73"/>
        <v>-78.702895281922409</v>
      </c>
      <c r="AD192">
        <f t="shared" si="78"/>
        <v>0</v>
      </c>
      <c r="AE192">
        <f t="shared" si="81"/>
        <v>0</v>
      </c>
    </row>
    <row r="193" spans="1:31" x14ac:dyDescent="0.25">
      <c r="A193" s="338">
        <v>10902.5</v>
      </c>
      <c r="B193" s="355">
        <f t="shared" si="74"/>
        <v>10.9025</v>
      </c>
      <c r="C193" s="328">
        <f t="shared" si="54"/>
        <v>3.790516905211248</v>
      </c>
      <c r="D193" s="329">
        <f t="shared" si="55"/>
        <v>1.3038198256682945</v>
      </c>
      <c r="E193" s="329">
        <f t="shared" si="56"/>
        <v>1.0000102203926864</v>
      </c>
      <c r="F193" s="330">
        <f t="shared" si="57"/>
        <v>4.5211294252595867E-3</v>
      </c>
      <c r="G193" s="329">
        <f t="shared" si="58"/>
        <v>1</v>
      </c>
      <c r="H193" s="330">
        <f t="shared" si="59"/>
        <v>0</v>
      </c>
      <c r="I193" s="328">
        <f t="shared" si="60"/>
        <v>19773.033298667655</v>
      </c>
      <c r="J193" s="331">
        <f t="shared" si="61"/>
        <v>1.5707457528649729</v>
      </c>
      <c r="K193" s="339">
        <f t="shared" si="82"/>
        <v>3.3837691858015142</v>
      </c>
      <c r="L193" s="340">
        <f t="shared" si="83"/>
        <v>1.2707877174321329</v>
      </c>
      <c r="M193" s="328">
        <f t="shared" si="64"/>
        <v>1.0013774845630234</v>
      </c>
      <c r="N193" s="331">
        <f t="shared" si="65"/>
        <v>5.2457701049127704E-2</v>
      </c>
      <c r="O193" s="332">
        <f t="shared" si="66"/>
        <v>1.0004475360479748</v>
      </c>
      <c r="P193" s="333">
        <f t="shared" si="67"/>
        <v>7.6203940511047383E-2</v>
      </c>
      <c r="Q193" s="334">
        <f t="shared" si="68"/>
        <v>10.200757549823107</v>
      </c>
      <c r="R193" s="335">
        <f t="shared" si="69"/>
        <v>-99.002430242663337</v>
      </c>
      <c r="S193" s="337">
        <f t="shared" si="70"/>
        <v>80.997569757336663</v>
      </c>
      <c r="U193" s="310">
        <f t="shared" si="75"/>
        <v>1000000000</v>
      </c>
      <c r="V193" s="310">
        <f t="shared" si="76"/>
        <v>118864506.25</v>
      </c>
      <c r="X193" s="336">
        <f t="shared" si="71"/>
        <v>1.6846512791746517</v>
      </c>
      <c r="Y193" s="337">
        <f t="shared" si="77"/>
        <v>-20.191934357483984</v>
      </c>
      <c r="AA193" s="336">
        <f t="shared" si="72"/>
        <v>8.5161062706484572</v>
      </c>
      <c r="AB193" s="337">
        <f t="shared" si="73"/>
        <v>-78.810495885179364</v>
      </c>
      <c r="AD193">
        <f t="shared" si="78"/>
        <v>0</v>
      </c>
      <c r="AE193">
        <f t="shared" si="81"/>
        <v>0</v>
      </c>
    </row>
    <row r="194" spans="1:31" x14ac:dyDescent="0.25">
      <c r="A194" s="338">
        <v>10965</v>
      </c>
      <c r="B194" s="355">
        <f t="shared" si="74"/>
        <v>10.965</v>
      </c>
      <c r="C194" s="328">
        <f t="shared" si="54"/>
        <v>3.8107381873805917</v>
      </c>
      <c r="D194" s="329">
        <f t="shared" si="55"/>
        <v>1.3052708678646756</v>
      </c>
      <c r="E194" s="329">
        <f t="shared" si="56"/>
        <v>1.0000103379074141</v>
      </c>
      <c r="F194" s="330">
        <f t="shared" si="57"/>
        <v>4.5470470318003178E-3</v>
      </c>
      <c r="G194" s="329">
        <f t="shared" si="58"/>
        <v>1</v>
      </c>
      <c r="H194" s="330">
        <f t="shared" si="59"/>
        <v>0</v>
      </c>
      <c r="I194" s="328">
        <f t="shared" si="60"/>
        <v>19886.384784841914</v>
      </c>
      <c r="J194" s="331">
        <f t="shared" si="61"/>
        <v>1.5707460411340668</v>
      </c>
      <c r="K194" s="339">
        <f t="shared" si="82"/>
        <v>3.4014773366063289</v>
      </c>
      <c r="L194" s="340">
        <f t="shared" si="83"/>
        <v>1.2723977762334473</v>
      </c>
      <c r="M194" s="328">
        <f t="shared" si="64"/>
        <v>1.001393312031674</v>
      </c>
      <c r="N194" s="331">
        <f t="shared" si="65"/>
        <v>5.275786552644942E-2</v>
      </c>
      <c r="O194" s="332">
        <f t="shared" si="66"/>
        <v>1.000452715765811</v>
      </c>
      <c r="P194" s="333">
        <f t="shared" si="67"/>
        <v>7.6641246831947896E-2</v>
      </c>
      <c r="Q194" s="334">
        <f t="shared" si="68"/>
        <v>10.150049027248214</v>
      </c>
      <c r="R194" s="335">
        <f t="shared" si="69"/>
        <v>-99.034104773749235</v>
      </c>
      <c r="S194" s="337">
        <f t="shared" si="70"/>
        <v>80.965895226250765</v>
      </c>
      <c r="U194" s="310">
        <f t="shared" si="75"/>
        <v>1000000000</v>
      </c>
      <c r="V194" s="310">
        <f t="shared" si="76"/>
        <v>120231225</v>
      </c>
      <c r="X194" s="336">
        <f t="shared" si="71"/>
        <v>1.6802001899203309</v>
      </c>
      <c r="Y194" s="337">
        <f t="shared" si="77"/>
        <v>-20.116899457627767</v>
      </c>
      <c r="AA194" s="336">
        <f t="shared" si="72"/>
        <v>8.4698488373278842</v>
      </c>
      <c r="AB194" s="337">
        <f t="shared" si="73"/>
        <v>-78.917205316121482</v>
      </c>
      <c r="AD194">
        <f t="shared" si="78"/>
        <v>0</v>
      </c>
      <c r="AE194">
        <f t="shared" si="81"/>
        <v>0</v>
      </c>
    </row>
    <row r="195" spans="1:31" x14ac:dyDescent="0.25">
      <c r="A195" s="338">
        <v>11028.75</v>
      </c>
      <c r="B195" s="355">
        <f t="shared" si="74"/>
        <v>11.02875</v>
      </c>
      <c r="C195" s="328">
        <f t="shared" si="54"/>
        <v>3.8313720729698266</v>
      </c>
      <c r="D195" s="329">
        <f t="shared" si="55"/>
        <v>1.3067351485203542</v>
      </c>
      <c r="E195" s="329">
        <f t="shared" si="56"/>
        <v>1.000010458464452</v>
      </c>
      <c r="F195" s="330">
        <f t="shared" si="57"/>
        <v>4.5734829841783927E-3</v>
      </c>
      <c r="G195" s="329">
        <f t="shared" si="58"/>
        <v>1</v>
      </c>
      <c r="H195" s="330">
        <f t="shared" si="59"/>
        <v>0</v>
      </c>
      <c r="I195" s="328">
        <f t="shared" si="60"/>
        <v>20002.00330074134</v>
      </c>
      <c r="J195" s="331">
        <f t="shared" si="61"/>
        <v>1.570746331802626</v>
      </c>
      <c r="K195" s="339">
        <f t="shared" si="82"/>
        <v>3.4195486392956878</v>
      </c>
      <c r="L195" s="340">
        <f t="shared" si="83"/>
        <v>1.2740228529139015</v>
      </c>
      <c r="M195" s="328">
        <f t="shared" si="64"/>
        <v>1.0014095489957464</v>
      </c>
      <c r="N195" s="331">
        <f t="shared" si="65"/>
        <v>5.3064023490225438E-2</v>
      </c>
      <c r="O195" s="332">
        <f t="shared" si="66"/>
        <v>1.0004580303810906</v>
      </c>
      <c r="P195" s="333">
        <f t="shared" si="67"/>
        <v>7.7087307327334945E-2</v>
      </c>
      <c r="Q195" s="334">
        <f t="shared" si="68"/>
        <v>10.098629704432049</v>
      </c>
      <c r="R195" s="335">
        <f t="shared" si="69"/>
        <v>-99.066492768768995</v>
      </c>
      <c r="S195" s="337">
        <f t="shared" si="70"/>
        <v>80.933507231231005</v>
      </c>
      <c r="U195" s="310">
        <f t="shared" si="75"/>
        <v>1000000000</v>
      </c>
      <c r="V195" s="310">
        <f t="shared" si="76"/>
        <v>121633326.5625</v>
      </c>
      <c r="X195" s="336">
        <f t="shared" si="71"/>
        <v>1.6757303062422628</v>
      </c>
      <c r="Y195" s="337">
        <f t="shared" si="77"/>
        <v>-20.041347635636658</v>
      </c>
      <c r="AA195" s="336">
        <f t="shared" si="72"/>
        <v>8.4228993981897862</v>
      </c>
      <c r="AB195" s="337">
        <f t="shared" si="73"/>
        <v>-79.025145133132369</v>
      </c>
      <c r="AD195">
        <f t="shared" si="78"/>
        <v>0</v>
      </c>
      <c r="AE195">
        <f t="shared" si="81"/>
        <v>0</v>
      </c>
    </row>
    <row r="196" spans="1:31" x14ac:dyDescent="0.25">
      <c r="A196" s="338">
        <v>11092.5</v>
      </c>
      <c r="B196" s="355">
        <f t="shared" si="74"/>
        <v>11.092499999999999</v>
      </c>
      <c r="C196" s="328">
        <f t="shared" si="54"/>
        <v>3.8520140854532543</v>
      </c>
      <c r="D196" s="329">
        <f t="shared" si="55"/>
        <v>1.3081837388020472</v>
      </c>
      <c r="E196" s="329">
        <f t="shared" si="56"/>
        <v>1.0000105797203565</v>
      </c>
      <c r="F196" s="330">
        <f t="shared" si="57"/>
        <v>4.5999189301639785E-3</v>
      </c>
      <c r="G196" s="329">
        <f t="shared" si="58"/>
        <v>1</v>
      </c>
      <c r="H196" s="330">
        <f t="shared" si="59"/>
        <v>0</v>
      </c>
      <c r="I196" s="328">
        <f t="shared" si="60"/>
        <v>20117.621816642444</v>
      </c>
      <c r="J196" s="331">
        <f t="shared" si="61"/>
        <v>1.5707466191301673</v>
      </c>
      <c r="K196" s="339">
        <f t="shared" si="82"/>
        <v>3.4376288776229909</v>
      </c>
      <c r="L196" s="340">
        <f t="shared" si="83"/>
        <v>1.2756308395944567</v>
      </c>
      <c r="M196" s="328">
        <f t="shared" si="64"/>
        <v>1.0014258798215894</v>
      </c>
      <c r="N196" s="331">
        <f t="shared" si="65"/>
        <v>5.3370171497309944E-2</v>
      </c>
      <c r="O196" s="332">
        <f t="shared" si="66"/>
        <v>1.0004633766233806</v>
      </c>
      <c r="P196" s="333">
        <f t="shared" si="67"/>
        <v>7.7533375996500287E-2</v>
      </c>
      <c r="Q196" s="334">
        <f t="shared" si="68"/>
        <v>10.04751311815747</v>
      </c>
      <c r="R196" s="335">
        <f t="shared" si="69"/>
        <v>-99.098960663233257</v>
      </c>
      <c r="S196" s="337">
        <f t="shared" si="70"/>
        <v>80.901039336766743</v>
      </c>
      <c r="U196" s="310">
        <f t="shared" si="75"/>
        <v>1000000000</v>
      </c>
      <c r="V196" s="310">
        <f t="shared" si="76"/>
        <v>123043556.25</v>
      </c>
      <c r="X196" s="336">
        <f t="shared" si="71"/>
        <v>1.6713298261142047</v>
      </c>
      <c r="Y196" s="337">
        <f t="shared" si="77"/>
        <v>-19.966774236610121</v>
      </c>
      <c r="AA196" s="336">
        <f t="shared" si="72"/>
        <v>8.3761832920432653</v>
      </c>
      <c r="AB196" s="337">
        <f t="shared" si="73"/>
        <v>-79.132186426623136</v>
      </c>
      <c r="AD196">
        <f t="shared" si="78"/>
        <v>0</v>
      </c>
      <c r="AE196">
        <f t="shared" si="81"/>
        <v>0</v>
      </c>
    </row>
    <row r="197" spans="1:31" x14ac:dyDescent="0.25">
      <c r="A197" s="338">
        <v>11156.25</v>
      </c>
      <c r="B197" s="355">
        <f t="shared" si="74"/>
        <v>11.15625</v>
      </c>
      <c r="C197" s="328">
        <f t="shared" si="54"/>
        <v>3.8726640948773485</v>
      </c>
      <c r="D197" s="329">
        <f t="shared" si="55"/>
        <v>1.3096168835761117</v>
      </c>
      <c r="E197" s="329">
        <f t="shared" si="56"/>
        <v>1.0000107016751276</v>
      </c>
      <c r="F197" s="330">
        <f t="shared" si="57"/>
        <v>4.6263548697201302E-3</v>
      </c>
      <c r="G197" s="329">
        <f t="shared" si="58"/>
        <v>1</v>
      </c>
      <c r="H197" s="330">
        <f t="shared" si="59"/>
        <v>0</v>
      </c>
      <c r="I197" s="328">
        <f t="shared" si="60"/>
        <v>20233.240332545181</v>
      </c>
      <c r="J197" s="331">
        <f t="shared" si="61"/>
        <v>1.5707469031739654</v>
      </c>
      <c r="K197" s="339">
        <f t="shared" si="82"/>
        <v>3.4557179113350722</v>
      </c>
      <c r="L197" s="340">
        <f t="shared" si="83"/>
        <v>1.277221996267899</v>
      </c>
      <c r="M197" s="328">
        <f t="shared" si="64"/>
        <v>1.0014423045046112</v>
      </c>
      <c r="N197" s="331">
        <f t="shared" si="65"/>
        <v>5.3676309490803029E-2</v>
      </c>
      <c r="O197" s="332">
        <f t="shared" si="66"/>
        <v>1.0004687545068471</v>
      </c>
      <c r="P197" s="333">
        <f t="shared" si="67"/>
        <v>7.7979452885756542E-2</v>
      </c>
      <c r="Q197" s="334">
        <f t="shared" si="68"/>
        <v>9.996695671675667</v>
      </c>
      <c r="R197" s="335">
        <f t="shared" si="69"/>
        <v>-99.131507593138508</v>
      </c>
      <c r="S197" s="337">
        <f t="shared" si="70"/>
        <v>80.868492406861492</v>
      </c>
      <c r="U197" s="310">
        <f t="shared" si="75"/>
        <v>1000000000</v>
      </c>
      <c r="V197" s="310">
        <f t="shared" si="76"/>
        <v>124461914.0625</v>
      </c>
      <c r="X197" s="336">
        <f t="shared" si="71"/>
        <v>1.6669972601837855</v>
      </c>
      <c r="Y197" s="337">
        <f t="shared" si="77"/>
        <v>-19.893164364080267</v>
      </c>
      <c r="AA197" s="336">
        <f t="shared" si="72"/>
        <v>8.3296984114918793</v>
      </c>
      <c r="AB197" s="337">
        <f t="shared" si="73"/>
        <v>-79.238343229058245</v>
      </c>
      <c r="AD197">
        <f t="shared" si="78"/>
        <v>0</v>
      </c>
      <c r="AE197">
        <f t="shared" si="81"/>
        <v>0</v>
      </c>
    </row>
    <row r="198" spans="1:31" x14ac:dyDescent="0.25">
      <c r="A198" s="338">
        <v>11220</v>
      </c>
      <c r="B198" s="355">
        <f t="shared" si="74"/>
        <v>11.22</v>
      </c>
      <c r="C198" s="328">
        <f t="shared" si="54"/>
        <v>3.8933219739958433</v>
      </c>
      <c r="D198" s="329">
        <f t="shared" si="55"/>
        <v>1.3110348227687025</v>
      </c>
      <c r="E198" s="329">
        <f t="shared" si="56"/>
        <v>1.0000108243287649</v>
      </c>
      <c r="F198" s="330">
        <f t="shared" si="57"/>
        <v>4.6527908028098988E-3</v>
      </c>
      <c r="G198" s="329">
        <f t="shared" si="58"/>
        <v>1</v>
      </c>
      <c r="H198" s="330">
        <f t="shared" si="59"/>
        <v>0</v>
      </c>
      <c r="I198" s="328">
        <f t="shared" si="60"/>
        <v>20348.858848449538</v>
      </c>
      <c r="J198" s="331">
        <f t="shared" si="61"/>
        <v>1.5707471839899929</v>
      </c>
      <c r="K198" s="339">
        <f t="shared" si="82"/>
        <v>3.473815603032576</v>
      </c>
      <c r="L198" s="340">
        <f t="shared" si="83"/>
        <v>1.2787965778538755</v>
      </c>
      <c r="M198" s="328">
        <f t="shared" si="64"/>
        <v>1.001458823040194</v>
      </c>
      <c r="N198" s="331">
        <f t="shared" si="65"/>
        <v>5.3982437413815997E-2</v>
      </c>
      <c r="O198" s="332">
        <f t="shared" si="66"/>
        <v>1.0004741640457369</v>
      </c>
      <c r="P198" s="333">
        <f t="shared" si="67"/>
        <v>7.8425538041400275E-2</v>
      </c>
      <c r="Q198" s="334">
        <f t="shared" si="68"/>
        <v>9.9461738315672026</v>
      </c>
      <c r="R198" s="335">
        <f t="shared" si="69"/>
        <v>-99.164132702023153</v>
      </c>
      <c r="S198" s="337">
        <f t="shared" si="70"/>
        <v>80.835867297976847</v>
      </c>
      <c r="U198" s="310">
        <f t="shared" si="75"/>
        <v>1000000000</v>
      </c>
      <c r="V198" s="310">
        <f t="shared" si="76"/>
        <v>125888400</v>
      </c>
      <c r="X198" s="336">
        <f t="shared" si="71"/>
        <v>1.662731157843256</v>
      </c>
      <c r="Y198" s="337">
        <f t="shared" si="77"/>
        <v>-19.82050341217472</v>
      </c>
      <c r="AA198" s="336">
        <f t="shared" si="72"/>
        <v>8.2834426737239468</v>
      </c>
      <c r="AB198" s="337">
        <f t="shared" si="73"/>
        <v>-79.343629289848465</v>
      </c>
      <c r="AD198">
        <f t="shared" si="78"/>
        <v>0</v>
      </c>
      <c r="AE198">
        <f t="shared" si="81"/>
        <v>0</v>
      </c>
    </row>
    <row r="199" spans="1:31" x14ac:dyDescent="0.25">
      <c r="A199" s="338">
        <v>11285.5</v>
      </c>
      <c r="B199" s="355">
        <f t="shared" si="74"/>
        <v>11.285500000000001</v>
      </c>
      <c r="C199" s="328">
        <f t="shared" si="54"/>
        <v>3.9145549979000811</v>
      </c>
      <c r="D199" s="329">
        <f t="shared" si="55"/>
        <v>1.3124760954419805</v>
      </c>
      <c r="E199" s="329">
        <f t="shared" si="56"/>
        <v>1.0000109510772708</v>
      </c>
      <c r="F199" s="330">
        <f t="shared" si="57"/>
        <v>4.6799524214066451E-3</v>
      </c>
      <c r="G199" s="329">
        <f t="shared" si="58"/>
        <v>1</v>
      </c>
      <c r="H199" s="330">
        <f t="shared" si="59"/>
        <v>0</v>
      </c>
      <c r="I199" s="328">
        <f t="shared" si="60"/>
        <v>20467.651205968603</v>
      </c>
      <c r="J199" s="331">
        <f t="shared" si="61"/>
        <v>1.5707474692102947</v>
      </c>
      <c r="K199" s="339">
        <f t="shared" si="82"/>
        <v>3.492418970389807</v>
      </c>
      <c r="L199" s="340">
        <f t="shared" si="83"/>
        <v>1.2803973821109944</v>
      </c>
      <c r="M199" s="328">
        <f t="shared" si="64"/>
        <v>1.0014758927733309</v>
      </c>
      <c r="N199" s="331">
        <f t="shared" si="65"/>
        <v>5.4296958299716994E-2</v>
      </c>
      <c r="O199" s="332">
        <f t="shared" si="66"/>
        <v>1.0004797550676419</v>
      </c>
      <c r="P199" s="333">
        <f t="shared" si="67"/>
        <v>7.8883877330431826E-2</v>
      </c>
      <c r="Q199" s="334">
        <f t="shared" si="68"/>
        <v>9.8945693587362822</v>
      </c>
      <c r="R199" s="335">
        <f t="shared" si="69"/>
        <v>-99.197733937595004</v>
      </c>
      <c r="S199" s="337">
        <f t="shared" si="70"/>
        <v>80.802266062404996</v>
      </c>
      <c r="U199" s="310">
        <f t="shared" si="75"/>
        <v>1000000000</v>
      </c>
      <c r="V199" s="310">
        <f t="shared" si="76"/>
        <v>127362510.25</v>
      </c>
      <c r="X199" s="336">
        <f t="shared" si="71"/>
        <v>1.6584156872095925</v>
      </c>
      <c r="Y199" s="337">
        <f t="shared" si="77"/>
        <v>-19.746821145581404</v>
      </c>
      <c r="AA199" s="336">
        <f t="shared" si="72"/>
        <v>8.2361536715266901</v>
      </c>
      <c r="AB199" s="337">
        <f t="shared" si="73"/>
        <v>-79.450912792013625</v>
      </c>
      <c r="AD199">
        <f t="shared" si="78"/>
        <v>0</v>
      </c>
      <c r="AE199">
        <f t="shared" si="81"/>
        <v>0</v>
      </c>
    </row>
    <row r="200" spans="1:31" x14ac:dyDescent="0.25">
      <c r="A200" s="338">
        <v>11351</v>
      </c>
      <c r="B200" s="355">
        <f t="shared" si="74"/>
        <v>11.351000000000001</v>
      </c>
      <c r="C200" s="328">
        <f t="shared" si="54"/>
        <v>3.935796065632887</v>
      </c>
      <c r="D200" s="329">
        <f t="shared" si="55"/>
        <v>1.3139018142633103</v>
      </c>
      <c r="E200" s="329">
        <f t="shared" si="56"/>
        <v>1.0000110785635381</v>
      </c>
      <c r="F200" s="330">
        <f t="shared" si="57"/>
        <v>4.7071140330980409E-3</v>
      </c>
      <c r="G200" s="329">
        <f t="shared" si="58"/>
        <v>1</v>
      </c>
      <c r="H200" s="330">
        <f t="shared" si="59"/>
        <v>0</v>
      </c>
      <c r="I200" s="328">
        <f t="shared" si="60"/>
        <v>20586.443563489316</v>
      </c>
      <c r="J200" s="331">
        <f t="shared" si="61"/>
        <v>1.5707477511389165</v>
      </c>
      <c r="K200" s="339">
        <f t="shared" si="82"/>
        <v>3.5110311924771436</v>
      </c>
      <c r="L200" s="340">
        <f t="shared" si="83"/>
        <v>1.2819812184402228</v>
      </c>
      <c r="M200" s="328">
        <f t="shared" si="64"/>
        <v>1.0014930615724733</v>
      </c>
      <c r="N200" s="331">
        <f t="shared" si="65"/>
        <v>5.4611468432938536E-2</v>
      </c>
      <c r="O200" s="332">
        <f t="shared" si="66"/>
        <v>1.0004853795375248</v>
      </c>
      <c r="P200" s="333">
        <f t="shared" si="67"/>
        <v>7.9342225444955977E-2</v>
      </c>
      <c r="Q200" s="334">
        <f t="shared" si="68"/>
        <v>9.8432695809956208</v>
      </c>
      <c r="R200" s="335">
        <f t="shared" si="69"/>
        <v>-99.231415895126972</v>
      </c>
      <c r="S200" s="337">
        <f t="shared" si="70"/>
        <v>80.768584104873028</v>
      </c>
      <c r="U200" s="310">
        <f t="shared" si="75"/>
        <v>1000000000</v>
      </c>
      <c r="V200" s="310">
        <f t="shared" si="76"/>
        <v>128845201</v>
      </c>
      <c r="X200" s="336">
        <f t="shared" si="71"/>
        <v>1.654167395093876</v>
      </c>
      <c r="Y200" s="337">
        <f t="shared" si="77"/>
        <v>-19.674110264961882</v>
      </c>
      <c r="AA200" s="336">
        <f t="shared" si="72"/>
        <v>8.1891021859017439</v>
      </c>
      <c r="AB200" s="337">
        <f t="shared" si="73"/>
        <v>-79.557305630165089</v>
      </c>
      <c r="AD200">
        <f t="shared" si="78"/>
        <v>0</v>
      </c>
      <c r="AE200">
        <f t="shared" si="81"/>
        <v>0</v>
      </c>
    </row>
    <row r="201" spans="1:31" x14ac:dyDescent="0.25">
      <c r="A201" s="338">
        <v>11416.5</v>
      </c>
      <c r="B201" s="355">
        <f t="shared" si="74"/>
        <v>11.416499999999999</v>
      </c>
      <c r="C201" s="328">
        <f t="shared" si="54"/>
        <v>3.9570450476585841</v>
      </c>
      <c r="D201" s="329">
        <f t="shared" si="55"/>
        <v>1.3153122239579265</v>
      </c>
      <c r="E201" s="329">
        <f t="shared" si="56"/>
        <v>1.0000112067875666</v>
      </c>
      <c r="F201" s="330">
        <f t="shared" si="57"/>
        <v>4.7342756378440098E-3</v>
      </c>
      <c r="G201" s="329">
        <f t="shared" si="58"/>
        <v>1</v>
      </c>
      <c r="H201" s="330">
        <f t="shared" si="59"/>
        <v>0</v>
      </c>
      <c r="I201" s="328">
        <f t="shared" si="60"/>
        <v>20705.235921011645</v>
      </c>
      <c r="J201" s="331">
        <f t="shared" si="61"/>
        <v>1.5707480298325145</v>
      </c>
      <c r="K201" s="339">
        <f t="shared" si="82"/>
        <v>3.5296521292188561</v>
      </c>
      <c r="L201" s="340">
        <f t="shared" si="83"/>
        <v>1.2835483473784732</v>
      </c>
      <c r="M201" s="328">
        <f t="shared" si="64"/>
        <v>1.0015103294325256</v>
      </c>
      <c r="N201" s="331">
        <f t="shared" si="65"/>
        <v>5.4925967751814686E-2</v>
      </c>
      <c r="O201" s="332">
        <f t="shared" si="66"/>
        <v>1.0004910374711067</v>
      </c>
      <c r="P201" s="333">
        <f t="shared" si="67"/>
        <v>7.9800582435133535E-2</v>
      </c>
      <c r="Q201" s="334">
        <f t="shared" si="68"/>
        <v>9.7922708651772457</v>
      </c>
      <c r="R201" s="335">
        <f t="shared" si="69"/>
        <v>-99.265177671265832</v>
      </c>
      <c r="S201" s="337">
        <f t="shared" si="70"/>
        <v>80.734822328734168</v>
      </c>
      <c r="U201" s="310">
        <f t="shared" si="75"/>
        <v>1000000000</v>
      </c>
      <c r="V201" s="310">
        <f t="shared" si="76"/>
        <v>130336472.25</v>
      </c>
      <c r="X201" s="336">
        <f t="shared" si="71"/>
        <v>1.6499848281889427</v>
      </c>
      <c r="Y201" s="337">
        <f t="shared" si="77"/>
        <v>-19.602355842363611</v>
      </c>
      <c r="AA201" s="336">
        <f t="shared" si="72"/>
        <v>8.1422860369883026</v>
      </c>
      <c r="AB201" s="337">
        <f t="shared" si="73"/>
        <v>-79.662821828902239</v>
      </c>
      <c r="AD201">
        <f t="shared" si="78"/>
        <v>0</v>
      </c>
      <c r="AE201">
        <f t="shared" si="81"/>
        <v>0</v>
      </c>
    </row>
    <row r="202" spans="1:31" x14ac:dyDescent="0.25">
      <c r="A202" s="338">
        <v>11482</v>
      </c>
      <c r="B202" s="355">
        <f t="shared" si="74"/>
        <v>11.481999999999999</v>
      </c>
      <c r="C202" s="328">
        <f t="shared" si="54"/>
        <v>3.9783018171612539</v>
      </c>
      <c r="D202" s="329">
        <f t="shared" si="55"/>
        <v>1.3167075642671853</v>
      </c>
      <c r="E202" s="329">
        <f t="shared" si="56"/>
        <v>1.0000113357493559</v>
      </c>
      <c r="F202" s="330">
        <f t="shared" si="57"/>
        <v>4.7614372356044781E-3</v>
      </c>
      <c r="G202" s="329">
        <f t="shared" si="58"/>
        <v>1</v>
      </c>
      <c r="H202" s="330">
        <f t="shared" si="59"/>
        <v>0</v>
      </c>
      <c r="I202" s="328">
        <f t="shared" si="60"/>
        <v>20824.028278535567</v>
      </c>
      <c r="J202" s="331">
        <f t="shared" si="61"/>
        <v>1.5707483053464522</v>
      </c>
      <c r="K202" s="339">
        <f t="shared" si="82"/>
        <v>3.5482816434147093</v>
      </c>
      <c r="L202" s="340">
        <f t="shared" si="83"/>
        <v>1.2850990243231866</v>
      </c>
      <c r="M202" s="328">
        <f t="shared" si="64"/>
        <v>1.0015276963483646</v>
      </c>
      <c r="N202" s="331">
        <f t="shared" si="65"/>
        <v>5.524045619469227E-2</v>
      </c>
      <c r="O202" s="332">
        <f t="shared" si="66"/>
        <v>1.0004967288841984</v>
      </c>
      <c r="P202" s="333">
        <f t="shared" si="67"/>
        <v>8.0258948351106876E-2</v>
      </c>
      <c r="Q202" s="334">
        <f t="shared" si="68"/>
        <v>9.7415696423433662</v>
      </c>
      <c r="R202" s="335">
        <f t="shared" si="69"/>
        <v>-99.29901837149896</v>
      </c>
      <c r="S202" s="337">
        <f t="shared" si="70"/>
        <v>80.70098162850104</v>
      </c>
      <c r="U202" s="310">
        <f t="shared" si="75"/>
        <v>1000000000</v>
      </c>
      <c r="V202" s="310">
        <f t="shared" si="76"/>
        <v>131836324</v>
      </c>
      <c r="X202" s="336">
        <f t="shared" si="71"/>
        <v>1.6458665712828675</v>
      </c>
      <c r="Y202" s="337">
        <f t="shared" si="77"/>
        <v>-19.531543244230722</v>
      </c>
      <c r="AA202" s="336">
        <f t="shared" si="72"/>
        <v>8.0957030710604965</v>
      </c>
      <c r="AB202" s="337">
        <f t="shared" si="73"/>
        <v>-79.767475127268256</v>
      </c>
      <c r="AD202">
        <f t="shared" si="78"/>
        <v>0</v>
      </c>
      <c r="AE202">
        <f t="shared" si="81"/>
        <v>0</v>
      </c>
    </row>
    <row r="203" spans="1:31" x14ac:dyDescent="0.25">
      <c r="A203" s="338">
        <v>11548.75</v>
      </c>
      <c r="B203" s="355">
        <f t="shared" si="74"/>
        <v>11.54875</v>
      </c>
      <c r="C203" s="328">
        <f t="shared" si="54"/>
        <v>3.9999721334803882</v>
      </c>
      <c r="D203" s="329">
        <f t="shared" si="55"/>
        <v>1.3181142728637625</v>
      </c>
      <c r="E203" s="329">
        <f t="shared" si="56"/>
        <v>1.0000114679312622</v>
      </c>
      <c r="F203" s="330">
        <f t="shared" si="57"/>
        <v>4.7891171772390167E-3</v>
      </c>
      <c r="G203" s="329">
        <f t="shared" si="58"/>
        <v>1</v>
      </c>
      <c r="H203" s="330">
        <f t="shared" si="59"/>
        <v>0</v>
      </c>
      <c r="I203" s="328">
        <f t="shared" si="60"/>
        <v>20945.087665784835</v>
      </c>
      <c r="J203" s="331">
        <f t="shared" si="61"/>
        <v>1.570748582903043</v>
      </c>
      <c r="K203" s="339">
        <f t="shared" si="82"/>
        <v>3.5672753681103648</v>
      </c>
      <c r="L203" s="340">
        <f t="shared" si="83"/>
        <v>1.2866626276027726</v>
      </c>
      <c r="M203" s="328">
        <f t="shared" si="64"/>
        <v>1.0015454965979507</v>
      </c>
      <c r="N203" s="331">
        <f t="shared" si="65"/>
        <v>5.5560935072276739E-2</v>
      </c>
      <c r="O203" s="332">
        <f t="shared" si="66"/>
        <v>1.0005025633724973</v>
      </c>
      <c r="P203" s="333">
        <f t="shared" si="67"/>
        <v>8.0726070943051079E-2</v>
      </c>
      <c r="Q203" s="334">
        <f t="shared" si="68"/>
        <v>9.6902032722478335</v>
      </c>
      <c r="R203" s="335">
        <f t="shared" si="69"/>
        <v>-99.333585167504737</v>
      </c>
      <c r="S203" s="337">
        <f t="shared" si="70"/>
        <v>80.666414832495263</v>
      </c>
      <c r="U203" s="310">
        <f t="shared" si="75"/>
        <v>1000000000</v>
      </c>
      <c r="V203" s="310">
        <f t="shared" si="76"/>
        <v>133373626.5625</v>
      </c>
      <c r="X203" s="336">
        <f t="shared" si="71"/>
        <v>1.6417344574911681</v>
      </c>
      <c r="Y203" s="337">
        <f t="shared" si="77"/>
        <v>-19.460333365326175</v>
      </c>
      <c r="AA203" s="336">
        <f t="shared" si="72"/>
        <v>8.0484688147566636</v>
      </c>
      <c r="AB203" s="337">
        <f t="shared" si="73"/>
        <v>-79.873251802178558</v>
      </c>
      <c r="AD203">
        <f t="shared" si="78"/>
        <v>0</v>
      </c>
      <c r="AE203">
        <f t="shared" si="81"/>
        <v>0</v>
      </c>
    </row>
    <row r="204" spans="1:31" x14ac:dyDescent="0.25">
      <c r="A204" s="338">
        <v>11615.5</v>
      </c>
      <c r="B204" s="355">
        <f t="shared" si="74"/>
        <v>11.615500000000001</v>
      </c>
      <c r="C204" s="328">
        <f t="shared" si="54"/>
        <v>4.0216502797501956</v>
      </c>
      <c r="D204" s="329">
        <f t="shared" si="55"/>
        <v>1.319505818855363</v>
      </c>
      <c r="E204" s="329">
        <f t="shared" si="56"/>
        <v>1.000011600879356</v>
      </c>
      <c r="F204" s="330">
        <f t="shared" si="57"/>
        <v>4.8167971115348563E-3</v>
      </c>
      <c r="G204" s="329">
        <f t="shared" si="58"/>
        <v>1</v>
      </c>
      <c r="H204" s="330">
        <f t="shared" si="59"/>
        <v>0</v>
      </c>
      <c r="I204" s="328">
        <f t="shared" si="60"/>
        <v>21066.147053035696</v>
      </c>
      <c r="J204" s="331">
        <f t="shared" si="61"/>
        <v>1.5707488572696029</v>
      </c>
      <c r="K204" s="339">
        <f t="shared" si="82"/>
        <v>3.5862777218837389</v>
      </c>
      <c r="L204" s="340">
        <f t="shared" si="83"/>
        <v>1.2882096647251442</v>
      </c>
      <c r="M204" s="328">
        <f t="shared" si="64"/>
        <v>1.0015633997093181</v>
      </c>
      <c r="N204" s="331">
        <f t="shared" si="65"/>
        <v>5.5881402525548546E-2</v>
      </c>
      <c r="O204" s="332">
        <f t="shared" si="66"/>
        <v>1.0005084326637841</v>
      </c>
      <c r="P204" s="333">
        <f t="shared" si="67"/>
        <v>8.1193202909804876E-2</v>
      </c>
      <c r="Q204" s="334">
        <f t="shared" si="68"/>
        <v>9.6391385717484255</v>
      </c>
      <c r="R204" s="335">
        <f t="shared" si="69"/>
        <v>-99.368232081347401</v>
      </c>
      <c r="S204" s="337">
        <f t="shared" si="70"/>
        <v>80.631767918652599</v>
      </c>
      <c r="U204" s="310">
        <f t="shared" si="75"/>
        <v>1000000000</v>
      </c>
      <c r="V204" s="310">
        <f t="shared" si="76"/>
        <v>134919840.25</v>
      </c>
      <c r="X204" s="336">
        <f t="shared" si="71"/>
        <v>1.6376662799222965</v>
      </c>
      <c r="Y204" s="337">
        <f t="shared" si="77"/>
        <v>-19.390071819973635</v>
      </c>
      <c r="AA204" s="336">
        <f t="shared" si="72"/>
        <v>8.0014722918261274</v>
      </c>
      <c r="AB204" s="337">
        <f t="shared" si="73"/>
        <v>-79.978160261373759</v>
      </c>
      <c r="AD204">
        <f t="shared" si="78"/>
        <v>0</v>
      </c>
      <c r="AE204">
        <f t="shared" si="81"/>
        <v>0</v>
      </c>
    </row>
    <row r="205" spans="1:31" x14ac:dyDescent="0.25">
      <c r="A205" s="338">
        <v>11682.25</v>
      </c>
      <c r="B205" s="355">
        <f t="shared" si="74"/>
        <v>11.68225</v>
      </c>
      <c r="C205" s="328">
        <f t="shared" ref="C205:C268" si="84">SQRT(1+(A205/pole1)^2)</f>
        <v>4.0433361300310011</v>
      </c>
      <c r="D205" s="329">
        <f t="shared" ref="D205:D268" si="85">ATAN(A205/pole1)</f>
        <v>1.3208824407763535</v>
      </c>
      <c r="E205" s="329">
        <f t="shared" ref="E205:E268" si="86">SQRT(1+(A205/Zero1)^2)</f>
        <v>1.0000117345936375</v>
      </c>
      <c r="F205" s="330">
        <f t="shared" ref="F205:F268" si="87">ATAN(A205/Zero1)</f>
        <v>4.8444770384495862E-3</v>
      </c>
      <c r="G205" s="329">
        <f t="shared" ref="G205:G268" si="88">IF(VIN_nom&gt;Vout, 1, SQRT(1+(A205/z_RHP)^2))</f>
        <v>1</v>
      </c>
      <c r="H205" s="330">
        <f t="shared" ref="H205:H268" si="89">IF(VIN_nom&gt;Vout, 0, -ATAN(A205/z_RHP))</f>
        <v>0</v>
      </c>
      <c r="I205" s="328">
        <f t="shared" ref="I205:I268" si="90">SQRT(1+(A205/Pole2)^2)</f>
        <v>21187.206440288122</v>
      </c>
      <c r="J205" s="331">
        <f t="shared" ref="J205:J268" si="91">ATAN(A205/Pole2)</f>
        <v>1.5707491285008133</v>
      </c>
      <c r="K205" s="339">
        <f t="shared" si="82"/>
        <v>3.6052885682912867</v>
      </c>
      <c r="L205" s="340">
        <f t="shared" si="83"/>
        <v>1.2897403902882933</v>
      </c>
      <c r="M205" s="328">
        <f t="shared" ref="M205:M268" si="92">SQRT(1+(A205/pole4)^2)</f>
        <v>1.0015814056769508</v>
      </c>
      <c r="N205" s="331">
        <f t="shared" ref="N205:N268" si="93">ATAN(A205/pole4)</f>
        <v>5.6201858489298463E-2</v>
      </c>
      <c r="O205" s="332">
        <f t="shared" ref="O205:O268" si="94">SQRT((1-(V205/pterm2))^2+(A205/pterm1)^2)</f>
        <v>1.0005143367750828</v>
      </c>
      <c r="P205" s="333">
        <f t="shared" ref="P205:P268" si="95">IF((ATAN((A205/pterm1)/(1-A205^2/pterm2))&gt;0),ATAN((A205/pterm1)/(1-A205^2/pterm2)),PI()+ATAN((A205/pterm1)/(1-A205^2/pterm2)))</f>
        <v>8.1660344304376686E-2</v>
      </c>
      <c r="Q205" s="334">
        <f t="shared" ref="Q205:Q268" si="96">20*LOG10(((E205*K205*G205)/(C205*I205*O205*M205))*Adc)</f>
        <v>9.5883719600638084</v>
      </c>
      <c r="R205" s="335">
        <f t="shared" ref="R205:R268" si="97">((F205+L205+H205)-(D205+J205+P205+N205))*radconv</f>
        <v>-99.402958195085503</v>
      </c>
      <c r="S205" s="337">
        <f t="shared" ref="S205:S268" si="98">IF(R205&gt;0,R205,R205+180)</f>
        <v>80.597041804914497</v>
      </c>
      <c r="U205" s="310">
        <f t="shared" si="75"/>
        <v>1000000000</v>
      </c>
      <c r="V205" s="310">
        <f t="shared" si="76"/>
        <v>136474965.0625</v>
      </c>
      <c r="X205" s="336">
        <f t="shared" ref="X205:X268" si="99">20*LOG10((K205/(I205*M205))*AEA*Afb_Ch2)</f>
        <v>1.6336606554733912</v>
      </c>
      <c r="Y205" s="337">
        <f t="shared" si="77"/>
        <v>-19.320744020179479</v>
      </c>
      <c r="AA205" s="336">
        <f t="shared" ref="AA205:AA268" si="100">20*LOG10((E205*G205/(C205*O205))*Am_Ch2)</f>
        <v>7.9547113045904148</v>
      </c>
      <c r="AB205" s="337">
        <f t="shared" ref="AB205:AB268" si="101">(F205+H205-(D205+P205))*radconv</f>
        <v>-80.082214174905999</v>
      </c>
      <c r="AD205">
        <f t="shared" si="78"/>
        <v>0</v>
      </c>
      <c r="AE205">
        <f t="shared" si="81"/>
        <v>0</v>
      </c>
    </row>
    <row r="206" spans="1:31" x14ac:dyDescent="0.25">
      <c r="A206" s="338">
        <v>11749</v>
      </c>
      <c r="B206" s="355">
        <f t="shared" ref="B206:B269" si="102">A206/1000</f>
        <v>11.749000000000001</v>
      </c>
      <c r="C206" s="328">
        <f t="shared" si="84"/>
        <v>4.0650295610262646</v>
      </c>
      <c r="D206" s="329">
        <f t="shared" si="85"/>
        <v>1.3222443722982344</v>
      </c>
      <c r="E206" s="329">
        <f t="shared" si="86"/>
        <v>1.000011869074106</v>
      </c>
      <c r="F206" s="330">
        <f t="shared" si="87"/>
        <v>4.8721569579407925E-3</v>
      </c>
      <c r="G206" s="329">
        <f t="shared" si="88"/>
        <v>1</v>
      </c>
      <c r="H206" s="330">
        <f t="shared" si="89"/>
        <v>0</v>
      </c>
      <c r="I206" s="328">
        <f t="shared" si="90"/>
        <v>21308.265827542094</v>
      </c>
      <c r="J206" s="331">
        <f t="shared" si="91"/>
        <v>1.5707493966501134</v>
      </c>
      <c r="K206" s="339">
        <f t="shared" si="82"/>
        <v>3.6243077736919069</v>
      </c>
      <c r="L206" s="340">
        <f t="shared" si="83"/>
        <v>1.2912550538553704</v>
      </c>
      <c r="M206" s="328">
        <f t="shared" si="92"/>
        <v>1.0015995144953018</v>
      </c>
      <c r="N206" s="331">
        <f t="shared" si="93"/>
        <v>5.6522302898331364E-2</v>
      </c>
      <c r="O206" s="332">
        <f t="shared" si="94"/>
        <v>1.0005202757235148</v>
      </c>
      <c r="P206" s="333">
        <f t="shared" si="95"/>
        <v>8.2127495179754637E-2</v>
      </c>
      <c r="Q206" s="334">
        <f t="shared" si="96"/>
        <v>9.5378999194557483</v>
      </c>
      <c r="R206" s="335">
        <f t="shared" si="97"/>
        <v>-99.437762600559324</v>
      </c>
      <c r="S206" s="337">
        <f t="shared" si="98"/>
        <v>80.562237399440676</v>
      </c>
      <c r="U206" s="310">
        <f t="shared" ref="U206:U269" si="103">IF(Q206&lt;0,A206,1000000000)</f>
        <v>1000000000</v>
      </c>
      <c r="V206" s="310">
        <f t="shared" ref="V206:V269" si="104">A206^2</f>
        <v>138039001</v>
      </c>
      <c r="X206" s="336">
        <f t="shared" si="99"/>
        <v>1.6297162372744489</v>
      </c>
      <c r="Y206" s="337">
        <f t="shared" ref="Y206:Y269" si="105">(L206-(J206+N206))*radconv</f>
        <v>-19.252335666354881</v>
      </c>
      <c r="AA206" s="336">
        <f t="shared" si="100"/>
        <v>7.9081836821812992</v>
      </c>
      <c r="AB206" s="337">
        <f t="shared" si="101"/>
        <v>-80.185426934204415</v>
      </c>
      <c r="AD206">
        <f t="shared" ref="AD206:AD269" si="106">SUM((Q207&lt;0)*(Q206&gt;0))*A206</f>
        <v>0</v>
      </c>
      <c r="AE206">
        <f t="shared" si="81"/>
        <v>0</v>
      </c>
    </row>
    <row r="207" spans="1:31" x14ac:dyDescent="0.25">
      <c r="A207" s="338">
        <v>11817.5</v>
      </c>
      <c r="B207" s="355">
        <f t="shared" si="102"/>
        <v>11.817500000000001</v>
      </c>
      <c r="C207" s="328">
        <f t="shared" si="84"/>
        <v>4.0872994885061411</v>
      </c>
      <c r="D207" s="329">
        <f t="shared" si="85"/>
        <v>1.3236269767882443</v>
      </c>
      <c r="E207" s="329">
        <f t="shared" si="86"/>
        <v>1.0000120078768606</v>
      </c>
      <c r="F207" s="330">
        <f t="shared" si="87"/>
        <v>4.900562560442686E-3</v>
      </c>
      <c r="G207" s="329">
        <f t="shared" si="88"/>
        <v>1</v>
      </c>
      <c r="H207" s="330">
        <f t="shared" si="89"/>
        <v>0</v>
      </c>
      <c r="I207" s="328">
        <f t="shared" si="90"/>
        <v>21432.499056411041</v>
      </c>
      <c r="J207" s="331">
        <f t="shared" si="91"/>
        <v>1.5707496686801461</v>
      </c>
      <c r="K207" s="339">
        <f t="shared" si="82"/>
        <v>3.6438341632632283</v>
      </c>
      <c r="L207" s="340">
        <f t="shared" si="83"/>
        <v>1.2927929850783071</v>
      </c>
      <c r="M207" s="328">
        <f t="shared" si="92"/>
        <v>1.0016182050015863</v>
      </c>
      <c r="N207" s="331">
        <f t="shared" si="93"/>
        <v>5.6851136390200278E-2</v>
      </c>
      <c r="O207" s="332">
        <f t="shared" si="94"/>
        <v>1.0005264066118793</v>
      </c>
      <c r="P207" s="333">
        <f t="shared" si="95"/>
        <v>8.260690336881471E-2</v>
      </c>
      <c r="Q207" s="334">
        <f t="shared" si="96"/>
        <v>9.4864072741485312</v>
      </c>
      <c r="R207" s="335">
        <f t="shared" si="97"/>
        <v>-99.473559936536631</v>
      </c>
      <c r="S207" s="337">
        <f t="shared" si="98"/>
        <v>80.526440063463369</v>
      </c>
      <c r="U207" s="310">
        <f t="shared" si="103"/>
        <v>1000000000</v>
      </c>
      <c r="V207" s="310">
        <f t="shared" si="104"/>
        <v>139653306.25</v>
      </c>
      <c r="X207" s="336">
        <f t="shared" si="99"/>
        <v>1.6257306661591995</v>
      </c>
      <c r="Y207" s="337">
        <f t="shared" si="105"/>
        <v>-19.183075055439492</v>
      </c>
      <c r="AA207" s="336">
        <f t="shared" si="100"/>
        <v>7.8606766079893298</v>
      </c>
      <c r="AB207" s="337">
        <f t="shared" si="101"/>
        <v>-80.290484881097157</v>
      </c>
      <c r="AD207">
        <f t="shared" si="106"/>
        <v>0</v>
      </c>
      <c r="AE207">
        <f t="shared" si="81"/>
        <v>0</v>
      </c>
    </row>
    <row r="208" spans="1:31" x14ac:dyDescent="0.25">
      <c r="A208" s="338">
        <v>11886</v>
      </c>
      <c r="B208" s="355">
        <f t="shared" si="102"/>
        <v>11.885999999999999</v>
      </c>
      <c r="C208" s="328">
        <f t="shared" si="84"/>
        <v>4.1095771445587213</v>
      </c>
      <c r="D208" s="329">
        <f t="shared" si="85"/>
        <v>1.3249945939144805</v>
      </c>
      <c r="E208" s="329">
        <f t="shared" si="86"/>
        <v>1.0000121474865034</v>
      </c>
      <c r="F208" s="330">
        <f t="shared" si="87"/>
        <v>4.9289681550362041E-3</v>
      </c>
      <c r="G208" s="329">
        <f t="shared" si="88"/>
        <v>1</v>
      </c>
      <c r="H208" s="330">
        <f t="shared" si="89"/>
        <v>0</v>
      </c>
      <c r="I208" s="328">
        <f t="shared" si="90"/>
        <v>21556.732285281552</v>
      </c>
      <c r="J208" s="331">
        <f t="shared" si="91"/>
        <v>1.5707499375747158</v>
      </c>
      <c r="K208" s="339">
        <f t="shared" si="82"/>
        <v>3.6633690794611815</v>
      </c>
      <c r="L208" s="340">
        <f t="shared" si="83"/>
        <v>1.2943145178311315</v>
      </c>
      <c r="M208" s="328">
        <f t="shared" si="92"/>
        <v>1.0016370038102664</v>
      </c>
      <c r="N208" s="331">
        <f t="shared" si="93"/>
        <v>5.7179957574473979E-2</v>
      </c>
      <c r="O208" s="332">
        <f t="shared" si="94"/>
        <v>1.0005325742248385</v>
      </c>
      <c r="P208" s="333">
        <f t="shared" si="95"/>
        <v>8.3086321655320872E-2</v>
      </c>
      <c r="Q208" s="334">
        <f t="shared" si="96"/>
        <v>9.4352175392612772</v>
      </c>
      <c r="R208" s="335">
        <f t="shared" si="97"/>
        <v>-99.509437817123811</v>
      </c>
      <c r="S208" s="337">
        <f t="shared" si="98"/>
        <v>80.490562182876189</v>
      </c>
      <c r="U208" s="310">
        <f t="shared" si="103"/>
        <v>1000000000</v>
      </c>
      <c r="V208" s="310">
        <f t="shared" si="104"/>
        <v>141276996</v>
      </c>
      <c r="X208" s="336">
        <f t="shared" si="99"/>
        <v>1.6218067909941036</v>
      </c>
      <c r="Y208" s="337">
        <f t="shared" si="105"/>
        <v>-19.114753122831026</v>
      </c>
      <c r="AA208" s="336">
        <f t="shared" si="100"/>
        <v>7.813410748267172</v>
      </c>
      <c r="AB208" s="337">
        <f t="shared" si="101"/>
        <v>-80.394684694292778</v>
      </c>
      <c r="AD208">
        <f t="shared" si="106"/>
        <v>0</v>
      </c>
      <c r="AE208">
        <f t="shared" si="81"/>
        <v>0</v>
      </c>
    </row>
    <row r="209" spans="1:31" x14ac:dyDescent="0.25">
      <c r="A209" s="338">
        <v>11954.5</v>
      </c>
      <c r="B209" s="355">
        <f t="shared" si="102"/>
        <v>11.954499999999999</v>
      </c>
      <c r="C209" s="328">
        <f t="shared" si="84"/>
        <v>4.1318624041741661</v>
      </c>
      <c r="D209" s="329">
        <f t="shared" si="85"/>
        <v>1.3263474610229073</v>
      </c>
      <c r="E209" s="329">
        <f t="shared" si="86"/>
        <v>1.0000122879030331</v>
      </c>
      <c r="F209" s="330">
        <f t="shared" si="87"/>
        <v>4.9573737416755102E-3</v>
      </c>
      <c r="G209" s="329">
        <f t="shared" si="88"/>
        <v>1</v>
      </c>
      <c r="H209" s="330">
        <f t="shared" si="89"/>
        <v>0</v>
      </c>
      <c r="I209" s="328">
        <f t="shared" si="90"/>
        <v>21680.965514153606</v>
      </c>
      <c r="J209" s="331">
        <f t="shared" si="91"/>
        <v>1.5707502033877216</v>
      </c>
      <c r="K209" s="339">
        <f t="shared" si="82"/>
        <v>3.6829123866048845</v>
      </c>
      <c r="L209" s="340">
        <f t="shared" si="83"/>
        <v>1.2958199060668862</v>
      </c>
      <c r="M209" s="328">
        <f t="shared" si="92"/>
        <v>1.0016559109152439</v>
      </c>
      <c r="N209" s="331">
        <f t="shared" si="93"/>
        <v>5.7508766380740935E-2</v>
      </c>
      <c r="O209" s="332">
        <f t="shared" si="94"/>
        <v>1.0005387785812168</v>
      </c>
      <c r="P209" s="333">
        <f t="shared" si="95"/>
        <v>8.3565750096471367E-2</v>
      </c>
      <c r="Q209" s="334">
        <f t="shared" si="96"/>
        <v>9.3843271106182549</v>
      </c>
      <c r="R209" s="335">
        <f t="shared" si="97"/>
        <v>-99.54539529313908</v>
      </c>
      <c r="S209" s="337">
        <f t="shared" si="98"/>
        <v>80.45460470686092</v>
      </c>
      <c r="U209" s="310">
        <f t="shared" si="103"/>
        <v>1000000000</v>
      </c>
      <c r="V209" s="310">
        <f t="shared" si="104"/>
        <v>142910070.25</v>
      </c>
      <c r="X209" s="336">
        <f t="shared" si="99"/>
        <v>1.6179432679363945</v>
      </c>
      <c r="Y209" s="337">
        <f t="shared" si="105"/>
        <v>-19.047355317145826</v>
      </c>
      <c r="AA209" s="336">
        <f t="shared" si="100"/>
        <v>7.7663838426818614</v>
      </c>
      <c r="AB209" s="337">
        <f t="shared" si="101"/>
        <v>-80.498039975993237</v>
      </c>
      <c r="AD209">
        <f t="shared" si="106"/>
        <v>0</v>
      </c>
      <c r="AE209">
        <f t="shared" si="81"/>
        <v>0</v>
      </c>
    </row>
    <row r="210" spans="1:31" x14ac:dyDescent="0.25">
      <c r="A210" s="338">
        <v>12023</v>
      </c>
      <c r="B210" s="355">
        <f t="shared" si="102"/>
        <v>12.023</v>
      </c>
      <c r="C210" s="328">
        <f t="shared" si="84"/>
        <v>4.1541551449829237</v>
      </c>
      <c r="D210" s="329">
        <f t="shared" si="85"/>
        <v>1.3276858105833294</v>
      </c>
      <c r="E210" s="329">
        <f t="shared" si="86"/>
        <v>1.0000124291264501</v>
      </c>
      <c r="F210" s="330">
        <f t="shared" si="87"/>
        <v>4.985779320314767E-3</v>
      </c>
      <c r="G210" s="329">
        <f t="shared" si="88"/>
        <v>1</v>
      </c>
      <c r="H210" s="330">
        <f t="shared" si="89"/>
        <v>0</v>
      </c>
      <c r="I210" s="328">
        <f t="shared" si="90"/>
        <v>21805.198743027173</v>
      </c>
      <c r="J210" s="331">
        <f t="shared" si="91"/>
        <v>1.5707504661718343</v>
      </c>
      <c r="K210" s="339">
        <f t="shared" si="82"/>
        <v>3.7024639518205307</v>
      </c>
      <c r="L210" s="340">
        <f t="shared" si="83"/>
        <v>1.2973093986705835</v>
      </c>
      <c r="M210" s="328">
        <f t="shared" si="92"/>
        <v>1.0016749263103868</v>
      </c>
      <c r="N210" s="331">
        <f t="shared" si="93"/>
        <v>5.7837562738605595E-2</v>
      </c>
      <c r="O210" s="332">
        <f t="shared" si="94"/>
        <v>1.0005450196999466</v>
      </c>
      <c r="P210" s="333">
        <f t="shared" si="95"/>
        <v>8.4045188749441363E-2</v>
      </c>
      <c r="Q210" s="334">
        <f t="shared" si="96"/>
        <v>9.3337324476719257</v>
      </c>
      <c r="R210" s="335">
        <f t="shared" si="97"/>
        <v>-99.581431426323292</v>
      </c>
      <c r="S210" s="337">
        <f t="shared" si="98"/>
        <v>80.418568573676708</v>
      </c>
      <c r="U210" s="310">
        <f t="shared" si="103"/>
        <v>1000000000</v>
      </c>
      <c r="V210" s="310">
        <f t="shared" si="104"/>
        <v>144552529</v>
      </c>
      <c r="X210" s="336">
        <f t="shared" si="99"/>
        <v>1.6141387885648129</v>
      </c>
      <c r="Y210" s="337">
        <f t="shared" si="105"/>
        <v>-18.980867377307543</v>
      </c>
      <c r="AA210" s="336">
        <f t="shared" si="100"/>
        <v>7.7195936591071135</v>
      </c>
      <c r="AB210" s="337">
        <f t="shared" si="101"/>
        <v>-80.60056404901573</v>
      </c>
      <c r="AD210">
        <f t="shared" si="106"/>
        <v>0</v>
      </c>
      <c r="AE210">
        <f t="shared" si="81"/>
        <v>0</v>
      </c>
    </row>
    <row r="211" spans="1:31" x14ac:dyDescent="0.25">
      <c r="A211" s="338">
        <v>12093</v>
      </c>
      <c r="B211" s="355">
        <f t="shared" si="102"/>
        <v>12.093</v>
      </c>
      <c r="C211" s="328">
        <f t="shared" si="84"/>
        <v>4.1769436520685854</v>
      </c>
      <c r="D211" s="329">
        <f t="shared" si="85"/>
        <v>1.3290387061261488</v>
      </c>
      <c r="E211" s="329">
        <f t="shared" si="86"/>
        <v>1.0000125742759343</v>
      </c>
      <c r="F211" s="330">
        <f t="shared" si="87"/>
        <v>5.0148069106117858E-3</v>
      </c>
      <c r="G211" s="329">
        <f t="shared" si="88"/>
        <v>1</v>
      </c>
      <c r="H211" s="330">
        <f t="shared" si="89"/>
        <v>0</v>
      </c>
      <c r="I211" s="328">
        <f t="shared" si="90"/>
        <v>21932.152407571044</v>
      </c>
      <c r="J211" s="331">
        <f t="shared" si="91"/>
        <v>1.5707507316347973</v>
      </c>
      <c r="K211" s="339">
        <f t="shared" si="82"/>
        <v>3.722452049393854</v>
      </c>
      <c r="L211" s="340">
        <f t="shared" si="83"/>
        <v>1.2988153401598994</v>
      </c>
      <c r="M211" s="328">
        <f t="shared" si="92"/>
        <v>1.0016944699677306</v>
      </c>
      <c r="N211" s="331">
        <f t="shared" si="93"/>
        <v>5.8173546083200793E-2</v>
      </c>
      <c r="O211" s="332">
        <f t="shared" si="94"/>
        <v>1.000551435484013</v>
      </c>
      <c r="P211" s="333">
        <f t="shared" si="95"/>
        <v>8.4535136668211983E-2</v>
      </c>
      <c r="Q211" s="334">
        <f t="shared" si="96"/>
        <v>9.2823318045681891</v>
      </c>
      <c r="R211" s="335">
        <f t="shared" si="97"/>
        <v>-99.618336966612318</v>
      </c>
      <c r="S211" s="337">
        <f t="shared" si="98"/>
        <v>80.381663033387682</v>
      </c>
      <c r="U211" s="310">
        <f t="shared" si="103"/>
        <v>1000000000</v>
      </c>
      <c r="V211" s="310">
        <f t="shared" si="104"/>
        <v>146240649</v>
      </c>
      <c r="X211" s="336">
        <f t="shared" si="99"/>
        <v>1.6103106709862098</v>
      </c>
      <c r="Y211" s="337">
        <f t="shared" si="105"/>
        <v>-18.913848923238898</v>
      </c>
      <c r="AA211" s="336">
        <f t="shared" si="100"/>
        <v>7.6720211335819783</v>
      </c>
      <c r="AB211" s="337">
        <f t="shared" si="101"/>
        <v>-80.704488043373416</v>
      </c>
      <c r="AD211">
        <f t="shared" si="106"/>
        <v>0</v>
      </c>
      <c r="AE211">
        <f t="shared" si="81"/>
        <v>0</v>
      </c>
    </row>
    <row r="212" spans="1:31" x14ac:dyDescent="0.25">
      <c r="A212" s="338">
        <v>12163</v>
      </c>
      <c r="B212" s="355">
        <f t="shared" si="102"/>
        <v>12.163</v>
      </c>
      <c r="C212" s="328">
        <f t="shared" si="84"/>
        <v>4.1997397213481591</v>
      </c>
      <c r="D212" s="329">
        <f t="shared" si="85"/>
        <v>1.3303769171381894</v>
      </c>
      <c r="E212" s="329">
        <f t="shared" si="86"/>
        <v>1.00001272026803</v>
      </c>
      <c r="F212" s="330">
        <f t="shared" si="87"/>
        <v>5.0438344924577739E-3</v>
      </c>
      <c r="G212" s="329">
        <f t="shared" si="88"/>
        <v>1</v>
      </c>
      <c r="H212" s="330">
        <f t="shared" si="89"/>
        <v>0</v>
      </c>
      <c r="I212" s="328">
        <f t="shared" si="90"/>
        <v>22059.106072116443</v>
      </c>
      <c r="J212" s="331">
        <f t="shared" si="91"/>
        <v>1.5707509940421969</v>
      </c>
      <c r="K212" s="339">
        <f t="shared" si="82"/>
        <v>3.7424484987793316</v>
      </c>
      <c r="L212" s="340">
        <f t="shared" si="83"/>
        <v>1.3003051920669517</v>
      </c>
      <c r="M212" s="328">
        <f t="shared" si="92"/>
        <v>1.0017141266967426</v>
      </c>
      <c r="N212" s="331">
        <f t="shared" si="93"/>
        <v>5.8509516279656157E-2</v>
      </c>
      <c r="O212" s="332">
        <f t="shared" si="94"/>
        <v>1.0005578896984089</v>
      </c>
      <c r="P212" s="333">
        <f t="shared" si="95"/>
        <v>8.5025095371577999E-2</v>
      </c>
      <c r="Q212" s="334">
        <f t="shared" si="96"/>
        <v>9.2312327435844317</v>
      </c>
      <c r="R212" s="335">
        <f t="shared" si="97"/>
        <v>-99.655322700413734</v>
      </c>
      <c r="S212" s="337">
        <f t="shared" si="98"/>
        <v>80.344677299586266</v>
      </c>
      <c r="U212" s="310">
        <f t="shared" si="103"/>
        <v>1000000000</v>
      </c>
      <c r="V212" s="310">
        <f t="shared" si="104"/>
        <v>147938569</v>
      </c>
      <c r="X212" s="336">
        <f t="shared" si="99"/>
        <v>1.6065415570990915</v>
      </c>
      <c r="Y212" s="337">
        <f t="shared" si="105"/>
        <v>-18.84775140592534</v>
      </c>
      <c r="AA212" s="336">
        <f t="shared" si="100"/>
        <v>7.6246911864853395</v>
      </c>
      <c r="AB212" s="337">
        <f t="shared" si="101"/>
        <v>-80.807571294488397</v>
      </c>
      <c r="AD212">
        <f t="shared" si="106"/>
        <v>0</v>
      </c>
      <c r="AE212">
        <f t="shared" si="81"/>
        <v>0</v>
      </c>
    </row>
    <row r="213" spans="1:31" x14ac:dyDescent="0.25">
      <c r="A213" s="338">
        <v>12233</v>
      </c>
      <c r="B213" s="355">
        <f t="shared" si="102"/>
        <v>12.233000000000001</v>
      </c>
      <c r="C213" s="328">
        <f t="shared" si="84"/>
        <v>4.2225432303445372</v>
      </c>
      <c r="D213" s="329">
        <f t="shared" si="85"/>
        <v>1.3317006766951938</v>
      </c>
      <c r="E213" s="329">
        <f t="shared" si="86"/>
        <v>1.0000128671027364</v>
      </c>
      <c r="F213" s="330">
        <f t="shared" si="87"/>
        <v>5.072862065803819E-3</v>
      </c>
      <c r="G213" s="329">
        <f t="shared" si="88"/>
        <v>1</v>
      </c>
      <c r="H213" s="330">
        <f t="shared" si="89"/>
        <v>0</v>
      </c>
      <c r="I213" s="328">
        <f t="shared" si="90"/>
        <v>22186.059736663341</v>
      </c>
      <c r="J213" s="331">
        <f t="shared" si="91"/>
        <v>1.5707512534464874</v>
      </c>
      <c r="K213" s="339">
        <f t="shared" si="82"/>
        <v>3.7624531668139087</v>
      </c>
      <c r="L213" s="340">
        <f t="shared" si="83"/>
        <v>1.3017792043656891</v>
      </c>
      <c r="M213" s="328">
        <f t="shared" si="92"/>
        <v>1.0017338964907663</v>
      </c>
      <c r="N213" s="331">
        <f t="shared" si="93"/>
        <v>5.8845473252902007E-2</v>
      </c>
      <c r="O213" s="332">
        <f t="shared" si="94"/>
        <v>1.0005643823636883</v>
      </c>
      <c r="P213" s="333">
        <f t="shared" si="95"/>
        <v>8.5515064920477807E-2</v>
      </c>
      <c r="Q213" s="334">
        <f t="shared" si="96"/>
        <v>9.1804316828985826</v>
      </c>
      <c r="R213" s="335">
        <f t="shared" si="97"/>
        <v>-99.69238766173018</v>
      </c>
      <c r="S213" s="337">
        <f t="shared" si="98"/>
        <v>80.30761233826982</v>
      </c>
      <c r="U213" s="310">
        <f t="shared" si="103"/>
        <v>1000000000</v>
      </c>
      <c r="V213" s="310">
        <f t="shared" si="104"/>
        <v>149646289</v>
      </c>
      <c r="X213" s="336">
        <f t="shared" si="99"/>
        <v>1.6028301582540208</v>
      </c>
      <c r="Y213" s="337">
        <f t="shared" si="105"/>
        <v>-18.782560501618836</v>
      </c>
      <c r="AA213" s="336">
        <f t="shared" si="100"/>
        <v>7.577601524644562</v>
      </c>
      <c r="AB213" s="337">
        <f t="shared" si="101"/>
        <v>-80.909827160111348</v>
      </c>
      <c r="AD213">
        <f t="shared" si="106"/>
        <v>0</v>
      </c>
      <c r="AE213">
        <f t="shared" si="81"/>
        <v>0</v>
      </c>
    </row>
    <row r="214" spans="1:31" x14ac:dyDescent="0.25">
      <c r="A214" s="338">
        <v>12303</v>
      </c>
      <c r="B214" s="355">
        <f t="shared" si="102"/>
        <v>12.303000000000001</v>
      </c>
      <c r="C214" s="328">
        <f t="shared" si="84"/>
        <v>4.2453540591725636</v>
      </c>
      <c r="D214" s="329">
        <f t="shared" si="85"/>
        <v>1.3330102130685735</v>
      </c>
      <c r="E214" s="329">
        <f t="shared" si="86"/>
        <v>1.0000130147800537</v>
      </c>
      <c r="F214" s="330">
        <f t="shared" si="87"/>
        <v>5.1018896306010047E-3</v>
      </c>
      <c r="G214" s="329">
        <f t="shared" si="88"/>
        <v>1</v>
      </c>
      <c r="H214" s="330">
        <f t="shared" si="89"/>
        <v>0</v>
      </c>
      <c r="I214" s="328">
        <f t="shared" si="90"/>
        <v>22313.013401211716</v>
      </c>
      <c r="J214" s="331">
        <f t="shared" si="91"/>
        <v>1.5707515098989286</v>
      </c>
      <c r="K214" s="339">
        <f t="shared" si="82"/>
        <v>3.7824659230974587</v>
      </c>
      <c r="L214" s="340">
        <f t="shared" si="83"/>
        <v>1.3032376220182742</v>
      </c>
      <c r="M214" s="328">
        <f t="shared" si="92"/>
        <v>1.0017537793431075</v>
      </c>
      <c r="N214" s="331">
        <f t="shared" si="93"/>
        <v>5.9181416927886525E-2</v>
      </c>
      <c r="O214" s="332">
        <f t="shared" si="94"/>
        <v>1.0005709135005227</v>
      </c>
      <c r="P214" s="333">
        <f t="shared" si="95"/>
        <v>8.6005045375823971E-2</v>
      </c>
      <c r="Q214" s="334">
        <f t="shared" si="96"/>
        <v>9.1299251038250588</v>
      </c>
      <c r="R214" s="335">
        <f t="shared" si="97"/>
        <v>-99.729530896381718</v>
      </c>
      <c r="S214" s="337">
        <f t="shared" si="98"/>
        <v>80.270469103618282</v>
      </c>
      <c r="U214" s="310">
        <f t="shared" si="103"/>
        <v>1000000000</v>
      </c>
      <c r="V214" s="310">
        <f t="shared" si="104"/>
        <v>151363809</v>
      </c>
      <c r="X214" s="336">
        <f t="shared" si="99"/>
        <v>1.5991752198309044</v>
      </c>
      <c r="Y214" s="337">
        <f t="shared" si="105"/>
        <v>-18.718262173658122</v>
      </c>
      <c r="AA214" s="336">
        <f t="shared" si="100"/>
        <v>7.5307498839941545</v>
      </c>
      <c r="AB214" s="337">
        <f t="shared" si="101"/>
        <v>-81.011268722723585</v>
      </c>
      <c r="AD214">
        <f t="shared" si="106"/>
        <v>0</v>
      </c>
      <c r="AE214">
        <f t="shared" si="81"/>
        <v>0</v>
      </c>
    </row>
    <row r="215" spans="1:31" x14ac:dyDescent="0.25">
      <c r="A215" s="338">
        <v>12374.5</v>
      </c>
      <c r="B215" s="355">
        <f t="shared" si="102"/>
        <v>12.374499999999999</v>
      </c>
      <c r="C215" s="328">
        <f t="shared" si="84"/>
        <v>4.2686611262567267</v>
      </c>
      <c r="D215" s="329">
        <f t="shared" si="85"/>
        <v>1.3343333597614824</v>
      </c>
      <c r="E215" s="329">
        <f t="shared" si="86"/>
        <v>1.0000131664917722</v>
      </c>
      <c r="F215" s="330">
        <f t="shared" si="87"/>
        <v>5.1315392057673806E-3</v>
      </c>
      <c r="G215" s="329">
        <f t="shared" si="88"/>
        <v>1</v>
      </c>
      <c r="H215" s="330">
        <f t="shared" si="89"/>
        <v>0</v>
      </c>
      <c r="I215" s="328">
        <f t="shared" si="90"/>
        <v>22442.687501430482</v>
      </c>
      <c r="J215" s="331">
        <f t="shared" si="91"/>
        <v>1.5707517688514565</v>
      </c>
      <c r="K215" s="339">
        <f t="shared" ref="K215:K278" si="107">SQRT(1+(A215/Zero2)^2)</f>
        <v>3.8029157414756165</v>
      </c>
      <c r="L215" s="340">
        <f t="shared" ref="L215:L278" si="108">ATAN(A215/Zero2)</f>
        <v>1.3047114415815593</v>
      </c>
      <c r="M215" s="328">
        <f t="shared" si="92"/>
        <v>1.0017742049678631</v>
      </c>
      <c r="N215" s="331">
        <f t="shared" si="93"/>
        <v>5.9524545589131672E-2</v>
      </c>
      <c r="O215" s="332">
        <f t="shared" si="94"/>
        <v>1.0005776243288795</v>
      </c>
      <c r="P215" s="333">
        <f t="shared" si="95"/>
        <v>8.6505536735177413E-2</v>
      </c>
      <c r="Q215" s="334">
        <f t="shared" si="96"/>
        <v>9.0786366615331051</v>
      </c>
      <c r="R215" s="335">
        <f t="shared" si="97"/>
        <v>-99.767549884924065</v>
      </c>
      <c r="S215" s="337">
        <f t="shared" si="98"/>
        <v>80.232450115075935</v>
      </c>
      <c r="U215" s="310">
        <f t="shared" si="103"/>
        <v>1000000000</v>
      </c>
      <c r="V215" s="310">
        <f t="shared" si="104"/>
        <v>153128250.25</v>
      </c>
      <c r="X215" s="336">
        <f t="shared" si="99"/>
        <v>1.5954989794546273</v>
      </c>
      <c r="Y215" s="337">
        <f t="shared" si="105"/>
        <v>-18.653493193850316</v>
      </c>
      <c r="AA215" s="336">
        <f t="shared" si="100"/>
        <v>7.483137682078473</v>
      </c>
      <c r="AB215" s="337">
        <f t="shared" si="101"/>
        <v>-81.114056691073756</v>
      </c>
      <c r="AD215">
        <f t="shared" si="106"/>
        <v>0</v>
      </c>
      <c r="AE215">
        <f t="shared" si="81"/>
        <v>0</v>
      </c>
    </row>
    <row r="216" spans="1:31" x14ac:dyDescent="0.25">
      <c r="A216" s="338">
        <v>12446</v>
      </c>
      <c r="B216" s="355">
        <f t="shared" si="102"/>
        <v>12.446</v>
      </c>
      <c r="C216" s="328">
        <f t="shared" si="84"/>
        <v>4.2919755853867763</v>
      </c>
      <c r="D216" s="329">
        <f t="shared" si="85"/>
        <v>1.335642133783248</v>
      </c>
      <c r="E216" s="329">
        <f t="shared" si="86"/>
        <v>1.0000133190825995</v>
      </c>
      <c r="F216" s="330">
        <f t="shared" si="87"/>
        <v>5.1611887719114364E-3</v>
      </c>
      <c r="G216" s="329">
        <f t="shared" si="88"/>
        <v>1</v>
      </c>
      <c r="H216" s="330">
        <f t="shared" si="89"/>
        <v>0</v>
      </c>
      <c r="I216" s="328">
        <f t="shared" si="90"/>
        <v>22572.361601650737</v>
      </c>
      <c r="J216" s="331">
        <f t="shared" si="91"/>
        <v>1.5707520248287146</v>
      </c>
      <c r="K216" s="339">
        <f t="shared" si="107"/>
        <v>3.8233737319598395</v>
      </c>
      <c r="L216" s="340">
        <f t="shared" si="108"/>
        <v>1.3061694921470495</v>
      </c>
      <c r="M216" s="328">
        <f t="shared" si="92"/>
        <v>1.0017947485339691</v>
      </c>
      <c r="N216" s="331">
        <f t="shared" si="93"/>
        <v>5.9867660217857506E-2</v>
      </c>
      <c r="O216" s="332">
        <f t="shared" si="94"/>
        <v>1.0005843753392112</v>
      </c>
      <c r="P216" s="333">
        <f t="shared" si="95"/>
        <v>8.7006039601785518E-2</v>
      </c>
      <c r="Q216" s="334">
        <f t="shared" si="96"/>
        <v>9.0276482310003043</v>
      </c>
      <c r="R216" s="335">
        <f t="shared" si="97"/>
        <v>-99.805648562449989</v>
      </c>
      <c r="S216" s="337">
        <f t="shared" si="98"/>
        <v>80.194351437550011</v>
      </c>
      <c r="U216" s="310">
        <f t="shared" si="103"/>
        <v>1000000000</v>
      </c>
      <c r="V216" s="310">
        <f t="shared" si="104"/>
        <v>154902916</v>
      </c>
      <c r="X216" s="336">
        <f t="shared" si="99"/>
        <v>1.5918791032284902</v>
      </c>
      <c r="Y216" s="337">
        <f t="shared" si="105"/>
        <v>-18.589626736589825</v>
      </c>
      <c r="AA216" s="336">
        <f t="shared" si="100"/>
        <v>7.4357691277718132</v>
      </c>
      <c r="AB216" s="337">
        <f t="shared" si="101"/>
        <v>-81.216021825860196</v>
      </c>
      <c r="AD216">
        <f t="shared" si="106"/>
        <v>0</v>
      </c>
      <c r="AE216">
        <f t="shared" si="81"/>
        <v>0</v>
      </c>
    </row>
    <row r="217" spans="1:31" x14ac:dyDescent="0.25">
      <c r="A217" s="338">
        <v>12517.5</v>
      </c>
      <c r="B217" s="355">
        <f t="shared" si="102"/>
        <v>12.5175</v>
      </c>
      <c r="C217" s="328">
        <f t="shared" si="84"/>
        <v>4.3152973167506543</v>
      </c>
      <c r="D217" s="329">
        <f t="shared" si="85"/>
        <v>1.3369367636419587</v>
      </c>
      <c r="E217" s="329">
        <f t="shared" si="86"/>
        <v>1.0000134725525351</v>
      </c>
      <c r="F217" s="330">
        <f t="shared" si="87"/>
        <v>5.1908383289810452E-3</v>
      </c>
      <c r="G217" s="329">
        <f t="shared" si="88"/>
        <v>1</v>
      </c>
      <c r="H217" s="330">
        <f t="shared" si="89"/>
        <v>0</v>
      </c>
      <c r="I217" s="328">
        <f t="shared" si="90"/>
        <v>22702.035701872457</v>
      </c>
      <c r="J217" s="331">
        <f t="shared" si="91"/>
        <v>1.5707522778816865</v>
      </c>
      <c r="K217" s="339">
        <f t="shared" si="107"/>
        <v>3.8438397640674267</v>
      </c>
      <c r="L217" s="340">
        <f t="shared" si="108"/>
        <v>1.3076120193453977</v>
      </c>
      <c r="M217" s="328">
        <f t="shared" si="92"/>
        <v>1.0018154100341701</v>
      </c>
      <c r="N217" s="331">
        <f t="shared" si="93"/>
        <v>6.0210760734141625E-2</v>
      </c>
      <c r="O217" s="332">
        <f t="shared" si="94"/>
        <v>1.0005911665539273</v>
      </c>
      <c r="P217" s="333">
        <f t="shared" si="95"/>
        <v>8.7506554040476886E-2</v>
      </c>
      <c r="Q217" s="334">
        <f t="shared" si="96"/>
        <v>8.9769562570825485</v>
      </c>
      <c r="R217" s="335">
        <f t="shared" si="97"/>
        <v>-99.843825949968164</v>
      </c>
      <c r="S217" s="337">
        <f t="shared" si="98"/>
        <v>80.156174050031836</v>
      </c>
      <c r="U217" s="310">
        <f t="shared" si="103"/>
        <v>1000000000</v>
      </c>
      <c r="V217" s="310">
        <f t="shared" si="104"/>
        <v>156687806.25</v>
      </c>
      <c r="X217" s="336">
        <f t="shared" si="99"/>
        <v>1.5883143573498248</v>
      </c>
      <c r="Y217" s="337">
        <f t="shared" si="105"/>
        <v>-18.526648726618788</v>
      </c>
      <c r="AA217" s="336">
        <f t="shared" si="100"/>
        <v>7.3886418997327219</v>
      </c>
      <c r="AB217" s="337">
        <f t="shared" si="101"/>
        <v>-81.317177223349361</v>
      </c>
      <c r="AD217">
        <f t="shared" si="106"/>
        <v>0</v>
      </c>
      <c r="AE217">
        <f t="shared" si="81"/>
        <v>0</v>
      </c>
    </row>
    <row r="218" spans="1:31" x14ac:dyDescent="0.25">
      <c r="A218" s="338">
        <v>12589</v>
      </c>
      <c r="B218" s="355">
        <f t="shared" si="102"/>
        <v>12.589</v>
      </c>
      <c r="C218" s="328">
        <f t="shared" si="84"/>
        <v>4.338626203075469</v>
      </c>
      <c r="D218" s="329">
        <f t="shared" si="85"/>
        <v>1.3382174731228906</v>
      </c>
      <c r="E218" s="329">
        <f t="shared" si="86"/>
        <v>1.0000136269015785</v>
      </c>
      <c r="F218" s="330">
        <f t="shared" si="87"/>
        <v>5.2204878769240822E-3</v>
      </c>
      <c r="G218" s="329">
        <f t="shared" si="88"/>
        <v>1</v>
      </c>
      <c r="H218" s="330">
        <f t="shared" si="89"/>
        <v>0</v>
      </c>
      <c r="I218" s="328">
        <f t="shared" si="90"/>
        <v>22831.709802095607</v>
      </c>
      <c r="J218" s="331">
        <f t="shared" si="91"/>
        <v>1.5707525280601988</v>
      </c>
      <c r="K218" s="339">
        <f t="shared" si="107"/>
        <v>3.8643137100291556</v>
      </c>
      <c r="L218" s="340">
        <f t="shared" si="108"/>
        <v>1.3090392638631432</v>
      </c>
      <c r="M218" s="328">
        <f t="shared" si="92"/>
        <v>1.0018361894611691</v>
      </c>
      <c r="N218" s="331">
        <f t="shared" si="93"/>
        <v>6.0553847058081499E-2</v>
      </c>
      <c r="O218" s="332">
        <f t="shared" si="94"/>
        <v>1.0005979979955673</v>
      </c>
      <c r="P218" s="333">
        <f t="shared" si="95"/>
        <v>8.8007080116051406E-2</v>
      </c>
      <c r="Q218" s="334">
        <f t="shared" si="96"/>
        <v>8.9265572471757988</v>
      </c>
      <c r="R218" s="335">
        <f t="shared" si="97"/>
        <v>-99.882081081100011</v>
      </c>
      <c r="S218" s="337">
        <f t="shared" si="98"/>
        <v>80.117918918899989</v>
      </c>
      <c r="U218" s="310">
        <f t="shared" si="103"/>
        <v>1000000000</v>
      </c>
      <c r="V218" s="310">
        <f t="shared" si="104"/>
        <v>158482921</v>
      </c>
      <c r="X218" s="336">
        <f t="shared" si="99"/>
        <v>1.5848035406392011</v>
      </c>
      <c r="Y218" s="337">
        <f t="shared" si="105"/>
        <v>-18.464545371891127</v>
      </c>
      <c r="AA218" s="336">
        <f t="shared" si="100"/>
        <v>7.3417537065365979</v>
      </c>
      <c r="AB218" s="337">
        <f t="shared" si="101"/>
        <v>-81.417535709208906</v>
      </c>
      <c r="AD218">
        <f t="shared" si="106"/>
        <v>0</v>
      </c>
      <c r="AE218">
        <f t="shared" ref="AE218:AE281" si="109">IF(AD218&gt;0,S218,0)</f>
        <v>0</v>
      </c>
    </row>
    <row r="219" spans="1:31" x14ac:dyDescent="0.25">
      <c r="A219" s="338">
        <v>12662.25</v>
      </c>
      <c r="B219" s="355">
        <f t="shared" si="102"/>
        <v>12.66225</v>
      </c>
      <c r="C219" s="328">
        <f t="shared" si="84"/>
        <v>4.3625333759101803</v>
      </c>
      <c r="D219" s="329">
        <f t="shared" si="85"/>
        <v>1.3395153221492566</v>
      </c>
      <c r="E219" s="329">
        <f t="shared" si="86"/>
        <v>1.0000137859400413</v>
      </c>
      <c r="F219" s="330">
        <f t="shared" si="87"/>
        <v>5.2508631035846198E-3</v>
      </c>
      <c r="G219" s="329">
        <f t="shared" si="88"/>
        <v>1</v>
      </c>
      <c r="H219" s="330">
        <f t="shared" si="89"/>
        <v>0</v>
      </c>
      <c r="I219" s="328">
        <f t="shared" si="90"/>
        <v>22964.557743934081</v>
      </c>
      <c r="J219" s="331">
        <f t="shared" si="91"/>
        <v>1.5707527814320177</v>
      </c>
      <c r="K219" s="339">
        <f t="shared" si="107"/>
        <v>3.8852968425266718</v>
      </c>
      <c r="L219" s="340">
        <f t="shared" si="108"/>
        <v>1.3104858391612939</v>
      </c>
      <c r="M219" s="328">
        <f t="shared" si="92"/>
        <v>1.0018575997594714</v>
      </c>
      <c r="N219" s="331">
        <f t="shared" si="93"/>
        <v>6.0905315798582424E-2</v>
      </c>
      <c r="O219" s="332">
        <f t="shared" si="94"/>
        <v>1.0006050383798579</v>
      </c>
      <c r="P219" s="333">
        <f t="shared" si="95"/>
        <v>8.8519868965152376E-2</v>
      </c>
      <c r="Q219" s="334">
        <f t="shared" si="96"/>
        <v>8.8752249153266192</v>
      </c>
      <c r="R219" s="335">
        <f t="shared" si="97"/>
        <v>-99.921352150611739</v>
      </c>
      <c r="S219" s="337">
        <f t="shared" si="98"/>
        <v>80.078647849388261</v>
      </c>
      <c r="U219" s="310">
        <f t="shared" si="103"/>
        <v>1000000000</v>
      </c>
      <c r="V219" s="310">
        <f t="shared" si="104"/>
        <v>160332575.0625</v>
      </c>
      <c r="X219" s="336">
        <f t="shared" si="99"/>
        <v>1.5812614975248795</v>
      </c>
      <c r="Y219" s="337">
        <f t="shared" si="105"/>
        <v>-18.40181490508488</v>
      </c>
      <c r="AA219" s="336">
        <f t="shared" si="100"/>
        <v>7.2939634178017387</v>
      </c>
      <c r="AB219" s="337">
        <f t="shared" si="101"/>
        <v>-81.519537245526834</v>
      </c>
      <c r="AD219">
        <f t="shared" si="106"/>
        <v>0</v>
      </c>
      <c r="AE219">
        <f t="shared" si="109"/>
        <v>0</v>
      </c>
    </row>
    <row r="220" spans="1:31" x14ac:dyDescent="0.25">
      <c r="A220" s="338">
        <v>12735.5</v>
      </c>
      <c r="B220" s="355">
        <f t="shared" si="102"/>
        <v>12.7355</v>
      </c>
      <c r="C220" s="328">
        <f t="shared" si="84"/>
        <v>4.3864478169417298</v>
      </c>
      <c r="D220" s="329">
        <f t="shared" si="85"/>
        <v>1.3407990218521002</v>
      </c>
      <c r="E220" s="329">
        <f t="shared" si="86"/>
        <v>1.0000139459011708</v>
      </c>
      <c r="F220" s="330">
        <f t="shared" si="87"/>
        <v>5.281238320555607E-3</v>
      </c>
      <c r="G220" s="329">
        <f t="shared" si="88"/>
        <v>1</v>
      </c>
      <c r="H220" s="330">
        <f t="shared" si="89"/>
        <v>0</v>
      </c>
      <c r="I220" s="328">
        <f t="shared" si="90"/>
        <v>23097.405685774011</v>
      </c>
      <c r="J220" s="331">
        <f t="shared" si="91"/>
        <v>1.5707530318892298</v>
      </c>
      <c r="K220" s="339">
        <f t="shared" si="107"/>
        <v>3.9062880179632886</v>
      </c>
      <c r="L220" s="340">
        <f t="shared" si="108"/>
        <v>1.3119168705368236</v>
      </c>
      <c r="M220" s="328">
        <f t="shared" si="92"/>
        <v>1.0018791338122204</v>
      </c>
      <c r="N220" s="331">
        <f t="shared" si="93"/>
        <v>6.1256769473795436E-2</v>
      </c>
      <c r="O220" s="332">
        <f t="shared" si="94"/>
        <v>1.0006121210326235</v>
      </c>
      <c r="P220" s="333">
        <f t="shared" si="95"/>
        <v>8.9032670165338099E-2</v>
      </c>
      <c r="Q220" s="334">
        <f t="shared" si="96"/>
        <v>8.8241928378317507</v>
      </c>
      <c r="R220" s="335">
        <f t="shared" si="97"/>
        <v>-99.960702802814083</v>
      </c>
      <c r="S220" s="337">
        <f t="shared" si="98"/>
        <v>80.039297197185917</v>
      </c>
      <c r="U220" s="310">
        <f t="shared" si="103"/>
        <v>1000000000</v>
      </c>
      <c r="V220" s="310">
        <f t="shared" si="104"/>
        <v>162192960.25</v>
      </c>
      <c r="X220" s="336">
        <f t="shared" si="99"/>
        <v>1.5777736041268935</v>
      </c>
      <c r="Y220" s="337">
        <f t="shared" si="105"/>
        <v>-18.33997400927084</v>
      </c>
      <c r="AA220" s="336">
        <f t="shared" si="100"/>
        <v>7.2464192337048585</v>
      </c>
      <c r="AB220" s="337">
        <f t="shared" si="101"/>
        <v>-81.62072879354325</v>
      </c>
      <c r="AD220">
        <f t="shared" si="106"/>
        <v>0</v>
      </c>
      <c r="AE220">
        <f t="shared" si="109"/>
        <v>0</v>
      </c>
    </row>
    <row r="221" spans="1:31" x14ac:dyDescent="0.25">
      <c r="A221" s="338">
        <v>12808.75</v>
      </c>
      <c r="B221" s="355">
        <f t="shared" si="102"/>
        <v>12.80875</v>
      </c>
      <c r="C221" s="328">
        <f t="shared" si="84"/>
        <v>4.4103694079386173</v>
      </c>
      <c r="D221" s="329">
        <f t="shared" si="85"/>
        <v>1.342068798201228</v>
      </c>
      <c r="E221" s="329">
        <f t="shared" si="86"/>
        <v>1.0000141067849668</v>
      </c>
      <c r="F221" s="330">
        <f t="shared" si="87"/>
        <v>5.3116135277809975E-3</v>
      </c>
      <c r="G221" s="329">
        <f t="shared" si="88"/>
        <v>1</v>
      </c>
      <c r="H221" s="330">
        <f t="shared" si="89"/>
        <v>0</v>
      </c>
      <c r="I221" s="328">
        <f t="shared" si="90"/>
        <v>23230.253627615373</v>
      </c>
      <c r="J221" s="331">
        <f t="shared" si="91"/>
        <v>1.5707532794818393</v>
      </c>
      <c r="K221" s="339">
        <f t="shared" si="107"/>
        <v>3.9272871073715501</v>
      </c>
      <c r="L221" s="340">
        <f t="shared" si="108"/>
        <v>1.3133326014198812</v>
      </c>
      <c r="M221" s="328">
        <f t="shared" si="92"/>
        <v>1.0019007916114369</v>
      </c>
      <c r="N221" s="331">
        <f t="shared" si="93"/>
        <v>6.160820799787186E-2</v>
      </c>
      <c r="O221" s="332">
        <f t="shared" si="94"/>
        <v>1.0006192459785173</v>
      </c>
      <c r="P221" s="333">
        <f t="shared" si="95"/>
        <v>8.954548378618904E-2</v>
      </c>
      <c r="Q221" s="334">
        <f t="shared" si="96"/>
        <v>8.773457454120221</v>
      </c>
      <c r="R221" s="335">
        <f t="shared" si="97"/>
        <v>-100.00013203923935</v>
      </c>
      <c r="S221" s="337">
        <f t="shared" si="98"/>
        <v>79.999867960760653</v>
      </c>
      <c r="U221" s="310">
        <f t="shared" si="103"/>
        <v>1000000000</v>
      </c>
      <c r="V221" s="310">
        <f t="shared" si="104"/>
        <v>164064076.5625</v>
      </c>
      <c r="X221" s="336">
        <f t="shared" si="99"/>
        <v>1.5743386688580006</v>
      </c>
      <c r="Y221" s="337">
        <f t="shared" si="105"/>
        <v>-18.279008734875095</v>
      </c>
      <c r="AA221" s="336">
        <f t="shared" si="100"/>
        <v>7.1991187852622218</v>
      </c>
      <c r="AB221" s="337">
        <f t="shared" si="101"/>
        <v>-81.721123304364255</v>
      </c>
      <c r="AD221">
        <f t="shared" si="106"/>
        <v>0</v>
      </c>
      <c r="AE221">
        <f t="shared" si="109"/>
        <v>0</v>
      </c>
    </row>
    <row r="222" spans="1:31" x14ac:dyDescent="0.25">
      <c r="A222" s="338">
        <v>12882</v>
      </c>
      <c r="B222" s="355">
        <f t="shared" si="102"/>
        <v>12.882</v>
      </c>
      <c r="C222" s="328">
        <f t="shared" si="84"/>
        <v>4.4342980331856552</v>
      </c>
      <c r="D222" s="329">
        <f t="shared" si="85"/>
        <v>1.343324872470667</v>
      </c>
      <c r="E222" s="329">
        <f t="shared" si="86"/>
        <v>1.0000142685914286</v>
      </c>
      <c r="F222" s="330">
        <f t="shared" si="87"/>
        <v>5.341988725204745E-3</v>
      </c>
      <c r="G222" s="329">
        <f t="shared" si="88"/>
        <v>1</v>
      </c>
      <c r="H222" s="330">
        <f t="shared" si="89"/>
        <v>0</v>
      </c>
      <c r="I222" s="328">
        <f t="shared" si="90"/>
        <v>23363.10156945814</v>
      </c>
      <c r="J222" s="331">
        <f t="shared" si="91"/>
        <v>1.5707535242587123</v>
      </c>
      <c r="K222" s="339">
        <f t="shared" si="107"/>
        <v>3.9482939844795553</v>
      </c>
      <c r="L222" s="340">
        <f t="shared" si="108"/>
        <v>1.3147332703082131</v>
      </c>
      <c r="M222" s="328">
        <f t="shared" si="92"/>
        <v>1.0019225731490957</v>
      </c>
      <c r="N222" s="331">
        <f t="shared" si="93"/>
        <v>6.1959631284985404E-2</v>
      </c>
      <c r="O222" s="332">
        <f t="shared" si="94"/>
        <v>1.0006264132423344</v>
      </c>
      <c r="P222" s="333">
        <f t="shared" si="95"/>
        <v>9.0058309897253233E-2</v>
      </c>
      <c r="Q222" s="334">
        <f t="shared" si="96"/>
        <v>8.7230152663123697</v>
      </c>
      <c r="R222" s="335">
        <f t="shared" si="97"/>
        <v>-100.03963887491142</v>
      </c>
      <c r="S222" s="337">
        <f t="shared" si="98"/>
        <v>79.960361125088582</v>
      </c>
      <c r="U222" s="310">
        <f t="shared" si="103"/>
        <v>1000000000</v>
      </c>
      <c r="V222" s="310">
        <f t="shared" si="104"/>
        <v>165945924</v>
      </c>
      <c r="X222" s="336">
        <f t="shared" si="99"/>
        <v>1.5709555317680024</v>
      </c>
      <c r="Y222" s="337">
        <f t="shared" si="105"/>
        <v>-18.218905414865684</v>
      </c>
      <c r="AA222" s="336">
        <f t="shared" si="100"/>
        <v>7.1520597345443671</v>
      </c>
      <c r="AB222" s="337">
        <f t="shared" si="101"/>
        <v>-81.820733460045744</v>
      </c>
      <c r="AD222">
        <f t="shared" si="106"/>
        <v>0</v>
      </c>
      <c r="AE222">
        <f t="shared" si="109"/>
        <v>0</v>
      </c>
    </row>
    <row r="223" spans="1:31" x14ac:dyDescent="0.25">
      <c r="A223" s="338">
        <v>12957.25</v>
      </c>
      <c r="B223" s="355">
        <f t="shared" si="102"/>
        <v>12.95725</v>
      </c>
      <c r="C223" s="328">
        <f t="shared" si="84"/>
        <v>4.4588872056988427</v>
      </c>
      <c r="D223" s="329">
        <f t="shared" si="85"/>
        <v>1.3446012015933093</v>
      </c>
      <c r="E223" s="329">
        <f t="shared" si="86"/>
        <v>1.0000144357766121</v>
      </c>
      <c r="F223" s="330">
        <f t="shared" si="87"/>
        <v>5.3731932692891128E-3</v>
      </c>
      <c r="G223" s="329">
        <f t="shared" si="88"/>
        <v>1</v>
      </c>
      <c r="H223" s="330">
        <f t="shared" si="89"/>
        <v>0</v>
      </c>
      <c r="I223" s="328">
        <f t="shared" si="90"/>
        <v>23499.576758861196</v>
      </c>
      <c r="J223" s="331">
        <f t="shared" si="91"/>
        <v>1.5707537728369865</v>
      </c>
      <c r="K223" s="339">
        <f t="shared" si="107"/>
        <v>3.9698824078421846</v>
      </c>
      <c r="L223" s="340">
        <f t="shared" si="108"/>
        <v>1.3161567437582018</v>
      </c>
      <c r="M223" s="328">
        <f t="shared" si="92"/>
        <v>1.0019450782483779</v>
      </c>
      <c r="N223" s="331">
        <f t="shared" si="93"/>
        <v>6.2320633790328865E-2</v>
      </c>
      <c r="O223" s="332">
        <f t="shared" si="94"/>
        <v>1.0006338202924197</v>
      </c>
      <c r="P223" s="333">
        <f t="shared" si="95"/>
        <v>9.0585151165895814E-2</v>
      </c>
      <c r="Q223" s="334">
        <f t="shared" si="96"/>
        <v>8.6714975198024362</v>
      </c>
      <c r="R223" s="335">
        <f t="shared" si="97"/>
        <v>-100.08030418094633</v>
      </c>
      <c r="S223" s="337">
        <f t="shared" si="98"/>
        <v>79.919695819053672</v>
      </c>
      <c r="U223" s="310">
        <f t="shared" si="103"/>
        <v>1000000000</v>
      </c>
      <c r="V223" s="310">
        <f t="shared" si="104"/>
        <v>167890327.5625</v>
      </c>
      <c r="X223" s="336">
        <f t="shared" si="99"/>
        <v>1.5675327747819781</v>
      </c>
      <c r="Y223" s="337">
        <f t="shared" si="105"/>
        <v>-18.158044556298673</v>
      </c>
      <c r="AA223" s="336">
        <f t="shared" si="100"/>
        <v>7.1039647450204582</v>
      </c>
      <c r="AB223" s="337">
        <f t="shared" si="101"/>
        <v>-81.922259624647651</v>
      </c>
      <c r="AD223">
        <f t="shared" si="106"/>
        <v>0</v>
      </c>
      <c r="AE223">
        <f t="shared" si="109"/>
        <v>0</v>
      </c>
    </row>
    <row r="224" spans="1:31" x14ac:dyDescent="0.25">
      <c r="A224" s="338">
        <v>13032.5</v>
      </c>
      <c r="B224" s="355">
        <f t="shared" si="102"/>
        <v>13.032500000000001</v>
      </c>
      <c r="C224" s="328">
        <f t="shared" si="84"/>
        <v>4.4834835621310853</v>
      </c>
      <c r="D224" s="329">
        <f t="shared" si="85"/>
        <v>1.3458635288899907</v>
      </c>
      <c r="E224" s="329">
        <f t="shared" si="86"/>
        <v>1.0000146039355331</v>
      </c>
      <c r="F224" s="330">
        <f t="shared" si="87"/>
        <v>5.4043978029093753E-3</v>
      </c>
      <c r="G224" s="329">
        <f t="shared" si="88"/>
        <v>1</v>
      </c>
      <c r="H224" s="330">
        <f t="shared" si="89"/>
        <v>0</v>
      </c>
      <c r="I224" s="328">
        <f t="shared" si="90"/>
        <v>23636.051948265693</v>
      </c>
      <c r="J224" s="331">
        <f t="shared" si="91"/>
        <v>1.5707540185446658</v>
      </c>
      <c r="K224" s="339">
        <f t="shared" si="107"/>
        <v>3.9914787882605713</v>
      </c>
      <c r="L224" s="340">
        <f t="shared" si="108"/>
        <v>1.317564816283938</v>
      </c>
      <c r="M224" s="328">
        <f t="shared" si="92"/>
        <v>1.0019677139180811</v>
      </c>
      <c r="N224" s="331">
        <f t="shared" si="93"/>
        <v>6.2681620031743684E-2</v>
      </c>
      <c r="O224" s="332">
        <f t="shared" si="94"/>
        <v>1.0006412720563598</v>
      </c>
      <c r="P224" s="333">
        <f t="shared" si="95"/>
        <v>9.1112005764816123E-2</v>
      </c>
      <c r="Q224" s="334">
        <f t="shared" si="96"/>
        <v>8.6202819117012215</v>
      </c>
      <c r="R224" s="335">
        <f t="shared" si="97"/>
        <v>-100.12104931744932</v>
      </c>
      <c r="S224" s="337">
        <f t="shared" si="98"/>
        <v>79.878950682550681</v>
      </c>
      <c r="U224" s="310">
        <f t="shared" si="103"/>
        <v>1000000000</v>
      </c>
      <c r="V224" s="310">
        <f t="shared" si="104"/>
        <v>169846056.25</v>
      </c>
      <c r="X224" s="336">
        <f t="shared" si="99"/>
        <v>1.5641622997458493</v>
      </c>
      <c r="Y224" s="337">
        <f t="shared" si="105"/>
        <v>-18.098065009365509</v>
      </c>
      <c r="AA224" s="336">
        <f t="shared" si="100"/>
        <v>7.0561196119553724</v>
      </c>
      <c r="AB224" s="337">
        <f t="shared" si="101"/>
        <v>-82.022984308083821</v>
      </c>
      <c r="AD224">
        <f t="shared" si="106"/>
        <v>0</v>
      </c>
      <c r="AE224">
        <f t="shared" si="109"/>
        <v>0</v>
      </c>
    </row>
    <row r="225" spans="1:31" x14ac:dyDescent="0.25">
      <c r="A225" s="338">
        <v>13107.75</v>
      </c>
      <c r="B225" s="355">
        <f t="shared" si="102"/>
        <v>13.107749999999999</v>
      </c>
      <c r="C225" s="328">
        <f t="shared" si="84"/>
        <v>4.5080869848948808</v>
      </c>
      <c r="D225" s="329">
        <f t="shared" si="85"/>
        <v>1.3471120795543827</v>
      </c>
      <c r="E225" s="329">
        <f t="shared" si="86"/>
        <v>1.0000147730681905</v>
      </c>
      <c r="F225" s="330">
        <f t="shared" si="87"/>
        <v>5.435602326004766E-3</v>
      </c>
      <c r="G225" s="329">
        <f t="shared" si="88"/>
        <v>1</v>
      </c>
      <c r="H225" s="330">
        <f t="shared" si="89"/>
        <v>0</v>
      </c>
      <c r="I225" s="328">
        <f t="shared" si="90"/>
        <v>23772.527137671597</v>
      </c>
      <c r="J225" s="331">
        <f t="shared" si="91"/>
        <v>1.5707542614311891</v>
      </c>
      <c r="K225" s="339">
        <f t="shared" si="107"/>
        <v>4.0130829972721846</v>
      </c>
      <c r="L225" s="340">
        <f t="shared" si="108"/>
        <v>1.3189577309864573</v>
      </c>
      <c r="M225" s="328">
        <f t="shared" si="92"/>
        <v>1.0019904801493569</v>
      </c>
      <c r="N225" s="331">
        <f t="shared" si="93"/>
        <v>6.3042589916254305E-2</v>
      </c>
      <c r="O225" s="332">
        <f t="shared" si="94"/>
        <v>1.0006487685615024</v>
      </c>
      <c r="P225" s="333">
        <f t="shared" si="95"/>
        <v>9.163887376930796E-2</v>
      </c>
      <c r="Q225" s="334">
        <f t="shared" si="96"/>
        <v>8.5693648468736505</v>
      </c>
      <c r="R225" s="335">
        <f t="shared" si="97"/>
        <v>-100.1618732602271</v>
      </c>
      <c r="S225" s="337">
        <f t="shared" si="98"/>
        <v>79.838126739772903</v>
      </c>
      <c r="U225" s="310">
        <f t="shared" si="103"/>
        <v>1000000000</v>
      </c>
      <c r="V225" s="310">
        <f t="shared" si="104"/>
        <v>171813110.0625</v>
      </c>
      <c r="X225" s="336">
        <f t="shared" si="99"/>
        <v>1.5608429469296905</v>
      </c>
      <c r="Y225" s="337">
        <f t="shared" si="105"/>
        <v>-18.038952842908358</v>
      </c>
      <c r="AA225" s="336">
        <f t="shared" si="100"/>
        <v>7.0085218999439567</v>
      </c>
      <c r="AB225" s="337">
        <f t="shared" si="101"/>
        <v>-82.122920417318724</v>
      </c>
      <c r="AD225">
        <f t="shared" si="106"/>
        <v>0</v>
      </c>
      <c r="AE225">
        <f t="shared" si="109"/>
        <v>0</v>
      </c>
    </row>
    <row r="226" spans="1:31" x14ac:dyDescent="0.25">
      <c r="A226" s="338">
        <v>13183</v>
      </c>
      <c r="B226" s="355">
        <f t="shared" si="102"/>
        <v>13.183</v>
      </c>
      <c r="C226" s="328">
        <f t="shared" si="84"/>
        <v>4.53269735892236</v>
      </c>
      <c r="D226" s="329">
        <f t="shared" si="85"/>
        <v>1.3483470740633057</v>
      </c>
      <c r="E226" s="329">
        <f t="shared" si="86"/>
        <v>1.0000149431745846</v>
      </c>
      <c r="F226" s="330">
        <f t="shared" si="87"/>
        <v>5.466806838514522E-3</v>
      </c>
      <c r="G226" s="329">
        <f t="shared" si="88"/>
        <v>1</v>
      </c>
      <c r="H226" s="330">
        <f t="shared" si="89"/>
        <v>0</v>
      </c>
      <c r="I226" s="328">
        <f t="shared" si="90"/>
        <v>23909.002327078884</v>
      </c>
      <c r="J226" s="331">
        <f t="shared" si="91"/>
        <v>1.570754501544867</v>
      </c>
      <c r="K226" s="339">
        <f t="shared" si="107"/>
        <v>4.034694909119886</v>
      </c>
      <c r="L226" s="340">
        <f t="shared" si="108"/>
        <v>1.320335725996213</v>
      </c>
      <c r="M226" s="328">
        <f t="shared" si="92"/>
        <v>1.0020133769333055</v>
      </c>
      <c r="N226" s="331">
        <f t="shared" si="93"/>
        <v>6.3403543350910627E-2</v>
      </c>
      <c r="O226" s="332">
        <f t="shared" si="94"/>
        <v>1.0006563098353523</v>
      </c>
      <c r="P226" s="333">
        <f t="shared" si="95"/>
        <v>9.2165755254628196E-2</v>
      </c>
      <c r="Q226" s="334">
        <f t="shared" si="96"/>
        <v>8.5187427937073892</v>
      </c>
      <c r="R226" s="335">
        <f t="shared" si="97"/>
        <v>-100.20277499955861</v>
      </c>
      <c r="S226" s="337">
        <f t="shared" si="98"/>
        <v>79.797225000441387</v>
      </c>
      <c r="U226" s="310">
        <f t="shared" si="103"/>
        <v>1000000000</v>
      </c>
      <c r="V226" s="310">
        <f t="shared" si="104"/>
        <v>173791489</v>
      </c>
      <c r="X226" s="336">
        <f t="shared" si="99"/>
        <v>1.5575735876009009</v>
      </c>
      <c r="Y226" s="337">
        <f t="shared" si="105"/>
        <v>-17.980694410499598</v>
      </c>
      <c r="AA226" s="336">
        <f t="shared" si="100"/>
        <v>6.96116920610649</v>
      </c>
      <c r="AB226" s="337">
        <f t="shared" si="101"/>
        <v>-82.222080589059019</v>
      </c>
      <c r="AD226">
        <f t="shared" si="106"/>
        <v>0</v>
      </c>
      <c r="AE226">
        <f t="shared" si="109"/>
        <v>0</v>
      </c>
    </row>
    <row r="227" spans="1:31" x14ac:dyDescent="0.25">
      <c r="A227" s="338">
        <v>13259.75</v>
      </c>
      <c r="B227" s="355">
        <f t="shared" si="102"/>
        <v>13.25975</v>
      </c>
      <c r="C227" s="328">
        <f t="shared" si="84"/>
        <v>4.5578053489169577</v>
      </c>
      <c r="D227" s="329">
        <f t="shared" si="85"/>
        <v>1.3495929460532863</v>
      </c>
      <c r="E227" s="329">
        <f t="shared" si="86"/>
        <v>1.0000151176748477</v>
      </c>
      <c r="F227" s="330">
        <f t="shared" si="87"/>
        <v>5.4986333569176779E-3</v>
      </c>
      <c r="G227" s="329">
        <f t="shared" si="88"/>
        <v>1</v>
      </c>
      <c r="H227" s="330">
        <f t="shared" si="89"/>
        <v>0</v>
      </c>
      <c r="I227" s="328">
        <f t="shared" si="90"/>
        <v>24048.197952156828</v>
      </c>
      <c r="J227" s="331">
        <f t="shared" si="91"/>
        <v>1.5707547436375109</v>
      </c>
      <c r="K227" s="339">
        <f t="shared" si="107"/>
        <v>4.0567454302243222</v>
      </c>
      <c r="L227" s="340">
        <f t="shared" si="108"/>
        <v>1.321726062461138</v>
      </c>
      <c r="M227" s="328">
        <f t="shared" si="92"/>
        <v>1.0020368646044502</v>
      </c>
      <c r="N227" s="331">
        <f t="shared" si="93"/>
        <v>6.3771674829307318E-2</v>
      </c>
      <c r="O227" s="332">
        <f t="shared" si="94"/>
        <v>1.0006640475784838</v>
      </c>
      <c r="P227" s="333">
        <f t="shared" si="95"/>
        <v>9.2703153325504592E-2</v>
      </c>
      <c r="Q227" s="334">
        <f t="shared" si="96"/>
        <v>8.4674119568519117</v>
      </c>
      <c r="R227" s="335">
        <f t="shared" si="97"/>
        <v>-100.24457116200587</v>
      </c>
      <c r="S227" s="337">
        <f t="shared" si="98"/>
        <v>79.755428837994131</v>
      </c>
      <c r="U227" s="310">
        <f t="shared" si="103"/>
        <v>1000000000</v>
      </c>
      <c r="V227" s="310">
        <f t="shared" si="104"/>
        <v>175820970.0625</v>
      </c>
      <c r="X227" s="336">
        <f t="shared" si="99"/>
        <v>1.5542894174072286</v>
      </c>
      <c r="Y227" s="337">
        <f t="shared" si="105"/>
        <v>-17.92214024979414</v>
      </c>
      <c r="AA227" s="336">
        <f t="shared" si="100"/>
        <v>6.9131225394446814</v>
      </c>
      <c r="AB227" s="337">
        <f t="shared" si="101"/>
        <v>-82.322430912211729</v>
      </c>
      <c r="AD227">
        <f t="shared" si="106"/>
        <v>0</v>
      </c>
      <c r="AE227">
        <f t="shared" si="109"/>
        <v>0</v>
      </c>
    </row>
    <row r="228" spans="1:31" x14ac:dyDescent="0.25">
      <c r="A228" s="338">
        <v>13336.5</v>
      </c>
      <c r="B228" s="355">
        <f t="shared" si="102"/>
        <v>13.336499999999999</v>
      </c>
      <c r="C228" s="328">
        <f t="shared" si="84"/>
        <v>4.5829203359991046</v>
      </c>
      <c r="D228" s="329">
        <f t="shared" si="85"/>
        <v>1.3508251648641472</v>
      </c>
      <c r="E228" s="329">
        <f t="shared" si="86"/>
        <v>1.0000152931880535</v>
      </c>
      <c r="F228" s="330">
        <f t="shared" si="87"/>
        <v>5.530459864181294E-3</v>
      </c>
      <c r="G228" s="329">
        <f t="shared" si="88"/>
        <v>1</v>
      </c>
      <c r="H228" s="330">
        <f t="shared" si="89"/>
        <v>0</v>
      </c>
      <c r="I228" s="328">
        <f t="shared" si="90"/>
        <v>24187.393577236162</v>
      </c>
      <c r="J228" s="331">
        <f t="shared" si="91"/>
        <v>1.5707549829437251</v>
      </c>
      <c r="K228" s="339">
        <f t="shared" si="107"/>
        <v>4.0788037083649931</v>
      </c>
      <c r="L228" s="340">
        <f t="shared" si="108"/>
        <v>1.323101363608044</v>
      </c>
      <c r="M228" s="328">
        <f t="shared" si="92"/>
        <v>1.0020604880660411</v>
      </c>
      <c r="N228" s="331">
        <f t="shared" si="93"/>
        <v>6.4139789000274033E-2</v>
      </c>
      <c r="O228" s="332">
        <f t="shared" si="94"/>
        <v>1.0006718319512049</v>
      </c>
      <c r="P228" s="333">
        <f t="shared" si="95"/>
        <v>9.3240565578024071E-2</v>
      </c>
      <c r="Q228" s="334">
        <f t="shared" si="96"/>
        <v>8.4163807847829197</v>
      </c>
      <c r="R228" s="335">
        <f t="shared" si="97"/>
        <v>-100.28644617707204</v>
      </c>
      <c r="S228" s="337">
        <f t="shared" si="98"/>
        <v>79.713553822927963</v>
      </c>
      <c r="U228" s="310">
        <f t="shared" si="103"/>
        <v>1000000000</v>
      </c>
      <c r="V228" s="310">
        <f t="shared" si="104"/>
        <v>177862232.25</v>
      </c>
      <c r="X228" s="336">
        <f t="shared" si="99"/>
        <v>1.5510549762206407</v>
      </c>
      <c r="Y228" s="337">
        <f t="shared" si="105"/>
        <v>-17.86444639806243</v>
      </c>
      <c r="AA228" s="336">
        <f t="shared" si="100"/>
        <v>6.8653258085622815</v>
      </c>
      <c r="AB228" s="337">
        <f t="shared" si="101"/>
        <v>-82.421999779009596</v>
      </c>
      <c r="AD228">
        <f t="shared" si="106"/>
        <v>0</v>
      </c>
      <c r="AE228">
        <f t="shared" si="109"/>
        <v>0</v>
      </c>
    </row>
    <row r="229" spans="1:31" x14ac:dyDescent="0.25">
      <c r="A229" s="338">
        <v>13413.25</v>
      </c>
      <c r="B229" s="355">
        <f t="shared" si="102"/>
        <v>13.41325</v>
      </c>
      <c r="C229" s="328">
        <f t="shared" si="84"/>
        <v>4.6080422057611505</v>
      </c>
      <c r="D229" s="329">
        <f t="shared" si="85"/>
        <v>1.3520439500240005</v>
      </c>
      <c r="E229" s="329">
        <f t="shared" si="86"/>
        <v>1.0000154697142007</v>
      </c>
      <c r="F229" s="330">
        <f t="shared" si="87"/>
        <v>5.5622863602409001E-3</v>
      </c>
      <c r="G229" s="329">
        <f t="shared" si="88"/>
        <v>1</v>
      </c>
      <c r="H229" s="330">
        <f t="shared" si="89"/>
        <v>0</v>
      </c>
      <c r="I229" s="328">
        <f t="shared" si="90"/>
        <v>24326.589202316867</v>
      </c>
      <c r="J229" s="331">
        <f t="shared" si="91"/>
        <v>1.570755219511341</v>
      </c>
      <c r="K229" s="339">
        <f t="shared" si="107"/>
        <v>4.1008696183683071</v>
      </c>
      <c r="L229" s="340">
        <f t="shared" si="108"/>
        <v>1.3244618668974584</v>
      </c>
      <c r="M229" s="328">
        <f t="shared" si="92"/>
        <v>1.0020842473084748</v>
      </c>
      <c r="N229" s="331">
        <f t="shared" si="93"/>
        <v>6.4507885765273498E-2</v>
      </c>
      <c r="O229" s="332">
        <f t="shared" si="94"/>
        <v>1.0006796629832044</v>
      </c>
      <c r="P229" s="333">
        <f t="shared" si="95"/>
        <v>9.3777992091914106E-2</v>
      </c>
      <c r="Q229" s="334">
        <f t="shared" si="96"/>
        <v>8.3656457252371581</v>
      </c>
      <c r="R229" s="335">
        <f t="shared" si="97"/>
        <v>-100.32839901897191</v>
      </c>
      <c r="S229" s="337">
        <f t="shared" si="98"/>
        <v>79.671600981028092</v>
      </c>
      <c r="U229" s="310">
        <f t="shared" si="103"/>
        <v>1000000000</v>
      </c>
      <c r="V229" s="310">
        <f t="shared" si="104"/>
        <v>179915275.5625</v>
      </c>
      <c r="X229" s="336">
        <f t="shared" si="99"/>
        <v>1.547869159913132</v>
      </c>
      <c r="Y229" s="337">
        <f t="shared" si="105"/>
        <v>-17.807599246913213</v>
      </c>
      <c r="AA229" s="336">
        <f t="shared" si="100"/>
        <v>6.8177765653240261</v>
      </c>
      <c r="AB229" s="337">
        <f t="shared" si="101"/>
        <v>-82.52079977205868</v>
      </c>
      <c r="AD229">
        <f t="shared" si="106"/>
        <v>0</v>
      </c>
      <c r="AE229">
        <f t="shared" si="109"/>
        <v>0</v>
      </c>
    </row>
    <row r="230" spans="1:31" x14ac:dyDescent="0.25">
      <c r="A230" s="338">
        <v>13490</v>
      </c>
      <c r="B230" s="355">
        <f t="shared" si="102"/>
        <v>13.49</v>
      </c>
      <c r="C230" s="328">
        <f t="shared" si="84"/>
        <v>4.6331708462457817</v>
      </c>
      <c r="D230" s="329">
        <f t="shared" si="85"/>
        <v>1.3532495164599969</v>
      </c>
      <c r="E230" s="329">
        <f t="shared" si="86"/>
        <v>1.0000156472532893</v>
      </c>
      <c r="F230" s="330">
        <f t="shared" si="87"/>
        <v>5.594112845032027E-3</v>
      </c>
      <c r="G230" s="329">
        <f t="shared" si="88"/>
        <v>1</v>
      </c>
      <c r="H230" s="330">
        <f t="shared" si="89"/>
        <v>0</v>
      </c>
      <c r="I230" s="328">
        <f t="shared" si="90"/>
        <v>24465.784827398915</v>
      </c>
      <c r="J230" s="331">
        <f t="shared" si="91"/>
        <v>1.5707554533871015</v>
      </c>
      <c r="K230" s="339">
        <f t="shared" si="107"/>
        <v>4.1229430376975289</v>
      </c>
      <c r="L230" s="340">
        <f t="shared" si="108"/>
        <v>1.3258078049264119</v>
      </c>
      <c r="M230" s="328">
        <f t="shared" si="92"/>
        <v>1.0021081423220932</v>
      </c>
      <c r="N230" s="331">
        <f t="shared" si="93"/>
        <v>6.4875965025796595E-2</v>
      </c>
      <c r="O230" s="332">
        <f t="shared" si="94"/>
        <v>1.000687540704341</v>
      </c>
      <c r="P230" s="333">
        <f t="shared" si="95"/>
        <v>9.4315432946861399E-2</v>
      </c>
      <c r="Q230" s="334">
        <f t="shared" si="96"/>
        <v>8.3152032884864919</v>
      </c>
      <c r="R230" s="335">
        <f t="shared" si="97"/>
        <v>-100.37042867689935</v>
      </c>
      <c r="S230" s="337">
        <f t="shared" si="98"/>
        <v>79.629571323100649</v>
      </c>
      <c r="U230" s="310">
        <f t="shared" si="103"/>
        <v>1000000000</v>
      </c>
      <c r="V230" s="310">
        <f t="shared" si="104"/>
        <v>181980100</v>
      </c>
      <c r="X230" s="336">
        <f t="shared" si="99"/>
        <v>1.5447308938516813</v>
      </c>
      <c r="Y230" s="337">
        <f t="shared" si="105"/>
        <v>-17.751585466552296</v>
      </c>
      <c r="AA230" s="336">
        <f t="shared" si="100"/>
        <v>6.7704723946348118</v>
      </c>
      <c r="AB230" s="337">
        <f t="shared" si="101"/>
        <v>-82.618843210347052</v>
      </c>
      <c r="AD230">
        <f t="shared" si="106"/>
        <v>0</v>
      </c>
      <c r="AE230">
        <f t="shared" si="109"/>
        <v>0</v>
      </c>
    </row>
    <row r="231" spans="1:31" x14ac:dyDescent="0.25">
      <c r="A231" s="338">
        <v>13568.5</v>
      </c>
      <c r="B231" s="355">
        <f t="shared" si="102"/>
        <v>13.5685</v>
      </c>
      <c r="C231" s="328">
        <f t="shared" si="84"/>
        <v>4.658879342333881</v>
      </c>
      <c r="D231" s="329">
        <f t="shared" si="85"/>
        <v>1.3544691164399596</v>
      </c>
      <c r="E231" s="329">
        <f t="shared" si="86"/>
        <v>1.0000158298883486</v>
      </c>
      <c r="F231" s="330">
        <f t="shared" si="87"/>
        <v>5.6266650034201126E-3</v>
      </c>
      <c r="G231" s="329">
        <f t="shared" si="88"/>
        <v>1</v>
      </c>
      <c r="H231" s="330">
        <f t="shared" si="89"/>
        <v>0</v>
      </c>
      <c r="I231" s="328">
        <f t="shared" si="90"/>
        <v>24608.154294096585</v>
      </c>
      <c r="J231" s="331">
        <f t="shared" si="91"/>
        <v>1.5707556898585249</v>
      </c>
      <c r="K231" s="339">
        <f t="shared" si="107"/>
        <v>4.1455274028287645</v>
      </c>
      <c r="L231" s="340">
        <f t="shared" si="108"/>
        <v>1.3271696023595949</v>
      </c>
      <c r="M231" s="328">
        <f t="shared" si="92"/>
        <v>1.0021327226131509</v>
      </c>
      <c r="N231" s="331">
        <f t="shared" si="93"/>
        <v>6.5252418762679079E-2</v>
      </c>
      <c r="O231" s="332">
        <f t="shared" si="94"/>
        <v>1.0006956463772174</v>
      </c>
      <c r="P231" s="333">
        <f t="shared" si="95"/>
        <v>9.4865143071843752E-2</v>
      </c>
      <c r="Q231" s="334">
        <f t="shared" si="96"/>
        <v>8.2639098321812305</v>
      </c>
      <c r="R231" s="335">
        <f t="shared" si="97"/>
        <v>-100.41349509096878</v>
      </c>
      <c r="S231" s="337">
        <f t="shared" si="98"/>
        <v>79.58650490903122</v>
      </c>
      <c r="U231" s="310">
        <f t="shared" si="103"/>
        <v>1000000000</v>
      </c>
      <c r="V231" s="310">
        <f t="shared" si="104"/>
        <v>184104192.25</v>
      </c>
      <c r="X231" s="336">
        <f t="shared" si="99"/>
        <v>1.5415691699753347</v>
      </c>
      <c r="Y231" s="337">
        <f t="shared" si="105"/>
        <v>-17.695142980134491</v>
      </c>
      <c r="AA231" s="336">
        <f t="shared" si="100"/>
        <v>6.7223406622058963</v>
      </c>
      <c r="AB231" s="337">
        <f t="shared" si="101"/>
        <v>-82.718352110834275</v>
      </c>
      <c r="AD231">
        <f t="shared" si="106"/>
        <v>0</v>
      </c>
      <c r="AE231">
        <f t="shared" si="109"/>
        <v>0</v>
      </c>
    </row>
    <row r="232" spans="1:31" x14ac:dyDescent="0.25">
      <c r="A232" s="338">
        <v>13647</v>
      </c>
      <c r="B232" s="355">
        <f t="shared" si="102"/>
        <v>13.647</v>
      </c>
      <c r="C232" s="328">
        <f t="shared" si="84"/>
        <v>4.6845946920864154</v>
      </c>
      <c r="D232" s="329">
        <f t="shared" si="85"/>
        <v>1.3556753285910783</v>
      </c>
      <c r="E232" s="329">
        <f t="shared" si="86"/>
        <v>1.0000160135830676</v>
      </c>
      <c r="F232" s="330">
        <f t="shared" si="87"/>
        <v>5.659217149883565E-3</v>
      </c>
      <c r="G232" s="329">
        <f t="shared" si="88"/>
        <v>1</v>
      </c>
      <c r="H232" s="330">
        <f t="shared" si="89"/>
        <v>0</v>
      </c>
      <c r="I232" s="328">
        <f t="shared" si="90"/>
        <v>24750.523760795611</v>
      </c>
      <c r="J232" s="331">
        <f t="shared" si="91"/>
        <v>1.5707559236094959</v>
      </c>
      <c r="K232" s="339">
        <f t="shared" si="107"/>
        <v>4.1681193724891319</v>
      </c>
      <c r="L232" s="340">
        <f t="shared" si="108"/>
        <v>1.3285166398858088</v>
      </c>
      <c r="M232" s="328">
        <f t="shared" si="92"/>
        <v>1.00215744491689</v>
      </c>
      <c r="N232" s="331">
        <f t="shared" si="93"/>
        <v>6.5628853979370919E-2</v>
      </c>
      <c r="O232" s="332">
        <f t="shared" si="94"/>
        <v>1.0007038009563791</v>
      </c>
      <c r="P232" s="333">
        <f t="shared" si="95"/>
        <v>9.5414868367821634E-2</v>
      </c>
      <c r="Q232" s="334">
        <f t="shared" si="96"/>
        <v>8.2129153046030829</v>
      </c>
      <c r="R232" s="335">
        <f t="shared" si="97"/>
        <v>-100.45663977224207</v>
      </c>
      <c r="S232" s="337">
        <f t="shared" si="98"/>
        <v>79.54336022775793</v>
      </c>
      <c r="U232" s="310">
        <f t="shared" si="103"/>
        <v>1000000000</v>
      </c>
      <c r="V232" s="310">
        <f t="shared" si="104"/>
        <v>186240609</v>
      </c>
      <c r="X232" s="336">
        <f t="shared" si="99"/>
        <v>1.5384550059373516</v>
      </c>
      <c r="Y232" s="337">
        <f t="shared" si="105"/>
        <v>-17.639544957093801</v>
      </c>
      <c r="AA232" s="336">
        <f t="shared" si="100"/>
        <v>6.674460298665732</v>
      </c>
      <c r="AB232" s="337">
        <f t="shared" si="101"/>
        <v>-82.817094815148266</v>
      </c>
      <c r="AD232">
        <f t="shared" si="106"/>
        <v>0</v>
      </c>
      <c r="AE232">
        <f t="shared" si="109"/>
        <v>0</v>
      </c>
    </row>
    <row r="233" spans="1:31" x14ac:dyDescent="0.25">
      <c r="A233" s="338">
        <v>13725.5</v>
      </c>
      <c r="B233" s="355">
        <f t="shared" si="102"/>
        <v>13.7255</v>
      </c>
      <c r="C233" s="328">
        <f t="shared" si="84"/>
        <v>4.7103167832533703</v>
      </c>
      <c r="D233" s="329">
        <f t="shared" si="85"/>
        <v>1.3568683686990597</v>
      </c>
      <c r="E233" s="329">
        <f t="shared" si="86"/>
        <v>1.0000161983374452</v>
      </c>
      <c r="F233" s="330">
        <f t="shared" si="87"/>
        <v>5.6917692843534012E-3</v>
      </c>
      <c r="G233" s="329">
        <f t="shared" si="88"/>
        <v>1</v>
      </c>
      <c r="H233" s="330">
        <f t="shared" si="89"/>
        <v>0</v>
      </c>
      <c r="I233" s="328">
        <f t="shared" si="90"/>
        <v>24892.893227495977</v>
      </c>
      <c r="J233" s="331">
        <f t="shared" si="91"/>
        <v>1.5707561546866917</v>
      </c>
      <c r="K233" s="339">
        <f t="shared" si="107"/>
        <v>4.1907188236916522</v>
      </c>
      <c r="L233" s="340">
        <f t="shared" si="108"/>
        <v>1.3298491513656447</v>
      </c>
      <c r="M233" s="328">
        <f t="shared" si="92"/>
        <v>1.0021823092228006</v>
      </c>
      <c r="N233" s="331">
        <f t="shared" si="93"/>
        <v>6.6005270570562338E-2</v>
      </c>
      <c r="O233" s="332">
        <f t="shared" si="94"/>
        <v>1.0007120044743267</v>
      </c>
      <c r="P233" s="333">
        <f t="shared" si="95"/>
        <v>9.5964608919923533E-2</v>
      </c>
      <c r="Q233" s="334">
        <f t="shared" si="96"/>
        <v>8.1622161654946428</v>
      </c>
      <c r="R233" s="335">
        <f t="shared" si="97"/>
        <v>-100.4998616866267</v>
      </c>
      <c r="S233" s="337">
        <f t="shared" si="98"/>
        <v>79.500138313373299</v>
      </c>
      <c r="U233" s="310">
        <f t="shared" si="103"/>
        <v>1000000000</v>
      </c>
      <c r="V233" s="310">
        <f t="shared" si="104"/>
        <v>188389350.25</v>
      </c>
      <c r="X233" s="336">
        <f t="shared" si="99"/>
        <v>1.5353873417088881</v>
      </c>
      <c r="Y233" s="337">
        <f t="shared" si="105"/>
        <v>-17.584777994845911</v>
      </c>
      <c r="AA233" s="336">
        <f t="shared" si="100"/>
        <v>6.6268288237857531</v>
      </c>
      <c r="AB233" s="337">
        <f t="shared" si="101"/>
        <v>-82.915083691780765</v>
      </c>
      <c r="AD233">
        <f t="shared" si="106"/>
        <v>0</v>
      </c>
      <c r="AE233">
        <f t="shared" si="109"/>
        <v>0</v>
      </c>
    </row>
    <row r="234" spans="1:31" x14ac:dyDescent="0.25">
      <c r="A234" s="338">
        <v>13804</v>
      </c>
      <c r="B234" s="355">
        <f t="shared" si="102"/>
        <v>13.804</v>
      </c>
      <c r="C234" s="328">
        <f t="shared" si="84"/>
        <v>4.736045505994201</v>
      </c>
      <c r="D234" s="329">
        <f t="shared" si="85"/>
        <v>1.3580484480123964</v>
      </c>
      <c r="E234" s="329">
        <f t="shared" si="86"/>
        <v>1.0000163841514811</v>
      </c>
      <c r="F234" s="330">
        <f t="shared" si="87"/>
        <v>5.7243214067606435E-3</v>
      </c>
      <c r="G234" s="329">
        <f t="shared" si="88"/>
        <v>1</v>
      </c>
      <c r="H234" s="330">
        <f t="shared" si="89"/>
        <v>0</v>
      </c>
      <c r="I234" s="328">
        <f t="shared" si="90"/>
        <v>25035.262694197656</v>
      </c>
      <c r="J234" s="331">
        <f t="shared" si="91"/>
        <v>1.5707563831357276</v>
      </c>
      <c r="K234" s="339">
        <f t="shared" si="107"/>
        <v>4.213325636047756</v>
      </c>
      <c r="L234" s="340">
        <f t="shared" si="108"/>
        <v>1.3311673658493692</v>
      </c>
      <c r="M234" s="328">
        <f t="shared" si="92"/>
        <v>1.0022073155203142</v>
      </c>
      <c r="N234" s="331">
        <f t="shared" si="93"/>
        <v>6.6381668430975052E-2</v>
      </c>
      <c r="O234" s="332">
        <f t="shared" si="94"/>
        <v>1.0007202569637463</v>
      </c>
      <c r="P234" s="333">
        <f t="shared" si="95"/>
        <v>9.6514364813232181E-2</v>
      </c>
      <c r="Q234" s="334">
        <f t="shared" si="96"/>
        <v>8.1118089368670958</v>
      </c>
      <c r="R234" s="335">
        <f t="shared" si="97"/>
        <v>-100.54315981561653</v>
      </c>
      <c r="S234" s="337">
        <f t="shared" si="98"/>
        <v>79.456840184383466</v>
      </c>
      <c r="U234" s="310">
        <f t="shared" si="103"/>
        <v>1000000000</v>
      </c>
      <c r="V234" s="310">
        <f t="shared" si="104"/>
        <v>190550416</v>
      </c>
      <c r="X234" s="336">
        <f t="shared" si="99"/>
        <v>1.5323651456390222</v>
      </c>
      <c r="Y234" s="337">
        <f t="shared" si="105"/>
        <v>-17.530828966358836</v>
      </c>
      <c r="AA234" s="336">
        <f t="shared" si="100"/>
        <v>6.5794437912280728</v>
      </c>
      <c r="AB234" s="337">
        <f t="shared" si="101"/>
        <v>-83.012330849257694</v>
      </c>
      <c r="AD234">
        <f t="shared" si="106"/>
        <v>0</v>
      </c>
      <c r="AE234">
        <f t="shared" si="109"/>
        <v>0</v>
      </c>
    </row>
    <row r="235" spans="1:31" x14ac:dyDescent="0.25">
      <c r="A235" s="338">
        <v>13884.25</v>
      </c>
      <c r="B235" s="355">
        <f t="shared" si="102"/>
        <v>13.88425</v>
      </c>
      <c r="C235" s="328">
        <f t="shared" si="84"/>
        <v>4.7623545420371496</v>
      </c>
      <c r="D235" s="329">
        <f t="shared" si="85"/>
        <v>1.3592416527677753</v>
      </c>
      <c r="E235" s="329">
        <f t="shared" si="86"/>
        <v>1.0000165752032235</v>
      </c>
      <c r="F235" s="330">
        <f t="shared" si="87"/>
        <v>5.7575992008845785E-3</v>
      </c>
      <c r="G235" s="329">
        <f t="shared" si="88"/>
        <v>1</v>
      </c>
      <c r="H235" s="330">
        <f t="shared" si="89"/>
        <v>0</v>
      </c>
      <c r="I235" s="328">
        <f t="shared" si="90"/>
        <v>25180.806002515037</v>
      </c>
      <c r="J235" s="331">
        <f t="shared" si="91"/>
        <v>1.570756614007301</v>
      </c>
      <c r="K235" s="339">
        <f t="shared" si="107"/>
        <v>4.2364439083450485</v>
      </c>
      <c r="L235" s="340">
        <f t="shared" si="108"/>
        <v>1.3325004222622867</v>
      </c>
      <c r="M235" s="328">
        <f t="shared" si="92"/>
        <v>1.0022330260470034</v>
      </c>
      <c r="N235" s="331">
        <f t="shared" si="93"/>
        <v>6.6766437855111396E-2</v>
      </c>
      <c r="O235" s="332">
        <f t="shared" si="94"/>
        <v>1.0007287440813157</v>
      </c>
      <c r="P235" s="333">
        <f t="shared" si="95"/>
        <v>9.7076392357743985E-2</v>
      </c>
      <c r="Q235" s="334">
        <f t="shared" si="96"/>
        <v>8.0605761663794198</v>
      </c>
      <c r="R235" s="335">
        <f t="shared" si="97"/>
        <v>-100.5875009271036</v>
      </c>
      <c r="S235" s="337">
        <f t="shared" si="98"/>
        <v>79.412499072896395</v>
      </c>
      <c r="U235" s="310">
        <f t="shared" si="103"/>
        <v>1000000000</v>
      </c>
      <c r="V235" s="310">
        <f t="shared" si="104"/>
        <v>192772398.0625</v>
      </c>
      <c r="X235" s="336">
        <f t="shared" si="99"/>
        <v>1.529321530102886</v>
      </c>
      <c r="Y235" s="337">
        <f t="shared" si="105"/>
        <v>-17.476509352039201</v>
      </c>
      <c r="AA235" s="336">
        <f t="shared" si="100"/>
        <v>6.5312546362765334</v>
      </c>
      <c r="AB235" s="337">
        <f t="shared" si="101"/>
        <v>-83.110991575064403</v>
      </c>
      <c r="AD235">
        <f t="shared" si="106"/>
        <v>0</v>
      </c>
      <c r="AE235">
        <f t="shared" si="109"/>
        <v>0</v>
      </c>
    </row>
    <row r="236" spans="1:31" x14ac:dyDescent="0.25">
      <c r="A236" s="338">
        <v>13964.5</v>
      </c>
      <c r="B236" s="355">
        <f t="shared" si="102"/>
        <v>13.964499999999999</v>
      </c>
      <c r="C236" s="328">
        <f t="shared" si="84"/>
        <v>4.7886702839150317</v>
      </c>
      <c r="D236" s="329">
        <f t="shared" si="85"/>
        <v>1.3604217448716551</v>
      </c>
      <c r="E236" s="329">
        <f t="shared" si="86"/>
        <v>1.0000167673623954</v>
      </c>
      <c r="F236" s="330">
        <f t="shared" si="87"/>
        <v>5.7908769822563131E-3</v>
      </c>
      <c r="G236" s="329">
        <f t="shared" si="88"/>
        <v>1</v>
      </c>
      <c r="H236" s="330">
        <f t="shared" si="89"/>
        <v>0</v>
      </c>
      <c r="I236" s="328">
        <f t="shared" si="90"/>
        <v>25326.349310833746</v>
      </c>
      <c r="J236" s="331">
        <f t="shared" si="91"/>
        <v>1.5707568422253684</v>
      </c>
      <c r="K236" s="339">
        <f t="shared" si="107"/>
        <v>4.259569627244244</v>
      </c>
      <c r="L236" s="340">
        <f t="shared" si="108"/>
        <v>1.333819006348105</v>
      </c>
      <c r="M236" s="328">
        <f t="shared" si="92"/>
        <v>1.0022588849441709</v>
      </c>
      <c r="N236" s="331">
        <f t="shared" si="93"/>
        <v>6.7151187481629779E-2</v>
      </c>
      <c r="O236" s="332">
        <f t="shared" si="94"/>
        <v>1.0007372824478127</v>
      </c>
      <c r="P236" s="333">
        <f t="shared" si="95"/>
        <v>9.7638436114761307E-2</v>
      </c>
      <c r="Q236" s="334">
        <f t="shared" si="96"/>
        <v>8.0096413088988339</v>
      </c>
      <c r="R236" s="335">
        <f t="shared" si="97"/>
        <v>-100.63191958554827</v>
      </c>
      <c r="S236" s="337">
        <f t="shared" si="98"/>
        <v>79.368080414451725</v>
      </c>
      <c r="U236" s="310">
        <f t="shared" si="103"/>
        <v>1000000000</v>
      </c>
      <c r="V236" s="310">
        <f t="shared" si="104"/>
        <v>195007260.25</v>
      </c>
      <c r="X236" s="336">
        <f t="shared" si="99"/>
        <v>1.5263233391310373</v>
      </c>
      <c r="Y236" s="337">
        <f t="shared" si="105"/>
        <v>-17.423017654628378</v>
      </c>
      <c r="AA236" s="336">
        <f t="shared" si="100"/>
        <v>6.4833179697677945</v>
      </c>
      <c r="AB236" s="337">
        <f t="shared" si="101"/>
        <v>-83.208901930919907</v>
      </c>
      <c r="AD236">
        <f t="shared" si="106"/>
        <v>0</v>
      </c>
      <c r="AE236">
        <f t="shared" si="109"/>
        <v>0</v>
      </c>
    </row>
    <row r="237" spans="1:31" x14ac:dyDescent="0.25">
      <c r="A237" s="338">
        <v>14044.75</v>
      </c>
      <c r="B237" s="355">
        <f t="shared" si="102"/>
        <v>14.044750000000001</v>
      </c>
      <c r="C237" s="328">
        <f t="shared" si="84"/>
        <v>4.814992621678134</v>
      </c>
      <c r="D237" s="329">
        <f t="shared" si="85"/>
        <v>1.3615889360605402</v>
      </c>
      <c r="E237" s="329">
        <f t="shared" si="86"/>
        <v>1.0000169606289964</v>
      </c>
      <c r="F237" s="330">
        <f t="shared" si="87"/>
        <v>5.8241547508021503E-3</v>
      </c>
      <c r="G237" s="329">
        <f t="shared" si="88"/>
        <v>1</v>
      </c>
      <c r="H237" s="330">
        <f t="shared" si="89"/>
        <v>0</v>
      </c>
      <c r="I237" s="328">
        <f t="shared" si="90"/>
        <v>25471.892619153758</v>
      </c>
      <c r="J237" s="331">
        <f t="shared" si="91"/>
        <v>1.570757067835415</v>
      </c>
      <c r="K237" s="339">
        <f t="shared" si="107"/>
        <v>4.2827026721149624</v>
      </c>
      <c r="L237" s="340">
        <f t="shared" si="108"/>
        <v>1.3351233480012386</v>
      </c>
      <c r="M237" s="328">
        <f t="shared" si="92"/>
        <v>1.0022848922003329</v>
      </c>
      <c r="N237" s="331">
        <f t="shared" si="93"/>
        <v>6.7535917198156256E-2</v>
      </c>
      <c r="O237" s="332">
        <f t="shared" si="94"/>
        <v>1.0007458720987625</v>
      </c>
      <c r="P237" s="333">
        <f t="shared" si="95"/>
        <v>9.8200496175034749E-2</v>
      </c>
      <c r="Q237" s="334">
        <f t="shared" si="96"/>
        <v>7.9590008411186304</v>
      </c>
      <c r="R237" s="335">
        <f t="shared" si="97"/>
        <v>-100.67641475195042</v>
      </c>
      <c r="S237" s="337">
        <f t="shared" si="98"/>
        <v>79.323585248049582</v>
      </c>
      <c r="U237" s="310">
        <f t="shared" si="103"/>
        <v>1000000000</v>
      </c>
      <c r="V237" s="310">
        <f t="shared" si="104"/>
        <v>197255002.5625</v>
      </c>
      <c r="X237" s="336">
        <f t="shared" si="99"/>
        <v>1.5233695567649534</v>
      </c>
      <c r="Y237" s="337">
        <f t="shared" si="105"/>
        <v>-17.370340698314237</v>
      </c>
      <c r="AA237" s="336">
        <f t="shared" si="100"/>
        <v>6.4356312843536791</v>
      </c>
      <c r="AB237" s="337">
        <f t="shared" si="101"/>
        <v>-83.306074053636152</v>
      </c>
      <c r="AD237">
        <f t="shared" si="106"/>
        <v>0</v>
      </c>
      <c r="AE237">
        <f t="shared" si="109"/>
        <v>0</v>
      </c>
    </row>
    <row r="238" spans="1:31" x14ac:dyDescent="0.25">
      <c r="A238" s="338">
        <v>14125</v>
      </c>
      <c r="B238" s="355">
        <f t="shared" si="102"/>
        <v>14.125</v>
      </c>
      <c r="C238" s="328">
        <f t="shared" si="84"/>
        <v>4.8413214477406763</v>
      </c>
      <c r="D238" s="329">
        <f t="shared" si="85"/>
        <v>1.3627434336072828</v>
      </c>
      <c r="E238" s="329">
        <f t="shared" si="86"/>
        <v>1.0000171550030255</v>
      </c>
      <c r="F238" s="330">
        <f t="shared" si="87"/>
        <v>5.8574325064483937E-3</v>
      </c>
      <c r="G238" s="329">
        <f t="shared" si="88"/>
        <v>1</v>
      </c>
      <c r="H238" s="330">
        <f t="shared" si="89"/>
        <v>0</v>
      </c>
      <c r="I238" s="328">
        <f t="shared" si="90"/>
        <v>25617.435927475053</v>
      </c>
      <c r="J238" s="331">
        <f t="shared" si="91"/>
        <v>1.5707572908818925</v>
      </c>
      <c r="K238" s="339">
        <f t="shared" si="107"/>
        <v>4.3058429248813495</v>
      </c>
      <c r="L238" s="340">
        <f t="shared" si="108"/>
        <v>1.3364136723703541</v>
      </c>
      <c r="M238" s="328">
        <f t="shared" si="92"/>
        <v>1.002311047803941</v>
      </c>
      <c r="N238" s="331">
        <f t="shared" si="93"/>
        <v>6.7920626892352037E-2</v>
      </c>
      <c r="O238" s="332">
        <f t="shared" si="94"/>
        <v>1.0007545130698929</v>
      </c>
      <c r="P238" s="333">
        <f t="shared" si="95"/>
        <v>9.8762572629263773E-2</v>
      </c>
      <c r="Q238" s="334">
        <f t="shared" si="96"/>
        <v>7.9086513016160289</v>
      </c>
      <c r="R238" s="335">
        <f t="shared" si="97"/>
        <v>-100.72098540341248</v>
      </c>
      <c r="S238" s="337">
        <f t="shared" si="98"/>
        <v>79.279014596587515</v>
      </c>
      <c r="U238" s="310">
        <f t="shared" si="103"/>
        <v>1000000000</v>
      </c>
      <c r="V238" s="310">
        <f t="shared" si="104"/>
        <v>199515625</v>
      </c>
      <c r="X238" s="336">
        <f t="shared" si="99"/>
        <v>1.5204591942870285</v>
      </c>
      <c r="Y238" s="337">
        <f t="shared" si="105"/>
        <v>-17.318465579138742</v>
      </c>
      <c r="AA238" s="336">
        <f t="shared" si="100"/>
        <v>6.3881921073289991</v>
      </c>
      <c r="AB238" s="337">
        <f t="shared" si="101"/>
        <v>-83.402519824273725</v>
      </c>
      <c r="AD238">
        <f t="shared" si="106"/>
        <v>0</v>
      </c>
      <c r="AE238">
        <f t="shared" si="109"/>
        <v>0</v>
      </c>
    </row>
    <row r="239" spans="1:31" x14ac:dyDescent="0.25">
      <c r="A239" s="338">
        <v>14207.25</v>
      </c>
      <c r="B239" s="355">
        <f t="shared" si="102"/>
        <v>14.20725</v>
      </c>
      <c r="C239" s="328">
        <f t="shared" si="84"/>
        <v>4.8683130666450269</v>
      </c>
      <c r="D239" s="329">
        <f t="shared" si="85"/>
        <v>1.3639137438604525</v>
      </c>
      <c r="E239" s="329">
        <f t="shared" si="86"/>
        <v>1.0000173553704375</v>
      </c>
      <c r="F239" s="330">
        <f t="shared" si="87"/>
        <v>5.8915396007973384E-3</v>
      </c>
      <c r="G239" s="329">
        <f t="shared" si="88"/>
        <v>1</v>
      </c>
      <c r="H239" s="330">
        <f t="shared" si="89"/>
        <v>0</v>
      </c>
      <c r="I239" s="328">
        <f t="shared" si="90"/>
        <v>25766.606483357064</v>
      </c>
      <c r="J239" s="331">
        <f t="shared" si="91"/>
        <v>1.5707575168724144</v>
      </c>
      <c r="K239" s="339">
        <f t="shared" si="107"/>
        <v>4.3295672404296273</v>
      </c>
      <c r="L239" s="340">
        <f t="shared" si="108"/>
        <v>1.3377218394142218</v>
      </c>
      <c r="M239" s="328">
        <f t="shared" si="92"/>
        <v>1.0023380091876619</v>
      </c>
      <c r="N239" s="331">
        <f t="shared" si="93"/>
        <v>6.8314903472537075E-2</v>
      </c>
      <c r="O239" s="332">
        <f t="shared" si="94"/>
        <v>1.0007634226845548</v>
      </c>
      <c r="P239" s="333">
        <f t="shared" si="95"/>
        <v>9.9338674326174645E-2</v>
      </c>
      <c r="Q239" s="334">
        <f t="shared" si="96"/>
        <v>7.8573452812758422</v>
      </c>
      <c r="R239" s="335">
        <f t="shared" si="97"/>
        <v>-100.76674412673482</v>
      </c>
      <c r="S239" s="337">
        <f t="shared" si="98"/>
        <v>79.233255873265179</v>
      </c>
      <c r="U239" s="310">
        <f t="shared" si="103"/>
        <v>1000000000</v>
      </c>
      <c r="V239" s="310">
        <f t="shared" si="104"/>
        <v>201845952.5625</v>
      </c>
      <c r="X239" s="336">
        <f t="shared" si="99"/>
        <v>1.5175203492138154</v>
      </c>
      <c r="Y239" s="337">
        <f t="shared" si="105"/>
        <v>-17.266116460875761</v>
      </c>
      <c r="AA239" s="336">
        <f t="shared" si="100"/>
        <v>6.3398249320620259</v>
      </c>
      <c r="AB239" s="337">
        <f t="shared" si="101"/>
        <v>-83.500627665859014</v>
      </c>
      <c r="AD239">
        <f t="shared" si="106"/>
        <v>0</v>
      </c>
      <c r="AE239">
        <f t="shared" si="109"/>
        <v>0</v>
      </c>
    </row>
    <row r="240" spans="1:31" x14ac:dyDescent="0.25">
      <c r="A240" s="338">
        <v>14289.5</v>
      </c>
      <c r="B240" s="355">
        <f t="shared" si="102"/>
        <v>14.2895</v>
      </c>
      <c r="C240" s="328">
        <f t="shared" si="84"/>
        <v>4.8953112797835887</v>
      </c>
      <c r="D240" s="329">
        <f t="shared" si="85"/>
        <v>1.3650711468889807</v>
      </c>
      <c r="E240" s="329">
        <f t="shared" si="86"/>
        <v>1.0000175569011633</v>
      </c>
      <c r="F240" s="330">
        <f t="shared" si="87"/>
        <v>5.9256466814389466E-3</v>
      </c>
      <c r="G240" s="329">
        <f t="shared" si="88"/>
        <v>1</v>
      </c>
      <c r="H240" s="330">
        <f t="shared" si="89"/>
        <v>0</v>
      </c>
      <c r="I240" s="328">
        <f t="shared" si="90"/>
        <v>25915.77703924038</v>
      </c>
      <c r="J240" s="331">
        <f t="shared" si="91"/>
        <v>1.5707577402613446</v>
      </c>
      <c r="K240" s="339">
        <f t="shared" si="107"/>
        <v>4.3532988844071259</v>
      </c>
      <c r="L240" s="340">
        <f t="shared" si="108"/>
        <v>1.3390157459263019</v>
      </c>
      <c r="M240" s="328">
        <f t="shared" si="92"/>
        <v>1.0023651263804609</v>
      </c>
      <c r="N240" s="331">
        <f t="shared" si="93"/>
        <v>6.8709158781114846E-2</v>
      </c>
      <c r="O240" s="332">
        <f t="shared" si="94"/>
        <v>1.0007723862859395</v>
      </c>
      <c r="P240" s="333">
        <f t="shared" si="95"/>
        <v>9.991479343712939E-2</v>
      </c>
      <c r="Q240" s="334">
        <f t="shared" si="96"/>
        <v>7.806337701364332</v>
      </c>
      <c r="R240" s="335">
        <f t="shared" si="97"/>
        <v>-100.81258001954811</v>
      </c>
      <c r="S240" s="337">
        <f t="shared" si="98"/>
        <v>79.187419980451892</v>
      </c>
      <c r="U240" s="310">
        <f t="shared" si="103"/>
        <v>1000000000</v>
      </c>
      <c r="V240" s="310">
        <f t="shared" si="104"/>
        <v>204189810.25</v>
      </c>
      <c r="X240" s="336">
        <f t="shared" si="99"/>
        <v>1.5146250961714598</v>
      </c>
      <c r="Y240" s="337">
        <f t="shared" si="105"/>
        <v>-17.214583043065229</v>
      </c>
      <c r="AA240" s="336">
        <f t="shared" si="100"/>
        <v>6.2917126051928705</v>
      </c>
      <c r="AB240" s="337">
        <f t="shared" si="101"/>
        <v>-83.597996976482847</v>
      </c>
      <c r="AD240">
        <f t="shared" si="106"/>
        <v>0</v>
      </c>
      <c r="AE240">
        <f t="shared" si="109"/>
        <v>0</v>
      </c>
    </row>
    <row r="241" spans="1:31" x14ac:dyDescent="0.25">
      <c r="A241" s="338">
        <v>14371.75</v>
      </c>
      <c r="B241" s="355">
        <f t="shared" si="102"/>
        <v>14.37175</v>
      </c>
      <c r="C241" s="328">
        <f t="shared" si="84"/>
        <v>4.9223159786510111</v>
      </c>
      <c r="D241" s="329">
        <f t="shared" si="85"/>
        <v>1.3662158520001815</v>
      </c>
      <c r="E241" s="329">
        <f t="shared" si="86"/>
        <v>1.0000177595952022</v>
      </c>
      <c r="F241" s="330">
        <f t="shared" si="87"/>
        <v>5.9597537482938721E-3</v>
      </c>
      <c r="G241" s="329">
        <f t="shared" si="88"/>
        <v>1</v>
      </c>
      <c r="H241" s="330">
        <f t="shared" si="89"/>
        <v>0</v>
      </c>
      <c r="I241" s="328">
        <f t="shared" si="90"/>
        <v>26064.94759512497</v>
      </c>
      <c r="J241" s="331">
        <f t="shared" si="91"/>
        <v>1.5707579610933506</v>
      </c>
      <c r="K241" s="339">
        <f t="shared" si="107"/>
        <v>4.3770377376129055</v>
      </c>
      <c r="L241" s="340">
        <f t="shared" si="108"/>
        <v>1.3402956195643603</v>
      </c>
      <c r="M241" s="328">
        <f t="shared" si="92"/>
        <v>1.0023923993696933</v>
      </c>
      <c r="N241" s="331">
        <f t="shared" si="93"/>
        <v>6.9103392697252755E-2</v>
      </c>
      <c r="O241" s="332">
        <f t="shared" si="94"/>
        <v>1.0007814039131775</v>
      </c>
      <c r="P241" s="333">
        <f t="shared" si="95"/>
        <v>0.10049093005960982</v>
      </c>
      <c r="Q241" s="334">
        <f t="shared" si="96"/>
        <v>7.755625028208132</v>
      </c>
      <c r="R241" s="335">
        <f t="shared" si="97"/>
        <v>-100.85849203167484</v>
      </c>
      <c r="S241" s="337">
        <f t="shared" si="98"/>
        <v>79.141507968325158</v>
      </c>
      <c r="U241" s="310">
        <f t="shared" si="103"/>
        <v>1000000000</v>
      </c>
      <c r="V241" s="310">
        <f t="shared" si="104"/>
        <v>206547198.0625</v>
      </c>
      <c r="X241" s="336">
        <f t="shared" si="99"/>
        <v>1.5117724541770652</v>
      </c>
      <c r="Y241" s="337">
        <f t="shared" si="105"/>
        <v>-17.16385227751401</v>
      </c>
      <c r="AA241" s="336">
        <f t="shared" si="100"/>
        <v>6.2438525740310649</v>
      </c>
      <c r="AB241" s="337">
        <f t="shared" si="101"/>
        <v>-83.694639754160832</v>
      </c>
      <c r="AD241">
        <f t="shared" si="106"/>
        <v>0</v>
      </c>
      <c r="AE241">
        <f t="shared" si="109"/>
        <v>0</v>
      </c>
    </row>
    <row r="242" spans="1:31" x14ac:dyDescent="0.25">
      <c r="A242" s="338">
        <v>14454</v>
      </c>
      <c r="B242" s="355">
        <f t="shared" si="102"/>
        <v>14.454000000000001</v>
      </c>
      <c r="C242" s="328">
        <f t="shared" si="84"/>
        <v>4.9493270570842833</v>
      </c>
      <c r="D242" s="329">
        <f t="shared" si="85"/>
        <v>1.3673480640669309</v>
      </c>
      <c r="E242" s="329">
        <f t="shared" si="86"/>
        <v>1.0000179634525532</v>
      </c>
      <c r="F242" s="330">
        <f t="shared" si="87"/>
        <v>5.9938608012827712E-3</v>
      </c>
      <c r="G242" s="329">
        <f t="shared" si="88"/>
        <v>1</v>
      </c>
      <c r="H242" s="330">
        <f t="shared" si="89"/>
        <v>0</v>
      </c>
      <c r="I242" s="328">
        <f t="shared" si="90"/>
        <v>26214.118151010814</v>
      </c>
      <c r="J242" s="331">
        <f t="shared" si="91"/>
        <v>1.5707581794120824</v>
      </c>
      <c r="K242" s="339">
        <f t="shared" si="107"/>
        <v>4.4007836833821914</v>
      </c>
      <c r="L242" s="340">
        <f t="shared" si="108"/>
        <v>1.3415616832586819</v>
      </c>
      <c r="M242" s="328">
        <f t="shared" si="92"/>
        <v>1.0024198281426422</v>
      </c>
      <c r="N242" s="331">
        <f t="shared" si="93"/>
        <v>6.9497605100157955E-2</v>
      </c>
      <c r="O242" s="332">
        <f t="shared" si="94"/>
        <v>1.0007904756056236</v>
      </c>
      <c r="P242" s="333">
        <f t="shared" si="95"/>
        <v>0.10106708429104001</v>
      </c>
      <c r="Q242" s="334">
        <f t="shared" si="96"/>
        <v>7.7052037902687971</v>
      </c>
      <c r="R242" s="335">
        <f t="shared" si="97"/>
        <v>-100.9044791296683</v>
      </c>
      <c r="S242" s="337">
        <f t="shared" si="98"/>
        <v>79.095520870331697</v>
      </c>
      <c r="U242" s="310">
        <f t="shared" si="103"/>
        <v>1000000000</v>
      </c>
      <c r="V242" s="310">
        <f t="shared" si="104"/>
        <v>208918116</v>
      </c>
      <c r="X242" s="336">
        <f t="shared" si="99"/>
        <v>1.5089614686563255</v>
      </c>
      <c r="Y242" s="337">
        <f t="shared" si="105"/>
        <v>-17.113911386837664</v>
      </c>
      <c r="AA242" s="336">
        <f t="shared" si="100"/>
        <v>6.1962423216124733</v>
      </c>
      <c r="AB242" s="337">
        <f t="shared" si="101"/>
        <v>-83.790567742830632</v>
      </c>
      <c r="AD242">
        <f t="shared" si="106"/>
        <v>0</v>
      </c>
      <c r="AE242">
        <f t="shared" si="109"/>
        <v>0</v>
      </c>
    </row>
    <row r="243" spans="1:31" x14ac:dyDescent="0.25">
      <c r="A243" s="338">
        <v>14622.5</v>
      </c>
      <c r="B243" s="355">
        <f t="shared" si="102"/>
        <v>14.6225</v>
      </c>
      <c r="C243" s="328">
        <f t="shared" si="84"/>
        <v>5.0046823091590227</v>
      </c>
      <c r="D243" s="329">
        <f t="shared" si="85"/>
        <v>1.3696293779130668</v>
      </c>
      <c r="E243" s="329">
        <f t="shared" si="86"/>
        <v>1.0000183847140358</v>
      </c>
      <c r="F243" s="330">
        <f t="shared" si="87"/>
        <v>6.0637335652909867E-3</v>
      </c>
      <c r="G243" s="329">
        <f t="shared" si="88"/>
        <v>1</v>
      </c>
      <c r="H243" s="330">
        <f t="shared" si="89"/>
        <v>0</v>
      </c>
      <c r="I243" s="328">
        <f t="shared" si="90"/>
        <v>26519.713757905414</v>
      </c>
      <c r="J243" s="331">
        <f t="shared" si="91"/>
        <v>1.5707586189972422</v>
      </c>
      <c r="K243" s="339">
        <f t="shared" si="107"/>
        <v>4.4494520627533616</v>
      </c>
      <c r="L243" s="340">
        <f t="shared" si="108"/>
        <v>1.3441131720671999</v>
      </c>
      <c r="M243" s="328">
        <f t="shared" si="92"/>
        <v>1.0024765060323011</v>
      </c>
      <c r="N243" s="331">
        <f t="shared" si="93"/>
        <v>7.0305133640243184E-2</v>
      </c>
      <c r="O243" s="332">
        <f t="shared" si="94"/>
        <v>1.000809229166929</v>
      </c>
      <c r="P243" s="333">
        <f t="shared" si="95"/>
        <v>0.10224746781141518</v>
      </c>
      <c r="Q243" s="334">
        <f t="shared" si="96"/>
        <v>7.602804991967246</v>
      </c>
      <c r="R243" s="335">
        <f t="shared" si="97"/>
        <v>-100.99891998770298</v>
      </c>
      <c r="S243" s="337">
        <f t="shared" si="98"/>
        <v>79.001080012297024</v>
      </c>
      <c r="U243" s="310">
        <f t="shared" si="103"/>
        <v>1000000000</v>
      </c>
      <c r="V243" s="310">
        <f t="shared" si="104"/>
        <v>213817506.25</v>
      </c>
      <c r="X243" s="336">
        <f t="shared" si="99"/>
        <v>1.5033289886751695</v>
      </c>
      <c r="Y243" s="337">
        <f t="shared" si="105"/>
        <v>-17.014015010078207</v>
      </c>
      <c r="AA243" s="336">
        <f t="shared" si="100"/>
        <v>6.099476003292077</v>
      </c>
      <c r="AB243" s="337">
        <f t="shared" si="101"/>
        <v>-83.984904977624765</v>
      </c>
      <c r="AD243">
        <f t="shared" si="106"/>
        <v>0</v>
      </c>
      <c r="AE243">
        <f t="shared" si="109"/>
        <v>0</v>
      </c>
    </row>
    <row r="244" spans="1:31" x14ac:dyDescent="0.25">
      <c r="A244" s="338">
        <v>14706.75</v>
      </c>
      <c r="B244" s="355">
        <f t="shared" si="102"/>
        <v>14.70675</v>
      </c>
      <c r="C244" s="328">
        <f t="shared" si="84"/>
        <v>5.0323695413982703</v>
      </c>
      <c r="D244" s="329">
        <f t="shared" si="85"/>
        <v>1.3707512113581295</v>
      </c>
      <c r="E244" s="329">
        <f t="shared" si="86"/>
        <v>1.0000185971756357</v>
      </c>
      <c r="F244" s="330">
        <f t="shared" si="87"/>
        <v>6.0986699251341942E-3</v>
      </c>
      <c r="G244" s="329">
        <f t="shared" si="88"/>
        <v>1</v>
      </c>
      <c r="H244" s="330">
        <f t="shared" si="89"/>
        <v>0</v>
      </c>
      <c r="I244" s="328">
        <f t="shared" si="90"/>
        <v>26672.5115613546</v>
      </c>
      <c r="J244" s="331">
        <f t="shared" si="91"/>
        <v>1.5707588350124699</v>
      </c>
      <c r="K244" s="339">
        <f t="shared" si="107"/>
        <v>4.4737969375532467</v>
      </c>
      <c r="L244" s="340">
        <f t="shared" si="108"/>
        <v>1.3453680950372873</v>
      </c>
      <c r="M244" s="328">
        <f t="shared" si="92"/>
        <v>1.0025050901002774</v>
      </c>
      <c r="N244" s="331">
        <f t="shared" si="93"/>
        <v>7.0708863537666755E-2</v>
      </c>
      <c r="O244" s="332">
        <f t="shared" si="94"/>
        <v>1.0008186912068009</v>
      </c>
      <c r="P244" s="333">
        <f t="shared" si="95"/>
        <v>0.10283768769980885</v>
      </c>
      <c r="Q244" s="334">
        <f t="shared" si="96"/>
        <v>7.5520499565872399</v>
      </c>
      <c r="R244" s="335">
        <f t="shared" si="97"/>
        <v>-101.0462543182413</v>
      </c>
      <c r="S244" s="337">
        <f t="shared" si="98"/>
        <v>78.953745681758704</v>
      </c>
      <c r="U244" s="310">
        <f t="shared" si="103"/>
        <v>1000000000</v>
      </c>
      <c r="V244" s="310">
        <f t="shared" si="104"/>
        <v>216288495.5625</v>
      </c>
      <c r="X244" s="336">
        <f t="shared" si="99"/>
        <v>1.5005744447502154</v>
      </c>
      <c r="Y244" s="337">
        <f t="shared" si="105"/>
        <v>-16.965257616168945</v>
      </c>
      <c r="AA244" s="336">
        <f t="shared" si="100"/>
        <v>6.0514755118370243</v>
      </c>
      <c r="AB244" s="337">
        <f t="shared" si="101"/>
        <v>-84.080996702072355</v>
      </c>
      <c r="AD244">
        <f t="shared" si="106"/>
        <v>0</v>
      </c>
      <c r="AE244">
        <f t="shared" si="109"/>
        <v>0</v>
      </c>
    </row>
    <row r="245" spans="1:31" x14ac:dyDescent="0.25">
      <c r="A245" s="338">
        <v>14791</v>
      </c>
      <c r="B245" s="355">
        <f t="shared" si="102"/>
        <v>14.791</v>
      </c>
      <c r="C245" s="328">
        <f t="shared" si="84"/>
        <v>5.0600630376137623</v>
      </c>
      <c r="D245" s="329">
        <f t="shared" si="85"/>
        <v>1.371860766699428</v>
      </c>
      <c r="E245" s="329">
        <f t="shared" si="86"/>
        <v>1.0000188108578072</v>
      </c>
      <c r="F245" s="330">
        <f t="shared" si="87"/>
        <v>6.1336062700897689E-3</v>
      </c>
      <c r="G245" s="329">
        <f t="shared" si="88"/>
        <v>1</v>
      </c>
      <c r="H245" s="330">
        <f t="shared" si="89"/>
        <v>0</v>
      </c>
      <c r="I245" s="328">
        <f t="shared" si="90"/>
        <v>26825.30936480502</v>
      </c>
      <c r="J245" s="331">
        <f t="shared" si="91"/>
        <v>1.5707590485668386</v>
      </c>
      <c r="K245" s="339">
        <f t="shared" si="107"/>
        <v>4.498148781560718</v>
      </c>
      <c r="L245" s="340">
        <f t="shared" si="108"/>
        <v>1.3466094322712134</v>
      </c>
      <c r="M245" s="328">
        <f t="shared" si="92"/>
        <v>1.0025338375650743</v>
      </c>
      <c r="N245" s="331">
        <f t="shared" si="93"/>
        <v>7.1112570347136347E-2</v>
      </c>
      <c r="O245" s="332">
        <f t="shared" si="94"/>
        <v>1.0008282101437678</v>
      </c>
      <c r="P245" s="333">
        <f t="shared" si="95"/>
        <v>0.10342792647962726</v>
      </c>
      <c r="Q245" s="334">
        <f t="shared" si="96"/>
        <v>7.501586509195489</v>
      </c>
      <c r="R245" s="335">
        <f t="shared" si="97"/>
        <v>-101.09366319000995</v>
      </c>
      <c r="S245" s="337">
        <f t="shared" si="98"/>
        <v>78.906336809990052</v>
      </c>
      <c r="U245" s="310">
        <f t="shared" si="103"/>
        <v>1000000000</v>
      </c>
      <c r="V245" s="310">
        <f t="shared" si="104"/>
        <v>218773681</v>
      </c>
      <c r="X245" s="336">
        <f t="shared" si="99"/>
        <v>1.4978597968744864</v>
      </c>
      <c r="Y245" s="337">
        <f t="shared" si="105"/>
        <v>-16.917277163765021</v>
      </c>
      <c r="AA245" s="336">
        <f t="shared" si="100"/>
        <v>6.0037267123210016</v>
      </c>
      <c r="AB245" s="337">
        <f t="shared" si="101"/>
        <v>-84.176386026244913</v>
      </c>
      <c r="AD245">
        <f t="shared" si="106"/>
        <v>0</v>
      </c>
      <c r="AE245">
        <f t="shared" si="109"/>
        <v>0</v>
      </c>
    </row>
    <row r="246" spans="1:31" x14ac:dyDescent="0.25">
      <c r="A246" s="338">
        <v>14877.25</v>
      </c>
      <c r="B246" s="355">
        <f t="shared" si="102"/>
        <v>14.87725</v>
      </c>
      <c r="C246" s="328">
        <f t="shared" si="84"/>
        <v>5.0884203282098257</v>
      </c>
      <c r="D246" s="329">
        <f t="shared" si="85"/>
        <v>1.3729841493464285</v>
      </c>
      <c r="E246" s="329">
        <f t="shared" si="86"/>
        <v>1.0000190308769294</v>
      </c>
      <c r="F246" s="330">
        <f t="shared" si="87"/>
        <v>6.1693719489695079E-3</v>
      </c>
      <c r="G246" s="329">
        <f t="shared" si="88"/>
        <v>1</v>
      </c>
      <c r="H246" s="330">
        <f t="shared" si="89"/>
        <v>0</v>
      </c>
      <c r="I246" s="328">
        <f t="shared" si="90"/>
        <v>26981.734415816343</v>
      </c>
      <c r="J246" s="331">
        <f t="shared" si="91"/>
        <v>1.5707592646852184</v>
      </c>
      <c r="K246" s="339">
        <f t="shared" si="107"/>
        <v>4.5230858126914537</v>
      </c>
      <c r="L246" s="340">
        <f t="shared" si="108"/>
        <v>1.3478663892681659</v>
      </c>
      <c r="M246" s="328">
        <f t="shared" si="92"/>
        <v>1.0025634367087393</v>
      </c>
      <c r="N246" s="331">
        <f t="shared" si="93"/>
        <v>7.152583664914873E-2</v>
      </c>
      <c r="O246" s="332">
        <f t="shared" si="94"/>
        <v>1.0008380140341413</v>
      </c>
      <c r="P246" s="333">
        <f t="shared" si="95"/>
        <v>0.10403219654095214</v>
      </c>
      <c r="Q246" s="334">
        <f t="shared" si="96"/>
        <v>7.4502236048466557</v>
      </c>
      <c r="R246" s="335">
        <f t="shared" si="97"/>
        <v>-101.14227364290217</v>
      </c>
      <c r="S246" s="337">
        <f t="shared" si="98"/>
        <v>78.857726357097832</v>
      </c>
      <c r="U246" s="310">
        <f t="shared" si="103"/>
        <v>1000000000</v>
      </c>
      <c r="V246" s="310">
        <f t="shared" si="104"/>
        <v>221332567.5625</v>
      </c>
      <c r="X246" s="336">
        <f t="shared" si="99"/>
        <v>1.4951211000341762</v>
      </c>
      <c r="Y246" s="337">
        <f t="shared" si="105"/>
        <v>-16.868949630346318</v>
      </c>
      <c r="AA246" s="336">
        <f t="shared" si="100"/>
        <v>5.9551025048124799</v>
      </c>
      <c r="AB246" s="337">
        <f t="shared" si="101"/>
        <v>-84.273324012555847</v>
      </c>
      <c r="AD246">
        <f t="shared" si="106"/>
        <v>0</v>
      </c>
      <c r="AE246">
        <f t="shared" si="109"/>
        <v>0</v>
      </c>
    </row>
    <row r="247" spans="1:31" x14ac:dyDescent="0.25">
      <c r="A247" s="338">
        <v>14963.5</v>
      </c>
      <c r="B247" s="355">
        <f t="shared" si="102"/>
        <v>14.9635</v>
      </c>
      <c r="C247" s="328">
        <f t="shared" si="84"/>
        <v>5.1167839691530883</v>
      </c>
      <c r="D247" s="329">
        <f t="shared" si="85"/>
        <v>1.3740950789883857</v>
      </c>
      <c r="E247" s="329">
        <f t="shared" si="86"/>
        <v>1.0000192521752591</v>
      </c>
      <c r="F247" s="330">
        <f t="shared" si="87"/>
        <v>6.2051376120655323E-3</v>
      </c>
      <c r="G247" s="329">
        <f t="shared" si="88"/>
        <v>1</v>
      </c>
      <c r="H247" s="330">
        <f t="shared" si="89"/>
        <v>0</v>
      </c>
      <c r="I247" s="328">
        <f t="shared" si="90"/>
        <v>27138.159466828914</v>
      </c>
      <c r="J247" s="331">
        <f t="shared" si="91"/>
        <v>1.5707594783121743</v>
      </c>
      <c r="K247" s="339">
        <f t="shared" si="107"/>
        <v>4.5480299116579834</v>
      </c>
      <c r="L247" s="340">
        <f t="shared" si="108"/>
        <v>1.3491095604129606</v>
      </c>
      <c r="M247" s="328">
        <f t="shared" si="92"/>
        <v>1.0025932070691204</v>
      </c>
      <c r="N247" s="331">
        <f t="shared" si="93"/>
        <v>7.1939078479205193E-2</v>
      </c>
      <c r="O247" s="332">
        <f t="shared" si="94"/>
        <v>1.0008478776475922</v>
      </c>
      <c r="P247" s="333">
        <f t="shared" si="95"/>
        <v>0.10463648662259213</v>
      </c>
      <c r="Q247" s="334">
        <f t="shared" si="96"/>
        <v>7.3991591192992443</v>
      </c>
      <c r="R247" s="335">
        <f t="shared" si="97"/>
        <v>-101.19096006540491</v>
      </c>
      <c r="S247" s="337">
        <f t="shared" si="98"/>
        <v>78.809039934595091</v>
      </c>
      <c r="U247" s="310">
        <f t="shared" si="103"/>
        <v>1000000000</v>
      </c>
      <c r="V247" s="310">
        <f t="shared" si="104"/>
        <v>223906332.25</v>
      </c>
      <c r="X247" s="336">
        <f t="shared" si="99"/>
        <v>1.4924223439130095</v>
      </c>
      <c r="Y247" s="337">
        <f t="shared" si="105"/>
        <v>-16.821410423186272</v>
      </c>
      <c r="AA247" s="336">
        <f t="shared" si="100"/>
        <v>5.9067367753862356</v>
      </c>
      <c r="AB247" s="337">
        <f t="shared" si="101"/>
        <v>-84.36954964221863</v>
      </c>
      <c r="AD247">
        <f t="shared" si="106"/>
        <v>0</v>
      </c>
      <c r="AE247">
        <f t="shared" si="109"/>
        <v>0</v>
      </c>
    </row>
    <row r="248" spans="1:31" x14ac:dyDescent="0.25">
      <c r="A248" s="338">
        <v>15049.75</v>
      </c>
      <c r="B248" s="355">
        <f t="shared" si="102"/>
        <v>15.04975</v>
      </c>
      <c r="C248" s="328">
        <f t="shared" si="84"/>
        <v>5.1451538554210563</v>
      </c>
      <c r="D248" s="329">
        <f t="shared" si="85"/>
        <v>1.3751937588542733</v>
      </c>
      <c r="E248" s="329">
        <f t="shared" si="86"/>
        <v>1.0000194747527955</v>
      </c>
      <c r="F248" s="330">
        <f t="shared" si="87"/>
        <v>6.2409032592863518E-3</v>
      </c>
      <c r="G248" s="329">
        <f t="shared" si="88"/>
        <v>1</v>
      </c>
      <c r="H248" s="330">
        <f t="shared" si="89"/>
        <v>0</v>
      </c>
      <c r="I248" s="328">
        <f t="shared" si="90"/>
        <v>27294.584517842712</v>
      </c>
      <c r="J248" s="331">
        <f t="shared" si="91"/>
        <v>1.5707596894905416</v>
      </c>
      <c r="K248" s="339">
        <f t="shared" si="107"/>
        <v>4.5729809628021885</v>
      </c>
      <c r="L248" s="340">
        <f t="shared" si="108"/>
        <v>1.3503391674859124</v>
      </c>
      <c r="M248" s="328">
        <f t="shared" si="92"/>
        <v>1.0026231486309658</v>
      </c>
      <c r="N248" s="331">
        <f t="shared" si="93"/>
        <v>7.2352295698354288E-2</v>
      </c>
      <c r="O248" s="332">
        <f t="shared" si="94"/>
        <v>1.0008578010313527</v>
      </c>
      <c r="P248" s="333">
        <f t="shared" si="95"/>
        <v>0.10524079683639843</v>
      </c>
      <c r="Q248" s="334">
        <f t="shared" si="96"/>
        <v>7.3483895171296885</v>
      </c>
      <c r="R248" s="335">
        <f t="shared" si="97"/>
        <v>-101.2397213955114</v>
      </c>
      <c r="S248" s="337">
        <f t="shared" si="98"/>
        <v>78.760278604488605</v>
      </c>
      <c r="U248" s="310">
        <f t="shared" si="103"/>
        <v>1000000000</v>
      </c>
      <c r="V248" s="310">
        <f t="shared" si="104"/>
        <v>226494975.0625</v>
      </c>
      <c r="X248" s="336">
        <f t="shared" si="99"/>
        <v>1.4897626197469549</v>
      </c>
      <c r="Y248" s="337">
        <f t="shared" si="105"/>
        <v>-16.774646829701808</v>
      </c>
      <c r="AA248" s="336">
        <f t="shared" si="100"/>
        <v>5.8586268973827327</v>
      </c>
      <c r="AB248" s="337">
        <f t="shared" si="101"/>
        <v>-84.465074565809587</v>
      </c>
      <c r="AD248">
        <f t="shared" si="106"/>
        <v>0</v>
      </c>
      <c r="AE248">
        <f t="shared" si="109"/>
        <v>0</v>
      </c>
    </row>
    <row r="249" spans="1:31" x14ac:dyDescent="0.25">
      <c r="A249" s="338">
        <v>15136</v>
      </c>
      <c r="B249" s="355">
        <f t="shared" si="102"/>
        <v>15.135999999999999</v>
      </c>
      <c r="C249" s="328">
        <f t="shared" si="84"/>
        <v>5.1735298842719901</v>
      </c>
      <c r="D249" s="329">
        <f t="shared" si="85"/>
        <v>1.3762803878341157</v>
      </c>
      <c r="E249" s="329">
        <f t="shared" si="86"/>
        <v>1.000019698609538</v>
      </c>
      <c r="F249" s="330">
        <f t="shared" si="87"/>
        <v>6.2766688905404738E-3</v>
      </c>
      <c r="G249" s="329">
        <f t="shared" si="88"/>
        <v>1</v>
      </c>
      <c r="H249" s="330">
        <f t="shared" si="89"/>
        <v>0</v>
      </c>
      <c r="I249" s="328">
        <f t="shared" si="90"/>
        <v>27451.009568857709</v>
      </c>
      <c r="J249" s="331">
        <f t="shared" si="91"/>
        <v>1.5707598982621787</v>
      </c>
      <c r="K249" s="339">
        <f t="shared" si="107"/>
        <v>4.5979388529445702</v>
      </c>
      <c r="L249" s="340">
        <f t="shared" si="108"/>
        <v>1.3515554276180719</v>
      </c>
      <c r="M249" s="328">
        <f t="shared" si="92"/>
        <v>1.0026532613789385</v>
      </c>
      <c r="N249" s="331">
        <f t="shared" si="93"/>
        <v>7.2765488167694778E-2</v>
      </c>
      <c r="O249" s="332">
        <f t="shared" si="94"/>
        <v>1.000867784232925</v>
      </c>
      <c r="P249" s="333">
        <f t="shared" si="95"/>
        <v>0.10584512729414905</v>
      </c>
      <c r="Q249" s="334">
        <f t="shared" si="96"/>
        <v>7.2979113251009053</v>
      </c>
      <c r="R249" s="335">
        <f t="shared" si="97"/>
        <v>-101.28855658893734</v>
      </c>
      <c r="S249" s="337">
        <f t="shared" si="98"/>
        <v>78.71144341106266</v>
      </c>
      <c r="U249" s="310">
        <f t="shared" si="103"/>
        <v>1000000000</v>
      </c>
      <c r="V249" s="310">
        <f t="shared" si="104"/>
        <v>229098496</v>
      </c>
      <c r="X249" s="336">
        <f t="shared" si="99"/>
        <v>1.4871410433820262</v>
      </c>
      <c r="Y249" s="337">
        <f t="shared" si="105"/>
        <v>-16.728646403639967</v>
      </c>
      <c r="AA249" s="336">
        <f t="shared" si="100"/>
        <v>5.8107702817188791</v>
      </c>
      <c r="AB249" s="337">
        <f t="shared" si="101"/>
        <v>-84.559910185297355</v>
      </c>
      <c r="AD249">
        <f t="shared" si="106"/>
        <v>0</v>
      </c>
      <c r="AE249">
        <f t="shared" si="109"/>
        <v>0</v>
      </c>
    </row>
    <row r="250" spans="1:31" x14ac:dyDescent="0.25">
      <c r="A250" s="338">
        <v>15224</v>
      </c>
      <c r="B250" s="355">
        <f t="shared" si="102"/>
        <v>15.224</v>
      </c>
      <c r="C250" s="328">
        <f t="shared" si="84"/>
        <v>5.2024878851401057</v>
      </c>
      <c r="D250" s="329">
        <f t="shared" si="85"/>
        <v>1.3773768461902081</v>
      </c>
      <c r="E250" s="329">
        <f t="shared" si="86"/>
        <v>1.0000199283267017</v>
      </c>
      <c r="F250" s="330">
        <f t="shared" si="87"/>
        <v>6.3131601847184601E-3</v>
      </c>
      <c r="G250" s="329">
        <f t="shared" si="88"/>
        <v>1</v>
      </c>
      <c r="H250" s="330">
        <f t="shared" si="89"/>
        <v>0</v>
      </c>
      <c r="I250" s="328">
        <f t="shared" si="90"/>
        <v>27610.608461488722</v>
      </c>
      <c r="J250" s="331">
        <f t="shared" si="91"/>
        <v>1.5707601088317318</v>
      </c>
      <c r="K250" s="339">
        <f t="shared" si="107"/>
        <v>4.6234100686905046</v>
      </c>
      <c r="L250" s="340">
        <f t="shared" si="108"/>
        <v>1.3527828301662201</v>
      </c>
      <c r="M250" s="328">
        <f t="shared" si="92"/>
        <v>1.0026841615255762</v>
      </c>
      <c r="N250" s="331">
        <f t="shared" si="93"/>
        <v>7.3187038600124238E-2</v>
      </c>
      <c r="O250" s="332">
        <f t="shared" si="94"/>
        <v>1.0008780316924488</v>
      </c>
      <c r="P250" s="333">
        <f t="shared" si="95"/>
        <v>0.10646174050943995</v>
      </c>
      <c r="Q250" s="334">
        <f t="shared" si="96"/>
        <v>7.2467057364660361</v>
      </c>
      <c r="R250" s="335">
        <f t="shared" si="97"/>
        <v>-101.33845770249739</v>
      </c>
      <c r="S250" s="337">
        <f t="shared" si="98"/>
        <v>78.661542297502606</v>
      </c>
      <c r="U250" s="310">
        <f t="shared" si="103"/>
        <v>1000000000</v>
      </c>
      <c r="V250" s="310">
        <f t="shared" si="104"/>
        <v>231770176</v>
      </c>
      <c r="X250" s="336">
        <f t="shared" si="99"/>
        <v>1.4845046997172733</v>
      </c>
      <c r="Y250" s="337">
        <f t="shared" si="105"/>
        <v>-16.682486543191544</v>
      </c>
      <c r="AA250" s="336">
        <f t="shared" si="100"/>
        <v>5.7622010367487606</v>
      </c>
      <c r="AB250" s="337">
        <f t="shared" si="101"/>
        <v>-84.655971159305864</v>
      </c>
      <c r="AD250">
        <f t="shared" si="106"/>
        <v>0</v>
      </c>
      <c r="AE250">
        <f t="shared" si="109"/>
        <v>0</v>
      </c>
    </row>
    <row r="251" spans="1:31" x14ac:dyDescent="0.25">
      <c r="A251" s="338">
        <v>15312</v>
      </c>
      <c r="B251" s="355">
        <f t="shared" si="102"/>
        <v>15.311999999999999</v>
      </c>
      <c r="C251" s="328">
        <f t="shared" si="84"/>
        <v>5.2314520713013399</v>
      </c>
      <c r="D251" s="329">
        <f t="shared" si="85"/>
        <v>1.3784611646489764</v>
      </c>
      <c r="E251" s="329">
        <f t="shared" si="86"/>
        <v>1.0000201593755063</v>
      </c>
      <c r="F251" s="330">
        <f t="shared" si="87"/>
        <v>6.3496514620828386E-3</v>
      </c>
      <c r="G251" s="329">
        <f t="shared" si="88"/>
        <v>1</v>
      </c>
      <c r="H251" s="330">
        <f t="shared" si="89"/>
        <v>0</v>
      </c>
      <c r="I251" s="328">
        <f t="shared" si="90"/>
        <v>27770.207354120947</v>
      </c>
      <c r="J251" s="331">
        <f t="shared" si="91"/>
        <v>1.5707603169809452</v>
      </c>
      <c r="K251" s="339">
        <f t="shared" si="107"/>
        <v>4.6488881733512555</v>
      </c>
      <c r="L251" s="340">
        <f t="shared" si="108"/>
        <v>1.3539967810342566</v>
      </c>
      <c r="M251" s="328">
        <f t="shared" si="92"/>
        <v>1.0027152398429686</v>
      </c>
      <c r="N251" s="331">
        <f t="shared" si="93"/>
        <v>7.3608562976252928E-2</v>
      </c>
      <c r="O251" s="332">
        <f t="shared" si="94"/>
        <v>1.0008883415225629</v>
      </c>
      <c r="P251" s="333">
        <f t="shared" si="95"/>
        <v>0.10707837503334874</v>
      </c>
      <c r="Q251" s="334">
        <f t="shared" si="96"/>
        <v>7.1957963902852242</v>
      </c>
      <c r="R251" s="335">
        <f t="shared" si="97"/>
        <v>-101.38843356594083</v>
      </c>
      <c r="S251" s="337">
        <f t="shared" si="98"/>
        <v>78.611566434059171</v>
      </c>
      <c r="U251" s="310">
        <f t="shared" si="103"/>
        <v>1000000000</v>
      </c>
      <c r="V251" s="310">
        <f t="shared" si="104"/>
        <v>234457344</v>
      </c>
      <c r="X251" s="336">
        <f t="shared" si="99"/>
        <v>1.4819062830315379</v>
      </c>
      <c r="Y251" s="337">
        <f t="shared" si="105"/>
        <v>-16.637095775650437</v>
      </c>
      <c r="AA251" s="336">
        <f t="shared" si="100"/>
        <v>5.7138901072536852</v>
      </c>
      <c r="AB251" s="337">
        <f t="shared" si="101"/>
        <v>-84.751337790290407</v>
      </c>
      <c r="AD251">
        <f t="shared" si="106"/>
        <v>0</v>
      </c>
      <c r="AE251">
        <f t="shared" si="109"/>
        <v>0</v>
      </c>
    </row>
    <row r="252" spans="1:31" x14ac:dyDescent="0.25">
      <c r="A252" s="338">
        <v>15400</v>
      </c>
      <c r="B252" s="355">
        <f t="shared" si="102"/>
        <v>15.4</v>
      </c>
      <c r="C252" s="328">
        <f t="shared" si="84"/>
        <v>5.2604223405859587</v>
      </c>
      <c r="D252" s="329">
        <f t="shared" si="85"/>
        <v>1.3795335412103862</v>
      </c>
      <c r="E252" s="329">
        <f t="shared" si="86"/>
        <v>1.00002039175595</v>
      </c>
      <c r="F252" s="330">
        <f t="shared" si="87"/>
        <v>6.3861427225364378E-3</v>
      </c>
      <c r="G252" s="329">
        <f t="shared" si="88"/>
        <v>1</v>
      </c>
      <c r="H252" s="330">
        <f t="shared" si="89"/>
        <v>0</v>
      </c>
      <c r="I252" s="328">
        <f t="shared" si="90"/>
        <v>27929.80624675436</v>
      </c>
      <c r="J252" s="331">
        <f t="shared" si="91"/>
        <v>1.5707605227513104</v>
      </c>
      <c r="K252" s="339">
        <f t="shared" si="107"/>
        <v>4.6743730542808146</v>
      </c>
      <c r="L252" s="340">
        <f t="shared" si="108"/>
        <v>1.3551974966320715</v>
      </c>
      <c r="M252" s="328">
        <f t="shared" si="92"/>
        <v>1.00274649631455</v>
      </c>
      <c r="N252" s="331">
        <f t="shared" si="93"/>
        <v>7.4030061148715312E-2</v>
      </c>
      <c r="O252" s="332">
        <f t="shared" si="94"/>
        <v>1.0008987137745913</v>
      </c>
      <c r="P252" s="333">
        <f t="shared" si="95"/>
        <v>0.10769503098435798</v>
      </c>
      <c r="Q252" s="334">
        <f t="shared" si="96"/>
        <v>7.145179788520398</v>
      </c>
      <c r="R252" s="335">
        <f t="shared" si="97"/>
        <v>-101.43848312518466</v>
      </c>
      <c r="S252" s="337">
        <f t="shared" si="98"/>
        <v>78.561516874815339</v>
      </c>
      <c r="U252" s="310">
        <f t="shared" si="103"/>
        <v>1000000000</v>
      </c>
      <c r="V252" s="310">
        <f t="shared" si="104"/>
        <v>237160000</v>
      </c>
      <c r="X252" s="336">
        <f t="shared" si="99"/>
        <v>1.479344928470556</v>
      </c>
      <c r="Y252" s="337">
        <f t="shared" si="105"/>
        <v>-16.59246169557716</v>
      </c>
      <c r="AA252" s="336">
        <f t="shared" si="100"/>
        <v>5.6658348600498387</v>
      </c>
      <c r="AB252" s="337">
        <f t="shared" si="101"/>
        <v>-84.846021429607489</v>
      </c>
      <c r="AD252">
        <f t="shared" si="106"/>
        <v>0</v>
      </c>
      <c r="AE252">
        <f t="shared" si="109"/>
        <v>0</v>
      </c>
    </row>
    <row r="253" spans="1:31" x14ac:dyDescent="0.25">
      <c r="A253" s="338">
        <v>15488</v>
      </c>
      <c r="B253" s="355">
        <f t="shared" si="102"/>
        <v>15.488</v>
      </c>
      <c r="C253" s="328">
        <f t="shared" si="84"/>
        <v>5.2893985930413585</v>
      </c>
      <c r="D253" s="329">
        <f t="shared" si="85"/>
        <v>1.3805941696469257</v>
      </c>
      <c r="E253" s="329">
        <f t="shared" si="86"/>
        <v>1.0000206254680324</v>
      </c>
      <c r="F253" s="330">
        <f t="shared" si="87"/>
        <v>6.422633965982083E-3</v>
      </c>
      <c r="G253" s="329">
        <f t="shared" si="88"/>
        <v>1</v>
      </c>
      <c r="H253" s="330">
        <f t="shared" si="89"/>
        <v>0</v>
      </c>
      <c r="I253" s="328">
        <f t="shared" si="90"/>
        <v>28089.405139388946</v>
      </c>
      <c r="J253" s="331">
        <f t="shared" si="91"/>
        <v>1.570760726183376</v>
      </c>
      <c r="K253" s="339">
        <f t="shared" si="107"/>
        <v>4.699864601246813</v>
      </c>
      <c r="L253" s="340">
        <f t="shared" si="108"/>
        <v>1.3563851888289533</v>
      </c>
      <c r="M253" s="328">
        <f t="shared" si="92"/>
        <v>1.0027779309236611</v>
      </c>
      <c r="N253" s="331">
        <f t="shared" si="93"/>
        <v>7.4451532970201378E-2</v>
      </c>
      <c r="O253" s="332">
        <f t="shared" si="94"/>
        <v>1.0009091485001513</v>
      </c>
      <c r="P253" s="333">
        <f t="shared" si="95"/>
        <v>0.10831170848086893</v>
      </c>
      <c r="Q253" s="334">
        <f t="shared" si="96"/>
        <v>7.0948524944493823</v>
      </c>
      <c r="R253" s="335">
        <f t="shared" si="97"/>
        <v>-101.48860534403104</v>
      </c>
      <c r="S253" s="337">
        <f t="shared" si="98"/>
        <v>78.511394655968957</v>
      </c>
      <c r="U253" s="310">
        <f t="shared" si="103"/>
        <v>1000000000</v>
      </c>
      <c r="V253" s="310">
        <f t="shared" si="104"/>
        <v>239878144</v>
      </c>
      <c r="X253" s="336">
        <f t="shared" si="99"/>
        <v>1.4768197945834183</v>
      </c>
      <c r="Y253" s="337">
        <f t="shared" si="105"/>
        <v>-16.548572157638681</v>
      </c>
      <c r="AA253" s="336">
        <f t="shared" si="100"/>
        <v>5.6180326998659611</v>
      </c>
      <c r="AB253" s="337">
        <f t="shared" si="101"/>
        <v>-84.940033186392327</v>
      </c>
      <c r="AD253">
        <f t="shared" si="106"/>
        <v>0</v>
      </c>
      <c r="AE253">
        <f t="shared" si="109"/>
        <v>0</v>
      </c>
    </row>
    <row r="254" spans="1:31" x14ac:dyDescent="0.25">
      <c r="A254" s="338">
        <v>15578.25</v>
      </c>
      <c r="B254" s="355">
        <f t="shared" si="102"/>
        <v>15.578250000000001</v>
      </c>
      <c r="C254" s="328">
        <f t="shared" si="84"/>
        <v>5.3191218277536993</v>
      </c>
      <c r="D254" s="329">
        <f t="shared" si="85"/>
        <v>1.3816699125353227</v>
      </c>
      <c r="E254" s="329">
        <f t="shared" si="86"/>
        <v>1.0000208665388524</v>
      </c>
      <c r="F254" s="330">
        <f t="shared" si="87"/>
        <v>6.4600582064073212E-3</v>
      </c>
      <c r="G254" s="329">
        <f t="shared" si="88"/>
        <v>1</v>
      </c>
      <c r="H254" s="330">
        <f t="shared" si="89"/>
        <v>0</v>
      </c>
      <c r="I254" s="328">
        <f t="shared" si="90"/>
        <v>28253.084685529582</v>
      </c>
      <c r="J254" s="331">
        <f t="shared" si="91"/>
        <v>1.5707609324295968</v>
      </c>
      <c r="K254" s="339">
        <f t="shared" si="107"/>
        <v>4.7260147315988039</v>
      </c>
      <c r="L254" s="340">
        <f t="shared" si="108"/>
        <v>1.3575899382972327</v>
      </c>
      <c r="M254" s="328">
        <f t="shared" si="92"/>
        <v>1.0028103542687603</v>
      </c>
      <c r="N254" s="331">
        <f t="shared" si="93"/>
        <v>7.4883753535388106E-2</v>
      </c>
      <c r="O254" s="332">
        <f t="shared" si="94"/>
        <v>1.0009199149670052</v>
      </c>
      <c r="P254" s="333">
        <f t="shared" si="95"/>
        <v>0.10894417580254008</v>
      </c>
      <c r="Q254" s="334">
        <f t="shared" si="96"/>
        <v>7.0435353838962627</v>
      </c>
      <c r="R254" s="335">
        <f t="shared" si="97"/>
        <v>-101.54008349995897</v>
      </c>
      <c r="S254" s="337">
        <f t="shared" si="98"/>
        <v>78.459916500041032</v>
      </c>
      <c r="U254" s="310">
        <f t="shared" si="103"/>
        <v>1000000000</v>
      </c>
      <c r="V254" s="310">
        <f t="shared" si="104"/>
        <v>242681873.0625</v>
      </c>
      <c r="X254" s="336">
        <f t="shared" si="99"/>
        <v>1.4742668617039367</v>
      </c>
      <c r="Y254" s="337">
        <f t="shared" si="105"/>
        <v>-16.504321328927031</v>
      </c>
      <c r="AA254" s="336">
        <f t="shared" si="100"/>
        <v>5.5692685221923259</v>
      </c>
      <c r="AB254" s="337">
        <f t="shared" si="101"/>
        <v>-85.035762171031919</v>
      </c>
      <c r="AD254">
        <f t="shared" si="106"/>
        <v>0</v>
      </c>
      <c r="AE254">
        <f t="shared" si="109"/>
        <v>0</v>
      </c>
    </row>
    <row r="255" spans="1:31" x14ac:dyDescent="0.25">
      <c r="A255" s="338">
        <v>15668.5</v>
      </c>
      <c r="B255" s="355">
        <f t="shared" si="102"/>
        <v>15.6685</v>
      </c>
      <c r="C255" s="328">
        <f t="shared" si="84"/>
        <v>5.3488511494603115</v>
      </c>
      <c r="D255" s="329">
        <f t="shared" si="85"/>
        <v>1.382733698521716</v>
      </c>
      <c r="E255" s="329">
        <f t="shared" si="86"/>
        <v>1.0000211090102744</v>
      </c>
      <c r="F255" s="330">
        <f t="shared" si="87"/>
        <v>6.4974824287367403E-3</v>
      </c>
      <c r="G255" s="329">
        <f t="shared" si="88"/>
        <v>1</v>
      </c>
      <c r="H255" s="330">
        <f t="shared" si="89"/>
        <v>0</v>
      </c>
      <c r="I255" s="328">
        <f t="shared" si="90"/>
        <v>28416.764231671408</v>
      </c>
      <c r="J255" s="331">
        <f t="shared" si="91"/>
        <v>1.5707611362998757</v>
      </c>
      <c r="K255" s="339">
        <f t="shared" si="107"/>
        <v>4.752171645891492</v>
      </c>
      <c r="L255" s="340">
        <f t="shared" si="108"/>
        <v>1.3587814271093523</v>
      </c>
      <c r="M255" s="328">
        <f t="shared" si="92"/>
        <v>1.0028429649413575</v>
      </c>
      <c r="N255" s="331">
        <f t="shared" si="93"/>
        <v>7.531594607121965E-2</v>
      </c>
      <c r="O255" s="332">
        <f t="shared" si="94"/>
        <v>1.0009307472538151</v>
      </c>
      <c r="P255" s="333">
        <f t="shared" si="95"/>
        <v>0.10957666603754328</v>
      </c>
      <c r="Q255" s="334">
        <f t="shared" si="96"/>
        <v>6.992515434229869</v>
      </c>
      <c r="R255" s="335">
        <f t="shared" si="97"/>
        <v>-101.5916359272765</v>
      </c>
      <c r="S255" s="337">
        <f t="shared" si="98"/>
        <v>78.408364072723501</v>
      </c>
      <c r="U255" s="310">
        <f t="shared" si="103"/>
        <v>1000000000</v>
      </c>
      <c r="V255" s="310">
        <f t="shared" si="104"/>
        <v>245501892.25</v>
      </c>
      <c r="X255" s="336">
        <f t="shared" si="99"/>
        <v>1.4717503049941973</v>
      </c>
      <c r="Y255" s="337">
        <f t="shared" si="105"/>
        <v>-16.460828537752569</v>
      </c>
      <c r="AA255" s="336">
        <f t="shared" si="100"/>
        <v>5.5207651292356719</v>
      </c>
      <c r="AB255" s="337">
        <f t="shared" si="101"/>
        <v>-85.130807389523923</v>
      </c>
      <c r="AD255">
        <f t="shared" si="106"/>
        <v>0</v>
      </c>
      <c r="AE255">
        <f t="shared" si="109"/>
        <v>0</v>
      </c>
    </row>
    <row r="256" spans="1:31" x14ac:dyDescent="0.25">
      <c r="A256" s="338">
        <v>15758.75</v>
      </c>
      <c r="B256" s="355">
        <f t="shared" si="102"/>
        <v>15.758749999999999</v>
      </c>
      <c r="C256" s="328">
        <f t="shared" si="84"/>
        <v>5.3785864572263824</v>
      </c>
      <c r="D256" s="329">
        <f t="shared" si="85"/>
        <v>1.3837857234880924</v>
      </c>
      <c r="E256" s="329">
        <f t="shared" si="86"/>
        <v>1.0000213528822979</v>
      </c>
      <c r="F256" s="330">
        <f t="shared" si="87"/>
        <v>6.5349066328655222E-3</v>
      </c>
      <c r="G256" s="329">
        <f t="shared" si="88"/>
        <v>1</v>
      </c>
      <c r="H256" s="330">
        <f t="shared" si="89"/>
        <v>0</v>
      </c>
      <c r="I256" s="328">
        <f t="shared" si="90"/>
        <v>28580.443777814402</v>
      </c>
      <c r="J256" s="331">
        <f t="shared" si="91"/>
        <v>1.5707613378350338</v>
      </c>
      <c r="K256" s="339">
        <f t="shared" si="107"/>
        <v>4.778335232717696</v>
      </c>
      <c r="L256" s="340">
        <f t="shared" si="108"/>
        <v>1.3599598696788564</v>
      </c>
      <c r="M256" s="328">
        <f t="shared" si="92"/>
        <v>1.0028757629231784</v>
      </c>
      <c r="N256" s="331">
        <f t="shared" si="93"/>
        <v>7.5748110418979428E-2</v>
      </c>
      <c r="O256" s="332">
        <f t="shared" si="94"/>
        <v>1.0009416454172202</v>
      </c>
      <c r="P256" s="333">
        <f t="shared" si="95"/>
        <v>0.11020917931332679</v>
      </c>
      <c r="Q256" s="334">
        <f t="shared" si="96"/>
        <v>6.9417891300229755</v>
      </c>
      <c r="R256" s="335">
        <f t="shared" si="97"/>
        <v>-101.64326156475688</v>
      </c>
      <c r="S256" s="337">
        <f t="shared" si="98"/>
        <v>78.356738435243116</v>
      </c>
      <c r="U256" s="310">
        <f t="shared" si="103"/>
        <v>1000000000</v>
      </c>
      <c r="V256" s="310">
        <f t="shared" si="104"/>
        <v>248338201.5625</v>
      </c>
      <c r="X256" s="336">
        <f t="shared" si="99"/>
        <v>1.4692692886545484</v>
      </c>
      <c r="Y256" s="337">
        <f t="shared" si="105"/>
        <v>-16.418081492369236</v>
      </c>
      <c r="AA256" s="336">
        <f t="shared" si="100"/>
        <v>5.4725198413684248</v>
      </c>
      <c r="AB256" s="337">
        <f t="shared" si="101"/>
        <v>-85.225180072387687</v>
      </c>
      <c r="AD256">
        <f t="shared" si="106"/>
        <v>0</v>
      </c>
      <c r="AE256">
        <f t="shared" si="109"/>
        <v>0</v>
      </c>
    </row>
    <row r="257" spans="1:31" x14ac:dyDescent="0.25">
      <c r="A257" s="338">
        <v>15849</v>
      </c>
      <c r="B257" s="355">
        <f t="shared" si="102"/>
        <v>15.849</v>
      </c>
      <c r="C257" s="328">
        <f t="shared" si="84"/>
        <v>5.4083276523167756</v>
      </c>
      <c r="D257" s="329">
        <f t="shared" si="85"/>
        <v>1.3848261791131411</v>
      </c>
      <c r="E257" s="329">
        <f t="shared" si="86"/>
        <v>1.0000215981549216</v>
      </c>
      <c r="F257" s="330">
        <f t="shared" si="87"/>
        <v>6.5723308186888514E-3</v>
      </c>
      <c r="G257" s="329">
        <f t="shared" si="88"/>
        <v>1</v>
      </c>
      <c r="H257" s="330">
        <f t="shared" si="89"/>
        <v>0</v>
      </c>
      <c r="I257" s="328">
        <f t="shared" si="90"/>
        <v>28744.123323958545</v>
      </c>
      <c r="J257" s="331">
        <f t="shared" si="91"/>
        <v>1.5707615370749621</v>
      </c>
      <c r="K257" s="339">
        <f t="shared" si="107"/>
        <v>4.8045053830688538</v>
      </c>
      <c r="L257" s="340">
        <f t="shared" si="108"/>
        <v>1.3611254758943805</v>
      </c>
      <c r="M257" s="328">
        <f t="shared" si="92"/>
        <v>1.0029087481958465</v>
      </c>
      <c r="N257" s="331">
        <f t="shared" si="93"/>
        <v>7.618024642001367E-2</v>
      </c>
      <c r="O257" s="332">
        <f t="shared" si="94"/>
        <v>1.0009526095141834</v>
      </c>
      <c r="P257" s="333">
        <f t="shared" si="95"/>
        <v>0.11084171575724695</v>
      </c>
      <c r="Q257" s="334">
        <f t="shared" si="96"/>
        <v>6.8913530175701094</v>
      </c>
      <c r="R257" s="335">
        <f t="shared" si="97"/>
        <v>-101.69495936954554</v>
      </c>
      <c r="S257" s="337">
        <f t="shared" si="98"/>
        <v>78.305040630454457</v>
      </c>
      <c r="U257" s="310">
        <f t="shared" si="103"/>
        <v>1000000000</v>
      </c>
      <c r="V257" s="310">
        <f t="shared" si="104"/>
        <v>251190801</v>
      </c>
      <c r="X257" s="336">
        <f t="shared" si="99"/>
        <v>1.4668229995991409</v>
      </c>
      <c r="Y257" s="337">
        <f t="shared" si="105"/>
        <v>-16.376068160239409</v>
      </c>
      <c r="AA257" s="336">
        <f t="shared" si="100"/>
        <v>5.4245300179709677</v>
      </c>
      <c r="AB257" s="337">
        <f t="shared" si="101"/>
        <v>-85.318891209306159</v>
      </c>
      <c r="AD257">
        <f t="shared" si="106"/>
        <v>0</v>
      </c>
      <c r="AE257">
        <f t="shared" si="109"/>
        <v>0</v>
      </c>
    </row>
    <row r="258" spans="1:31" x14ac:dyDescent="0.25">
      <c r="A258" s="338">
        <v>15941.25</v>
      </c>
      <c r="B258" s="355">
        <f t="shared" si="102"/>
        <v>15.94125</v>
      </c>
      <c r="C258" s="328">
        <f t="shared" si="84"/>
        <v>5.4387339159789088</v>
      </c>
      <c r="D258" s="329">
        <f t="shared" si="85"/>
        <v>1.38587793044465</v>
      </c>
      <c r="E258" s="329">
        <f t="shared" si="86"/>
        <v>1.0000218503104501</v>
      </c>
      <c r="F258" s="330">
        <f t="shared" si="87"/>
        <v>6.610584330322803E-3</v>
      </c>
      <c r="G258" s="329">
        <f t="shared" si="88"/>
        <v>1</v>
      </c>
      <c r="H258" s="330">
        <f t="shared" si="89"/>
        <v>0</v>
      </c>
      <c r="I258" s="328">
        <f t="shared" si="90"/>
        <v>28911.430117663833</v>
      </c>
      <c r="J258" s="331">
        <f t="shared" si="91"/>
        <v>1.5707617383986765</v>
      </c>
      <c r="K258" s="339">
        <f t="shared" si="107"/>
        <v>4.8312621536182405</v>
      </c>
      <c r="L258" s="340">
        <f t="shared" si="108"/>
        <v>1.3623038604245359</v>
      </c>
      <c r="M258" s="328">
        <f t="shared" si="92"/>
        <v>1.0029426579874172</v>
      </c>
      <c r="N258" s="331">
        <f t="shared" si="93"/>
        <v>7.6621929381052362E-2</v>
      </c>
      <c r="O258" s="332">
        <f t="shared" si="94"/>
        <v>1.0009638847839137</v>
      </c>
      <c r="P258" s="333">
        <f t="shared" si="95"/>
        <v>0.1114882937057413</v>
      </c>
      <c r="Q258" s="334">
        <f t="shared" si="96"/>
        <v>6.8400955839882354</v>
      </c>
      <c r="R258" s="335">
        <f t="shared" si="97"/>
        <v>-101.74787634913362</v>
      </c>
      <c r="S258" s="337">
        <f t="shared" si="98"/>
        <v>78.25212365086638</v>
      </c>
      <c r="U258" s="310">
        <f t="shared" si="103"/>
        <v>1000000000</v>
      </c>
      <c r="V258" s="310">
        <f t="shared" si="104"/>
        <v>254123451.5625</v>
      </c>
      <c r="X258" s="336">
        <f t="shared" si="99"/>
        <v>1.4643575658225525</v>
      </c>
      <c r="Y258" s="337">
        <f t="shared" si="105"/>
        <v>-16.333869804519288</v>
      </c>
      <c r="AA258" s="336">
        <f t="shared" si="100"/>
        <v>5.3757380181656806</v>
      </c>
      <c r="AB258" s="337">
        <f t="shared" si="101"/>
        <v>-85.414006544614338</v>
      </c>
      <c r="AD258">
        <f t="shared" si="106"/>
        <v>0</v>
      </c>
      <c r="AE258">
        <f t="shared" si="109"/>
        <v>0</v>
      </c>
    </row>
    <row r="259" spans="1:31" x14ac:dyDescent="0.25">
      <c r="A259" s="338">
        <v>16033.5</v>
      </c>
      <c r="B259" s="355">
        <f t="shared" si="102"/>
        <v>16.0335</v>
      </c>
      <c r="C259" s="328">
        <f t="shared" si="84"/>
        <v>5.469146128964975</v>
      </c>
      <c r="D259" s="329">
        <f t="shared" si="85"/>
        <v>1.386917985994865</v>
      </c>
      <c r="E259" s="329">
        <f t="shared" si="86"/>
        <v>1.0000221039293411</v>
      </c>
      <c r="F259" s="330">
        <f t="shared" si="87"/>
        <v>6.6488378226095346E-3</v>
      </c>
      <c r="G259" s="329">
        <f t="shared" si="88"/>
        <v>1</v>
      </c>
      <c r="H259" s="330">
        <f t="shared" si="89"/>
        <v>0</v>
      </c>
      <c r="I259" s="328">
        <f t="shared" si="90"/>
        <v>29078.736911370281</v>
      </c>
      <c r="J259" s="331">
        <f t="shared" si="91"/>
        <v>1.5707619374057273</v>
      </c>
      <c r="K259" s="339">
        <f t="shared" si="107"/>
        <v>4.8580255589060286</v>
      </c>
      <c r="L259" s="340">
        <f t="shared" si="108"/>
        <v>1.3634692628542053</v>
      </c>
      <c r="M259" s="328">
        <f t="shared" si="92"/>
        <v>1.0029767634236384</v>
      </c>
      <c r="N259" s="331">
        <f t="shared" si="93"/>
        <v>7.7063582390081944E-2</v>
      </c>
      <c r="O259" s="332">
        <f t="shared" si="94"/>
        <v>1.0009752290632303</v>
      </c>
      <c r="P259" s="333">
        <f t="shared" si="95"/>
        <v>0.11213489612937233</v>
      </c>
      <c r="Q259" s="334">
        <f t="shared" si="96"/>
        <v>6.7891342406133015</v>
      </c>
      <c r="R259" s="335">
        <f t="shared" si="97"/>
        <v>-101.80086658395436</v>
      </c>
      <c r="S259" s="337">
        <f t="shared" si="98"/>
        <v>78.19913341604564</v>
      </c>
      <c r="U259" s="310">
        <f t="shared" si="103"/>
        <v>1000000000</v>
      </c>
      <c r="V259" s="310">
        <f t="shared" si="104"/>
        <v>257073122.25</v>
      </c>
      <c r="X259" s="336">
        <f t="shared" si="99"/>
        <v>1.4619267671700442</v>
      </c>
      <c r="Y259" s="337">
        <f t="shared" si="105"/>
        <v>-16.292413419508325</v>
      </c>
      <c r="AA259" s="336">
        <f t="shared" si="100"/>
        <v>5.3272074734432557</v>
      </c>
      <c r="AB259" s="337">
        <f t="shared" si="101"/>
        <v>-85.508453164446067</v>
      </c>
      <c r="AD259">
        <f t="shared" si="106"/>
        <v>0</v>
      </c>
      <c r="AE259">
        <f t="shared" si="109"/>
        <v>0</v>
      </c>
    </row>
    <row r="260" spans="1:31" x14ac:dyDescent="0.25">
      <c r="A260" s="338">
        <v>16125.75</v>
      </c>
      <c r="B260" s="355">
        <f t="shared" si="102"/>
        <v>16.12575</v>
      </c>
      <c r="C260" s="328">
        <f t="shared" si="84"/>
        <v>5.4995641925769139</v>
      </c>
      <c r="D260" s="329">
        <f t="shared" si="85"/>
        <v>1.3879465375627613</v>
      </c>
      <c r="E260" s="329">
        <f t="shared" si="86"/>
        <v>1.0000223590115933</v>
      </c>
      <c r="F260" s="330">
        <f t="shared" si="87"/>
        <v>6.6870912954371062E-3</v>
      </c>
      <c r="G260" s="329">
        <f t="shared" si="88"/>
        <v>1</v>
      </c>
      <c r="H260" s="330">
        <f t="shared" si="89"/>
        <v>0</v>
      </c>
      <c r="I260" s="328">
        <f t="shared" si="90"/>
        <v>29246.043705077864</v>
      </c>
      <c r="J260" s="331">
        <f t="shared" si="91"/>
        <v>1.5707621341358731</v>
      </c>
      <c r="K260" s="339">
        <f t="shared" si="107"/>
        <v>4.8847954898786101</v>
      </c>
      <c r="L260" s="340">
        <f t="shared" si="108"/>
        <v>1.3646218934271908</v>
      </c>
      <c r="M260" s="328">
        <f t="shared" si="92"/>
        <v>1.0030110644845531</v>
      </c>
      <c r="N260" s="331">
        <f t="shared" si="93"/>
        <v>7.7505205277871275E-2</v>
      </c>
      <c r="O260" s="332">
        <f t="shared" si="94"/>
        <v>1.000986642414017</v>
      </c>
      <c r="P260" s="333">
        <f t="shared" si="95"/>
        <v>0.11278152316385112</v>
      </c>
      <c r="Q260" s="334">
        <f t="shared" si="96"/>
        <v>6.7384654897348959</v>
      </c>
      <c r="R260" s="335">
        <f t="shared" si="97"/>
        <v>-101.8539290175609</v>
      </c>
      <c r="S260" s="337">
        <f t="shared" si="98"/>
        <v>78.146070982439099</v>
      </c>
      <c r="U260" s="310">
        <f t="shared" si="103"/>
        <v>1000000000</v>
      </c>
      <c r="V260" s="310">
        <f t="shared" si="104"/>
        <v>260039813.0625</v>
      </c>
      <c r="X260" s="336">
        <f t="shared" si="99"/>
        <v>1.4595298042116505</v>
      </c>
      <c r="Y260" s="337">
        <f t="shared" si="105"/>
        <v>-16.251686951705736</v>
      </c>
      <c r="AA260" s="336">
        <f t="shared" si="100"/>
        <v>5.2789356855232441</v>
      </c>
      <c r="AB260" s="337">
        <f t="shared" si="101"/>
        <v>-85.602242065855208</v>
      </c>
      <c r="AD260">
        <f t="shared" si="106"/>
        <v>0</v>
      </c>
      <c r="AE260">
        <f t="shared" si="109"/>
        <v>0</v>
      </c>
    </row>
    <row r="261" spans="1:31" x14ac:dyDescent="0.25">
      <c r="A261" s="338">
        <v>16218</v>
      </c>
      <c r="B261" s="355">
        <f t="shared" si="102"/>
        <v>16.218</v>
      </c>
      <c r="C261" s="328">
        <f t="shared" si="84"/>
        <v>5.5299880102694674</v>
      </c>
      <c r="D261" s="329">
        <f t="shared" si="85"/>
        <v>1.388963772825089</v>
      </c>
      <c r="E261" s="329">
        <f t="shared" si="86"/>
        <v>1.0000226155572056</v>
      </c>
      <c r="F261" s="330">
        <f t="shared" si="87"/>
        <v>6.725344748693577E-3</v>
      </c>
      <c r="G261" s="329">
        <f t="shared" si="88"/>
        <v>1</v>
      </c>
      <c r="H261" s="330">
        <f t="shared" si="89"/>
        <v>0</v>
      </c>
      <c r="I261" s="328">
        <f t="shared" si="90"/>
        <v>29413.350498786567</v>
      </c>
      <c r="J261" s="331">
        <f t="shared" si="91"/>
        <v>1.5707623286279679</v>
      </c>
      <c r="K261" s="339">
        <f t="shared" si="107"/>
        <v>4.9115718398336092</v>
      </c>
      <c r="L261" s="340">
        <f t="shared" si="108"/>
        <v>1.3657619579399889</v>
      </c>
      <c r="M261" s="328">
        <f t="shared" si="92"/>
        <v>1.0030455611500917</v>
      </c>
      <c r="N261" s="331">
        <f t="shared" si="93"/>
        <v>7.7946797875259266E-2</v>
      </c>
      <c r="O261" s="332">
        <f t="shared" si="94"/>
        <v>1.0009981248985109</v>
      </c>
      <c r="P261" s="333">
        <f t="shared" si="95"/>
        <v>0.11342817494478606</v>
      </c>
      <c r="Q261" s="334">
        <f t="shared" si="96"/>
        <v>6.6880858949498121</v>
      </c>
      <c r="R261" s="335">
        <f t="shared" si="97"/>
        <v>-101.90706261207845</v>
      </c>
      <c r="S261" s="337">
        <f t="shared" si="98"/>
        <v>78.092937387921552</v>
      </c>
      <c r="U261" s="310">
        <f t="shared" si="103"/>
        <v>1000000000</v>
      </c>
      <c r="V261" s="310">
        <f t="shared" si="104"/>
        <v>263023524</v>
      </c>
      <c r="X261" s="336">
        <f t="shared" si="99"/>
        <v>1.4571658992622818</v>
      </c>
      <c r="Y261" s="337">
        <f t="shared" si="105"/>
        <v>-16.211678602374782</v>
      </c>
      <c r="AA261" s="336">
        <f t="shared" si="100"/>
        <v>5.2309199956875299</v>
      </c>
      <c r="AB261" s="337">
        <f t="shared" si="101"/>
        <v>-85.695384009703687</v>
      </c>
      <c r="AD261">
        <f t="shared" si="106"/>
        <v>0</v>
      </c>
      <c r="AE261">
        <f t="shared" si="109"/>
        <v>0</v>
      </c>
    </row>
    <row r="262" spans="1:31" x14ac:dyDescent="0.25">
      <c r="A262" s="338">
        <v>16312.5</v>
      </c>
      <c r="B262" s="355">
        <f t="shared" si="102"/>
        <v>16.3125</v>
      </c>
      <c r="C262" s="328">
        <f t="shared" si="84"/>
        <v>5.5611597398861736</v>
      </c>
      <c r="D262" s="329">
        <f t="shared" si="85"/>
        <v>1.3899942769814742</v>
      </c>
      <c r="E262" s="329">
        <f t="shared" si="86"/>
        <v>1.00002287987736</v>
      </c>
      <c r="F262" s="330">
        <f t="shared" si="87"/>
        <v>6.7645311925951359E-3</v>
      </c>
      <c r="G262" s="329">
        <f t="shared" si="88"/>
        <v>1</v>
      </c>
      <c r="H262" s="330">
        <f t="shared" si="89"/>
        <v>0</v>
      </c>
      <c r="I262" s="328">
        <f t="shared" si="90"/>
        <v>29584.7379460015</v>
      </c>
      <c r="J262" s="331">
        <f t="shared" si="91"/>
        <v>1.5707625255828657</v>
      </c>
      <c r="K262" s="339">
        <f t="shared" si="107"/>
        <v>4.9390078180968811</v>
      </c>
      <c r="L262" s="340">
        <f t="shared" si="108"/>
        <v>1.3669170099387165</v>
      </c>
      <c r="M262" s="328">
        <f t="shared" si="92"/>
        <v>1.003081101995692</v>
      </c>
      <c r="N262" s="331">
        <f t="shared" si="93"/>
        <v>7.839912943945454E-2</v>
      </c>
      <c r="O262" s="332">
        <f t="shared" si="94"/>
        <v>1.0010099591925838</v>
      </c>
      <c r="P262" s="333">
        <f t="shared" si="95"/>
        <v>0.11409062452119736</v>
      </c>
      <c r="Q262" s="334">
        <f t="shared" si="96"/>
        <v>6.6367738213962255</v>
      </c>
      <c r="R262" s="335">
        <f t="shared" si="97"/>
        <v>-101.96156486769931</v>
      </c>
      <c r="S262" s="337">
        <f t="shared" si="98"/>
        <v>78.038435132300691</v>
      </c>
      <c r="U262" s="310">
        <f t="shared" si="103"/>
        <v>1000000000</v>
      </c>
      <c r="V262" s="310">
        <f t="shared" si="104"/>
        <v>266097656.25</v>
      </c>
      <c r="X262" s="336">
        <f t="shared" si="99"/>
        <v>1.454777824580137</v>
      </c>
      <c r="Y262" s="337">
        <f t="shared" si="105"/>
        <v>-16.171426971936885</v>
      </c>
      <c r="AA262" s="336">
        <f t="shared" si="100"/>
        <v>5.1819959968160898</v>
      </c>
      <c r="AB262" s="337">
        <f t="shared" si="101"/>
        <v>-85.790137895762427</v>
      </c>
      <c r="AD262">
        <f t="shared" si="106"/>
        <v>0</v>
      </c>
      <c r="AE262">
        <f t="shared" si="109"/>
        <v>0</v>
      </c>
    </row>
    <row r="263" spans="1:31" x14ac:dyDescent="0.25">
      <c r="A263" s="338">
        <v>16407</v>
      </c>
      <c r="B263" s="355">
        <f t="shared" si="102"/>
        <v>16.407</v>
      </c>
      <c r="C263" s="328">
        <f t="shared" si="84"/>
        <v>5.5923373092747948</v>
      </c>
      <c r="D263" s="329">
        <f t="shared" si="85"/>
        <v>1.3910132919821478</v>
      </c>
      <c r="E263" s="329">
        <f t="shared" si="86"/>
        <v>1.0000231457331259</v>
      </c>
      <c r="F263" s="330">
        <f t="shared" si="87"/>
        <v>6.8037176157214659E-3</v>
      </c>
      <c r="G263" s="329">
        <f t="shared" si="88"/>
        <v>1</v>
      </c>
      <c r="H263" s="330">
        <f t="shared" si="89"/>
        <v>0</v>
      </c>
      <c r="I263" s="328">
        <f t="shared" si="90"/>
        <v>29756.125393217571</v>
      </c>
      <c r="J263" s="331">
        <f t="shared" si="91"/>
        <v>1.5707627202689469</v>
      </c>
      <c r="K263" s="339">
        <f t="shared" si="107"/>
        <v>4.966450312905593</v>
      </c>
      <c r="L263" s="340">
        <f t="shared" si="108"/>
        <v>1.3680592987940037</v>
      </c>
      <c r="M263" s="328">
        <f t="shared" si="92"/>
        <v>1.0031168480609742</v>
      </c>
      <c r="N263" s="331">
        <f t="shared" si="93"/>
        <v>7.8851428858519201E-2</v>
      </c>
      <c r="O263" s="332">
        <f t="shared" si="94"/>
        <v>1.001021866167217</v>
      </c>
      <c r="P263" s="333">
        <f t="shared" si="95"/>
        <v>0.11475310035367639</v>
      </c>
      <c r="Q263" s="334">
        <f t="shared" si="96"/>
        <v>6.5857580721144515</v>
      </c>
      <c r="R263" s="335">
        <f t="shared" si="97"/>
        <v>-102.01613965121852</v>
      </c>
      <c r="S263" s="337">
        <f t="shared" si="98"/>
        <v>77.983860348781477</v>
      </c>
      <c r="U263" s="310">
        <f t="shared" si="103"/>
        <v>1000000000</v>
      </c>
      <c r="V263" s="310">
        <f t="shared" si="104"/>
        <v>269189649</v>
      </c>
      <c r="X263" s="336">
        <f t="shared" si="99"/>
        <v>1.4524228550349858</v>
      </c>
      <c r="Y263" s="337">
        <f t="shared" si="105"/>
        <v>-16.131904643978341</v>
      </c>
      <c r="AA263" s="336">
        <f t="shared" si="100"/>
        <v>5.1333352170794644</v>
      </c>
      <c r="AB263" s="337">
        <f t="shared" si="101"/>
        <v>-85.884235007240193</v>
      </c>
      <c r="AD263">
        <f t="shared" si="106"/>
        <v>0</v>
      </c>
      <c r="AE263">
        <f t="shared" si="109"/>
        <v>0</v>
      </c>
    </row>
    <row r="264" spans="1:31" x14ac:dyDescent="0.25">
      <c r="A264" s="338">
        <v>16501.5</v>
      </c>
      <c r="B264" s="355">
        <f t="shared" si="102"/>
        <v>16.5015</v>
      </c>
      <c r="C264" s="328">
        <f t="shared" si="84"/>
        <v>5.6235206213058406</v>
      </c>
      <c r="D264" s="329">
        <f t="shared" si="85"/>
        <v>1.3920210068206043</v>
      </c>
      <c r="E264" s="329">
        <f t="shared" si="86"/>
        <v>1.0000234131245023</v>
      </c>
      <c r="F264" s="330">
        <f t="shared" si="87"/>
        <v>6.8429040179522364E-3</v>
      </c>
      <c r="G264" s="329">
        <f t="shared" si="88"/>
        <v>1</v>
      </c>
      <c r="H264" s="330">
        <f t="shared" si="89"/>
        <v>0</v>
      </c>
      <c r="I264" s="328">
        <f t="shared" si="90"/>
        <v>29927.512840434756</v>
      </c>
      <c r="J264" s="331">
        <f t="shared" si="91"/>
        <v>1.5707629127251903</v>
      </c>
      <c r="K264" s="339">
        <f t="shared" si="107"/>
        <v>4.9938992168305081</v>
      </c>
      <c r="L264" s="340">
        <f t="shared" si="108"/>
        <v>1.3691890319574107</v>
      </c>
      <c r="M264" s="328">
        <f t="shared" si="92"/>
        <v>1.0031527993239999</v>
      </c>
      <c r="N264" s="331">
        <f t="shared" si="93"/>
        <v>7.9303695950841468E-2</v>
      </c>
      <c r="O264" s="332">
        <f t="shared" si="94"/>
        <v>1.0010338458904673</v>
      </c>
      <c r="P264" s="333">
        <f t="shared" si="95"/>
        <v>0.1154156025876589</v>
      </c>
      <c r="Q264" s="334">
        <f t="shared" si="96"/>
        <v>6.5350351439809202</v>
      </c>
      <c r="R264" s="335">
        <f t="shared" si="97"/>
        <v>-102.0707859052343</v>
      </c>
      <c r="S264" s="337">
        <f t="shared" si="98"/>
        <v>77.929214094765697</v>
      </c>
      <c r="U264" s="310">
        <f t="shared" si="103"/>
        <v>1000000000</v>
      </c>
      <c r="V264" s="310">
        <f t="shared" si="104"/>
        <v>272299502.25</v>
      </c>
      <c r="X264" s="336">
        <f t="shared" si="99"/>
        <v>1.4501002211141008</v>
      </c>
      <c r="Y264" s="337">
        <f t="shared" si="105"/>
        <v>-16.093099724228026</v>
      </c>
      <c r="AA264" s="336">
        <f t="shared" si="100"/>
        <v>5.0849349228668199</v>
      </c>
      <c r="AB264" s="337">
        <f t="shared" si="101"/>
        <v>-85.977686181006291</v>
      </c>
      <c r="AD264">
        <f t="shared" si="106"/>
        <v>0</v>
      </c>
      <c r="AE264">
        <f t="shared" si="109"/>
        <v>0</v>
      </c>
    </row>
    <row r="265" spans="1:31" x14ac:dyDescent="0.25">
      <c r="A265" s="338">
        <v>16596</v>
      </c>
      <c r="B265" s="355">
        <f t="shared" si="102"/>
        <v>16.596</v>
      </c>
      <c r="C265" s="328">
        <f t="shared" si="84"/>
        <v>5.6547095809746404</v>
      </c>
      <c r="D265" s="329">
        <f t="shared" si="85"/>
        <v>1.3930176064136666</v>
      </c>
      <c r="E265" s="329">
        <f t="shared" si="86"/>
        <v>1.0000236820514881</v>
      </c>
      <c r="F265" s="330">
        <f t="shared" si="87"/>
        <v>6.8820903991671191E-3</v>
      </c>
      <c r="G265" s="329">
        <f t="shared" si="88"/>
        <v>1</v>
      </c>
      <c r="H265" s="330">
        <f t="shared" si="89"/>
        <v>0</v>
      </c>
      <c r="I265" s="328">
        <f t="shared" si="90"/>
        <v>30098.900287653036</v>
      </c>
      <c r="J265" s="331">
        <f t="shared" si="91"/>
        <v>1.5707631029896869</v>
      </c>
      <c r="K265" s="339">
        <f t="shared" si="107"/>
        <v>5.0213544247665887</v>
      </c>
      <c r="L265" s="340">
        <f t="shared" si="108"/>
        <v>1.3703064124731676</v>
      </c>
      <c r="M265" s="328">
        <f t="shared" si="92"/>
        <v>1.0031889557627081</v>
      </c>
      <c r="N265" s="331">
        <f t="shared" si="93"/>
        <v>7.9755930534888331E-2</v>
      </c>
      <c r="O265" s="332">
        <f t="shared" si="94"/>
        <v>1.0010458984307802</v>
      </c>
      <c r="P265" s="333">
        <f t="shared" si="95"/>
        <v>0.116078131368465</v>
      </c>
      <c r="Q265" s="334">
        <f t="shared" si="96"/>
        <v>6.4846015953025322</v>
      </c>
      <c r="R265" s="335">
        <f t="shared" si="97"/>
        <v>-102.12550259123726</v>
      </c>
      <c r="S265" s="337">
        <f t="shared" si="98"/>
        <v>77.874497408762736</v>
      </c>
      <c r="U265" s="310">
        <f t="shared" si="103"/>
        <v>1000000000</v>
      </c>
      <c r="V265" s="310">
        <f t="shared" si="104"/>
        <v>275427216</v>
      </c>
      <c r="X265" s="336">
        <f t="shared" si="99"/>
        <v>1.4478091742981472</v>
      </c>
      <c r="Y265" s="337">
        <f t="shared" si="105"/>
        <v>-16.055000570889849</v>
      </c>
      <c r="AA265" s="336">
        <f t="shared" si="100"/>
        <v>5.0367924210043844</v>
      </c>
      <c r="AB265" s="337">
        <f t="shared" si="101"/>
        <v>-86.070502020347405</v>
      </c>
      <c r="AD265">
        <f t="shared" si="106"/>
        <v>0</v>
      </c>
      <c r="AE265">
        <f t="shared" si="109"/>
        <v>0</v>
      </c>
    </row>
    <row r="266" spans="1:31" x14ac:dyDescent="0.25">
      <c r="A266" s="338">
        <v>16692.5</v>
      </c>
      <c r="B266" s="355">
        <f t="shared" si="102"/>
        <v>16.692499999999999</v>
      </c>
      <c r="C266" s="328">
        <f t="shared" si="84"/>
        <v>5.6865643560647792</v>
      </c>
      <c r="D266" s="329">
        <f t="shared" si="85"/>
        <v>1.3940240154910508</v>
      </c>
      <c r="E266" s="329">
        <f t="shared" si="86"/>
        <v>1.0000239582547514</v>
      </c>
      <c r="F266" s="330">
        <f t="shared" si="87"/>
        <v>6.9221060999705535E-3</v>
      </c>
      <c r="G266" s="329">
        <f t="shared" si="88"/>
        <v>1</v>
      </c>
      <c r="H266" s="330">
        <f t="shared" si="89"/>
        <v>0</v>
      </c>
      <c r="I266" s="328">
        <f t="shared" si="90"/>
        <v>30273.914982432601</v>
      </c>
      <c r="J266" s="331">
        <f t="shared" si="91"/>
        <v>1.5707632950578134</v>
      </c>
      <c r="K266" s="339">
        <f t="shared" si="107"/>
        <v>5.0493970939877144</v>
      </c>
      <c r="L266" s="340">
        <f t="shared" si="108"/>
        <v>1.3714349002216355</v>
      </c>
      <c r="M266" s="328">
        <f t="shared" si="92"/>
        <v>1.003226089129142</v>
      </c>
      <c r="N266" s="331">
        <f t="shared" si="93"/>
        <v>8.0217702485103168E-2</v>
      </c>
      <c r="O266" s="332">
        <f t="shared" si="94"/>
        <v>1.0010582812678732</v>
      </c>
      <c r="P266" s="333">
        <f t="shared" si="95"/>
        <v>0.11675470946883736</v>
      </c>
      <c r="Q266" s="334">
        <f t="shared" si="96"/>
        <v>6.4333957867460168</v>
      </c>
      <c r="R266" s="335">
        <f t="shared" si="97"/>
        <v>-102.18144892610941</v>
      </c>
      <c r="S266" s="337">
        <f t="shared" si="98"/>
        <v>77.818551073890589</v>
      </c>
      <c r="U266" s="310">
        <f t="shared" si="103"/>
        <v>1000000000</v>
      </c>
      <c r="V266" s="310">
        <f t="shared" si="104"/>
        <v>278639556.25</v>
      </c>
      <c r="X266" s="336">
        <f t="shared" si="99"/>
        <v>1.4455014799853361</v>
      </c>
      <c r="Y266" s="337">
        <f t="shared" si="105"/>
        <v>-16.016811574164649</v>
      </c>
      <c r="AA266" s="336">
        <f t="shared" si="100"/>
        <v>4.987894306760678</v>
      </c>
      <c r="AB266" s="337">
        <f t="shared" si="101"/>
        <v>-86.164637351944762</v>
      </c>
      <c r="AD266">
        <f t="shared" si="106"/>
        <v>0</v>
      </c>
      <c r="AE266">
        <f t="shared" si="109"/>
        <v>0</v>
      </c>
    </row>
    <row r="267" spans="1:31" x14ac:dyDescent="0.25">
      <c r="A267" s="338">
        <v>16789</v>
      </c>
      <c r="B267" s="355">
        <f t="shared" si="102"/>
        <v>16.789000000000001</v>
      </c>
      <c r="C267" s="328">
        <f t="shared" si="84"/>
        <v>5.7184248266714572</v>
      </c>
      <c r="D267" s="329">
        <f t="shared" si="85"/>
        <v>1.3950192110568702</v>
      </c>
      <c r="E267" s="329">
        <f t="shared" si="86"/>
        <v>1.0000242360593088</v>
      </c>
      <c r="F267" s="330">
        <f t="shared" si="87"/>
        <v>6.9621217786055151E-3</v>
      </c>
      <c r="G267" s="329">
        <f t="shared" si="88"/>
        <v>1</v>
      </c>
      <c r="H267" s="330">
        <f t="shared" si="89"/>
        <v>0</v>
      </c>
      <c r="I267" s="328">
        <f t="shared" si="90"/>
        <v>30448.929677213273</v>
      </c>
      <c r="J267" s="331">
        <f t="shared" si="91"/>
        <v>1.5707634849179972</v>
      </c>
      <c r="K267" s="339">
        <f t="shared" si="107"/>
        <v>5.0774461225042735</v>
      </c>
      <c r="L267" s="340">
        <f t="shared" si="108"/>
        <v>1.3725509213050542</v>
      </c>
      <c r="M267" s="328">
        <f t="shared" si="92"/>
        <v>1.0032634364009574</v>
      </c>
      <c r="N267" s="331">
        <f t="shared" si="93"/>
        <v>8.0679440154120485E-2</v>
      </c>
      <c r="O267" s="332">
        <f t="shared" si="94"/>
        <v>1.0010707401823458</v>
      </c>
      <c r="P267" s="333">
        <f t="shared" si="95"/>
        <v>0.11743131555750703</v>
      </c>
      <c r="Q267" s="334">
        <f t="shared" si="96"/>
        <v>6.3824846720808379</v>
      </c>
      <c r="R267" s="335">
        <f t="shared" si="97"/>
        <v>-102.23746657559514</v>
      </c>
      <c r="S267" s="337">
        <f t="shared" si="98"/>
        <v>77.762533424404864</v>
      </c>
      <c r="U267" s="310">
        <f t="shared" si="103"/>
        <v>1000000000</v>
      </c>
      <c r="V267" s="310">
        <f t="shared" si="104"/>
        <v>281870521</v>
      </c>
      <c r="X267" s="336">
        <f t="shared" si="99"/>
        <v>1.4432252103906904</v>
      </c>
      <c r="Y267" s="337">
        <f t="shared" si="105"/>
        <v>-15.979334774058444</v>
      </c>
      <c r="AA267" s="336">
        <f t="shared" si="100"/>
        <v>4.9392594616901464</v>
      </c>
      <c r="AB267" s="337">
        <f t="shared" si="101"/>
        <v>-86.258131801536678</v>
      </c>
      <c r="AD267">
        <f t="shared" si="106"/>
        <v>0</v>
      </c>
      <c r="AE267">
        <f t="shared" si="109"/>
        <v>0</v>
      </c>
    </row>
    <row r="268" spans="1:31" x14ac:dyDescent="0.25">
      <c r="A268" s="338">
        <v>16885.5</v>
      </c>
      <c r="B268" s="355">
        <f t="shared" si="102"/>
        <v>16.8855</v>
      </c>
      <c r="C268" s="328">
        <f t="shared" si="84"/>
        <v>5.7502908981237235</v>
      </c>
      <c r="D268" s="329">
        <f t="shared" si="85"/>
        <v>1.3960033775471532</v>
      </c>
      <c r="E268" s="329">
        <f t="shared" si="86"/>
        <v>1.0000245154651586</v>
      </c>
      <c r="F268" s="330">
        <f t="shared" si="87"/>
        <v>7.0021374349438703E-3</v>
      </c>
      <c r="G268" s="329">
        <f t="shared" si="88"/>
        <v>1</v>
      </c>
      <c r="H268" s="330">
        <f t="shared" si="89"/>
        <v>0</v>
      </c>
      <c r="I268" s="328">
        <f t="shared" si="90"/>
        <v>30623.944371995025</v>
      </c>
      <c r="J268" s="331">
        <f t="shared" si="91"/>
        <v>1.5707636726080934</v>
      </c>
      <c r="K268" s="339">
        <f t="shared" si="107"/>
        <v>5.1055014055045849</v>
      </c>
      <c r="L268" s="340">
        <f t="shared" si="108"/>
        <v>1.3736546784372721</v>
      </c>
      <c r="M268" s="328">
        <f t="shared" si="92"/>
        <v>1.0033009975542673</v>
      </c>
      <c r="N268" s="331">
        <f t="shared" si="93"/>
        <v>8.1141143348893136E-2</v>
      </c>
      <c r="O268" s="332">
        <f t="shared" si="94"/>
        <v>1.0010832752483372</v>
      </c>
      <c r="P268" s="333">
        <f t="shared" si="95"/>
        <v>0.11810794978883941</v>
      </c>
      <c r="Q268" s="334">
        <f t="shared" si="96"/>
        <v>6.3318647756283362</v>
      </c>
      <c r="R268" s="335">
        <f t="shared" si="97"/>
        <v>-102.29355449241243</v>
      </c>
      <c r="S268" s="337">
        <f t="shared" si="98"/>
        <v>77.706445507587574</v>
      </c>
      <c r="U268" s="310">
        <f t="shared" si="103"/>
        <v>1000000000</v>
      </c>
      <c r="V268" s="310">
        <f t="shared" si="104"/>
        <v>285120110.25</v>
      </c>
      <c r="X268" s="336">
        <f t="shared" si="99"/>
        <v>1.4409796319213517</v>
      </c>
      <c r="Y268" s="337">
        <f t="shared" si="105"/>
        <v>-15.942558547031419</v>
      </c>
      <c r="AA268" s="336">
        <f t="shared" si="100"/>
        <v>4.890885143706984</v>
      </c>
      <c r="AB268" s="337">
        <f t="shared" si="101"/>
        <v>-86.350995945380987</v>
      </c>
      <c r="AD268">
        <f t="shared" si="106"/>
        <v>0</v>
      </c>
      <c r="AE268">
        <f t="shared" si="109"/>
        <v>0</v>
      </c>
    </row>
    <row r="269" spans="1:31" x14ac:dyDescent="0.25">
      <c r="A269" s="338">
        <v>16982</v>
      </c>
      <c r="B269" s="355">
        <f t="shared" si="102"/>
        <v>16.981999999999999</v>
      </c>
      <c r="C269" s="328">
        <f t="shared" ref="C269:C332" si="110">SQRT(1+(A269/pole1)^2)</f>
        <v>5.7821624778211298</v>
      </c>
      <c r="D269" s="329">
        <f t="shared" ref="D269:D332" si="111">ATAN(A269/pole1)</f>
        <v>1.396976695417981</v>
      </c>
      <c r="E269" s="329">
        <f t="shared" ref="E269:E332" si="112">SQRT(1+(A269/Zero1)^2)</f>
        <v>1.0000247964722992</v>
      </c>
      <c r="F269" s="330">
        <f t="shared" ref="F269:F332" si="113">ATAN(A269/Zero1)</f>
        <v>7.0421530688574872E-3</v>
      </c>
      <c r="G269" s="329">
        <f t="shared" ref="G269:G332" si="114">IF(VIN_nom&gt;Vout, 1, SQRT(1+(A269/z_RHP)^2))</f>
        <v>1</v>
      </c>
      <c r="H269" s="330">
        <f t="shared" ref="H269:H332" si="115">IF(VIN_nom&gt;Vout, 0, -ATAN(A269/z_RHP))</f>
        <v>0</v>
      </c>
      <c r="I269" s="328">
        <f t="shared" ref="I269:I332" si="116">SQRT(1+(A269/Pole2)^2)</f>
        <v>30798.95906677785</v>
      </c>
      <c r="J269" s="331">
        <f t="shared" ref="J269:J332" si="117">ATAN(A269/Pole2)</f>
        <v>1.5707638581650962</v>
      </c>
      <c r="K269" s="339">
        <f t="shared" si="107"/>
        <v>5.1335628404450668</v>
      </c>
      <c r="L269" s="340">
        <f t="shared" si="108"/>
        <v>1.3747463700207998</v>
      </c>
      <c r="M269" s="328">
        <f t="shared" ref="M269:M332" si="118">SQRT(1+(A269/pole4)^2)</f>
        <v>1.0033387725650502</v>
      </c>
      <c r="N269" s="331">
        <f t="shared" ref="N269:N332" si="119">ATAN(A269/pole4)</f>
        <v>8.1602811876461581E-2</v>
      </c>
      <c r="O269" s="332">
        <f t="shared" ref="O269:O332" si="120">SQRT((1-(V269/pterm2))^2+(A269/pterm1)^2)</f>
        <v>1.0010958865404098</v>
      </c>
      <c r="P269" s="333">
        <f t="shared" ref="P269:P332" si="121">IF((ATAN((A269/pterm1)/(1-A269^2/pterm2))&gt;0),ATAN((A269/pterm1)/(1-A269^2/pterm2)),PI()+ATAN((A269/pterm1)/(1-A269^2/pterm2)))</f>
        <v>0.11878461231707113</v>
      </c>
      <c r="Q269" s="334">
        <f t="shared" ref="Q269:Q332" si="122">20*LOG10(((E269*K269*G269)/(C269*I269*O269*M269))*Adc)</f>
        <v>6.2815326824971107</v>
      </c>
      <c r="R269" s="335">
        <f t="shared" ref="R269:R332" si="123">((F269+L269+H269)-(D269+J269+P269+N269))*radconv</f>
        <v>-102.34971164821494</v>
      </c>
      <c r="S269" s="337">
        <f t="shared" ref="S269:S332" si="124">IF(R269&gt;0,R269,R269+180)</f>
        <v>77.650288351785065</v>
      </c>
      <c r="U269" s="310">
        <f t="shared" si="103"/>
        <v>1000000000</v>
      </c>
      <c r="V269" s="310">
        <f t="shared" si="104"/>
        <v>288388324</v>
      </c>
      <c r="X269" s="336">
        <f t="shared" ref="X269:X332" si="125">20*LOG10((K269/(I269*M269))*AEA*Afb_Ch2)</f>
        <v>1.4387640309940068</v>
      </c>
      <c r="Y269" s="337">
        <f t="shared" si="105"/>
        <v>-15.906471516520906</v>
      </c>
      <c r="AA269" s="336">
        <f t="shared" ref="AA269:AA332" si="126">20*LOG10((E269*G269/(C269*O269))*Am_Ch2)</f>
        <v>4.8427686515031034</v>
      </c>
      <c r="AB269" s="337">
        <f t="shared" ref="AB269:AB332" si="127">(F269+H269-(D269+P269))*radconv</f>
        <v>-86.443240131694026</v>
      </c>
      <c r="AD269">
        <f t="shared" si="106"/>
        <v>0</v>
      </c>
      <c r="AE269">
        <f t="shared" si="109"/>
        <v>0</v>
      </c>
    </row>
    <row r="270" spans="1:31" x14ac:dyDescent="0.25">
      <c r="A270" s="338">
        <v>17081</v>
      </c>
      <c r="B270" s="355">
        <f t="shared" ref="B270:B333" si="128">A270/1000</f>
        <v>17.081</v>
      </c>
      <c r="C270" s="328">
        <f t="shared" si="110"/>
        <v>5.8148653753203909</v>
      </c>
      <c r="D270" s="329">
        <f t="shared" si="111"/>
        <v>1.3979641400010812</v>
      </c>
      <c r="E270" s="329">
        <f t="shared" si="112"/>
        <v>1.0000250864234712</v>
      </c>
      <c r="F270" s="330">
        <f t="shared" si="113"/>
        <v>7.0832053537868318E-3</v>
      </c>
      <c r="G270" s="329">
        <f t="shared" si="114"/>
        <v>1</v>
      </c>
      <c r="H270" s="330">
        <f t="shared" si="115"/>
        <v>0</v>
      </c>
      <c r="I270" s="328">
        <f t="shared" si="116"/>
        <v>30978.507821012096</v>
      </c>
      <c r="J270" s="331">
        <f t="shared" si="117"/>
        <v>1.5707640463504688</v>
      </c>
      <c r="K270" s="339">
        <f t="shared" si="107"/>
        <v>5.1623575434806375</v>
      </c>
      <c r="L270" s="340">
        <f t="shared" si="108"/>
        <v>1.3758540088339628</v>
      </c>
      <c r="M270" s="328">
        <f t="shared" si="118"/>
        <v>1.0033777484175006</v>
      </c>
      <c r="N270" s="331">
        <f t="shared" si="119"/>
        <v>8.2076404500408068E-2</v>
      </c>
      <c r="O270" s="332">
        <f t="shared" si="120"/>
        <v>1.0011089038423073</v>
      </c>
      <c r="P270" s="333">
        <f t="shared" si="121"/>
        <v>0.11947883453015969</v>
      </c>
      <c r="Q270" s="334">
        <f t="shared" si="122"/>
        <v>6.2301922163450119</v>
      </c>
      <c r="R270" s="335">
        <f t="shared" si="123"/>
        <v>-102.40739454715307</v>
      </c>
      <c r="S270" s="337">
        <f t="shared" si="124"/>
        <v>77.592605452846925</v>
      </c>
      <c r="U270" s="310">
        <f t="shared" ref="U270:U333" si="129">IF(Q270&lt;0,A270,1000000000)</f>
        <v>1000000000</v>
      </c>
      <c r="V270" s="310">
        <f t="shared" ref="V270:V333" si="130">A270^2</f>
        <v>291760561</v>
      </c>
      <c r="X270" s="336">
        <f t="shared" si="125"/>
        <v>1.4365214560781721</v>
      </c>
      <c r="Y270" s="337">
        <f t="shared" ref="Y270:Y333" si="131">(L270-(J270+N270))*radconv</f>
        <v>-15.870154128048567</v>
      </c>
      <c r="AA270" s="336">
        <f t="shared" si="126"/>
        <v>4.7936707602668402</v>
      </c>
      <c r="AB270" s="337">
        <f t="shared" si="127"/>
        <v>-86.537240419104521</v>
      </c>
      <c r="AD270">
        <f t="shared" ref="AD270:AD333" si="132">SUM((Q271&lt;0)*(Q270&gt;0))*A270</f>
        <v>0</v>
      </c>
      <c r="AE270">
        <f t="shared" si="109"/>
        <v>0</v>
      </c>
    </row>
    <row r="271" spans="1:31" x14ac:dyDescent="0.25">
      <c r="A271" s="338">
        <v>17180</v>
      </c>
      <c r="B271" s="355">
        <f t="shared" si="128"/>
        <v>17.18</v>
      </c>
      <c r="C271" s="328">
        <f t="shared" si="110"/>
        <v>5.8475738791653606</v>
      </c>
      <c r="D271" s="329">
        <f t="shared" si="111"/>
        <v>1.3989405389512561</v>
      </c>
      <c r="E271" s="329">
        <f t="shared" si="112"/>
        <v>1.0000253780599746</v>
      </c>
      <c r="F271" s="330">
        <f t="shared" si="113"/>
        <v>7.1242576148412787E-3</v>
      </c>
      <c r="G271" s="329">
        <f t="shared" si="114"/>
        <v>1</v>
      </c>
      <c r="H271" s="330">
        <f t="shared" si="115"/>
        <v>0</v>
      </c>
      <c r="I271" s="328">
        <f t="shared" si="116"/>
        <v>31158.056575247425</v>
      </c>
      <c r="J271" s="331">
        <f t="shared" si="117"/>
        <v>1.5707642323669995</v>
      </c>
      <c r="K271" s="339">
        <f t="shared" si="107"/>
        <v>5.1911585097586324</v>
      </c>
      <c r="L271" s="340">
        <f t="shared" si="108"/>
        <v>1.3769493584395549</v>
      </c>
      <c r="M271" s="328">
        <f t="shared" si="118"/>
        <v>1.0034169493000069</v>
      </c>
      <c r="N271" s="331">
        <f t="shared" si="119"/>
        <v>8.254996022650482E-2</v>
      </c>
      <c r="O271" s="332">
        <f t="shared" si="120"/>
        <v>1.0011220015313325</v>
      </c>
      <c r="P271" s="333">
        <f t="shared" si="121"/>
        <v>0.12017308685374938</v>
      </c>
      <c r="Q271" s="334">
        <f t="shared" si="122"/>
        <v>6.1791475677093164</v>
      </c>
      <c r="R271" s="335">
        <f t="shared" si="123"/>
        <v>-102.46514818588604</v>
      </c>
      <c r="S271" s="337">
        <f t="shared" si="124"/>
        <v>77.534851814113964</v>
      </c>
      <c r="U271" s="310">
        <f t="shared" si="129"/>
        <v>1000000000</v>
      </c>
      <c r="V271" s="310">
        <f t="shared" si="130"/>
        <v>295152400</v>
      </c>
      <c r="X271" s="336">
        <f t="shared" si="125"/>
        <v>1.4343089723971008</v>
      </c>
      <c r="Y271" s="337">
        <f t="shared" si="131"/>
        <v>-15.834538620947839</v>
      </c>
      <c r="AA271" s="336">
        <f t="shared" si="126"/>
        <v>4.7448385953122143</v>
      </c>
      <c r="AB271" s="337">
        <f t="shared" si="127"/>
        <v>-86.630609564938183</v>
      </c>
      <c r="AD271">
        <f t="shared" si="132"/>
        <v>0</v>
      </c>
      <c r="AE271">
        <f t="shared" si="109"/>
        <v>0</v>
      </c>
    </row>
    <row r="272" spans="1:31" x14ac:dyDescent="0.25">
      <c r="A272" s="338">
        <v>17279</v>
      </c>
      <c r="B272" s="355">
        <f t="shared" si="128"/>
        <v>17.279</v>
      </c>
      <c r="C272" s="328">
        <f t="shared" si="110"/>
        <v>5.8802878958018532</v>
      </c>
      <c r="D272" s="329">
        <f t="shared" si="111"/>
        <v>1.3999060747427883</v>
      </c>
      <c r="E272" s="329">
        <f t="shared" si="112"/>
        <v>1.0000256713818079</v>
      </c>
      <c r="F272" s="330">
        <f t="shared" si="113"/>
        <v>7.1653098518824803E-3</v>
      </c>
      <c r="G272" s="329">
        <f t="shared" si="114"/>
        <v>1</v>
      </c>
      <c r="H272" s="330">
        <f t="shared" si="115"/>
        <v>0</v>
      </c>
      <c r="I272" s="328">
        <f t="shared" si="116"/>
        <v>31337.605329483817</v>
      </c>
      <c r="J272" s="331">
        <f t="shared" si="117"/>
        <v>1.5707644162519672</v>
      </c>
      <c r="K272" s="339">
        <f t="shared" si="107"/>
        <v>5.21996563560743</v>
      </c>
      <c r="L272" s="340">
        <f t="shared" si="108"/>
        <v>1.3780326196464459</v>
      </c>
      <c r="M272" s="328">
        <f t="shared" si="118"/>
        <v>1.0034563751861962</v>
      </c>
      <c r="N272" s="331">
        <f t="shared" si="119"/>
        <v>8.3023478846694199E-2</v>
      </c>
      <c r="O272" s="332">
        <f t="shared" si="120"/>
        <v>1.0011351796893804</v>
      </c>
      <c r="P272" s="333">
        <f t="shared" si="121"/>
        <v>0.12086736945394985</v>
      </c>
      <c r="Q272" s="334">
        <f t="shared" si="122"/>
        <v>6.1283952396391257</v>
      </c>
      <c r="R272" s="335">
        <f t="shared" si="123"/>
        <v>-102.5229715136597</v>
      </c>
      <c r="S272" s="337">
        <f t="shared" si="124"/>
        <v>77.477028486340302</v>
      </c>
      <c r="U272" s="310">
        <f t="shared" si="129"/>
        <v>1000000000</v>
      </c>
      <c r="V272" s="310">
        <f t="shared" si="130"/>
        <v>298563841</v>
      </c>
      <c r="X272" s="336">
        <f t="shared" si="125"/>
        <v>1.4321258709315714</v>
      </c>
      <c r="Y272" s="337">
        <f t="shared" si="131"/>
        <v>-15.799613479933109</v>
      </c>
      <c r="AA272" s="336">
        <f t="shared" si="126"/>
        <v>4.6962693687075525</v>
      </c>
      <c r="AB272" s="337">
        <f t="shared" si="127"/>
        <v>-86.723358033726626</v>
      </c>
      <c r="AD272">
        <f t="shared" si="132"/>
        <v>0</v>
      </c>
      <c r="AE272">
        <f t="shared" si="109"/>
        <v>0</v>
      </c>
    </row>
    <row r="273" spans="1:31" x14ac:dyDescent="0.25">
      <c r="A273" s="338">
        <v>17378</v>
      </c>
      <c r="B273" s="355">
        <f t="shared" si="128"/>
        <v>17.378</v>
      </c>
      <c r="C273" s="328">
        <f t="shared" si="110"/>
        <v>5.9130073337304649</v>
      </c>
      <c r="D273" s="329">
        <f t="shared" si="111"/>
        <v>1.4008609258931404</v>
      </c>
      <c r="E273" s="329">
        <f t="shared" si="112"/>
        <v>1.0000259663889697</v>
      </c>
      <c r="F273" s="330">
        <f t="shared" si="113"/>
        <v>7.2063620647720879E-3</v>
      </c>
      <c r="G273" s="329">
        <f t="shared" si="114"/>
        <v>1</v>
      </c>
      <c r="H273" s="330">
        <f t="shared" si="115"/>
        <v>0</v>
      </c>
      <c r="I273" s="328">
        <f t="shared" si="116"/>
        <v>31517.15408372126</v>
      </c>
      <c r="J273" s="331">
        <f t="shared" si="117"/>
        <v>1.5707645980418019</v>
      </c>
      <c r="K273" s="339">
        <f t="shared" si="107"/>
        <v>5.2487788196094245</v>
      </c>
      <c r="L273" s="340">
        <f t="shared" si="108"/>
        <v>1.3791039889690435</v>
      </c>
      <c r="M273" s="328">
        <f t="shared" si="118"/>
        <v>1.0034960260495485</v>
      </c>
      <c r="N273" s="331">
        <f t="shared" si="119"/>
        <v>8.3496960153017677E-2</v>
      </c>
      <c r="O273" s="332">
        <f t="shared" si="120"/>
        <v>1.0011484383988132</v>
      </c>
      <c r="P273" s="333">
        <f t="shared" si="121"/>
        <v>0.12156168249672472</v>
      </c>
      <c r="Q273" s="334">
        <f t="shared" si="122"/>
        <v>6.0779317964603861</v>
      </c>
      <c r="R273" s="335">
        <f t="shared" si="123"/>
        <v>-102.58086349901423</v>
      </c>
      <c r="S273" s="337">
        <f t="shared" si="124"/>
        <v>77.419136500985772</v>
      </c>
      <c r="U273" s="310">
        <f t="shared" si="129"/>
        <v>1000000000</v>
      </c>
      <c r="V273" s="310">
        <f t="shared" si="130"/>
        <v>301994884</v>
      </c>
      <c r="X273" s="336">
        <f t="shared" si="125"/>
        <v>1.4299714620850712</v>
      </c>
      <c r="Y273" s="337">
        <f t="shared" si="131"/>
        <v>-15.765367435730315</v>
      </c>
      <c r="AA273" s="336">
        <f t="shared" si="126"/>
        <v>4.6479603343753144</v>
      </c>
      <c r="AB273" s="337">
        <f t="shared" si="127"/>
        <v>-86.815496063283931</v>
      </c>
      <c r="AD273">
        <f t="shared" si="132"/>
        <v>0</v>
      </c>
      <c r="AE273">
        <f t="shared" si="109"/>
        <v>0</v>
      </c>
    </row>
    <row r="274" spans="1:31" x14ac:dyDescent="0.25">
      <c r="A274" s="338">
        <v>17479.25</v>
      </c>
      <c r="B274" s="355">
        <f t="shared" si="128"/>
        <v>17.47925</v>
      </c>
      <c r="C274" s="328">
        <f t="shared" si="110"/>
        <v>5.9464759094930653</v>
      </c>
      <c r="D274" s="329">
        <f t="shared" si="111"/>
        <v>1.4018266085684326</v>
      </c>
      <c r="E274" s="329">
        <f t="shared" si="112"/>
        <v>1.0000262698440561</v>
      </c>
      <c r="F274" s="330">
        <f t="shared" si="113"/>
        <v>7.2483472573747296E-3</v>
      </c>
      <c r="G274" s="329">
        <f t="shared" si="114"/>
        <v>1</v>
      </c>
      <c r="H274" s="330">
        <f t="shared" si="115"/>
        <v>0</v>
      </c>
      <c r="I274" s="328">
        <f t="shared" si="116"/>
        <v>31700.783491465158</v>
      </c>
      <c r="J274" s="331">
        <f t="shared" si="117"/>
        <v>1.570764781833226</v>
      </c>
      <c r="K274" s="339">
        <f t="shared" si="107"/>
        <v>5.2782530115511213</v>
      </c>
      <c r="L274" s="340">
        <f t="shared" si="108"/>
        <v>1.3801876076556516</v>
      </c>
      <c r="M274" s="328">
        <f t="shared" si="118"/>
        <v>1.0035368107460352</v>
      </c>
      <c r="N274" s="331">
        <f t="shared" si="119"/>
        <v>8.3981163585928137E-2</v>
      </c>
      <c r="O274" s="332">
        <f t="shared" si="120"/>
        <v>1.001162081847137</v>
      </c>
      <c r="P274" s="333">
        <f t="shared" si="121"/>
        <v>0.12227180704244336</v>
      </c>
      <c r="Q274" s="334">
        <f t="shared" si="122"/>
        <v>6.0266167468106424</v>
      </c>
      <c r="R274" s="335">
        <f t="shared" si="123"/>
        <v>-102.64014117204553</v>
      </c>
      <c r="S274" s="337">
        <f t="shared" si="124"/>
        <v>77.359858827954469</v>
      </c>
      <c r="U274" s="310">
        <f t="shared" si="129"/>
        <v>1000000000</v>
      </c>
      <c r="V274" s="310">
        <f t="shared" si="130"/>
        <v>305524180.5625</v>
      </c>
      <c r="X274" s="336">
        <f t="shared" si="125"/>
        <v>1.4277970685939025</v>
      </c>
      <c r="Y274" s="337">
        <f t="shared" si="131"/>
        <v>-15.731034001951354</v>
      </c>
      <c r="AA274" s="336">
        <f t="shared" si="126"/>
        <v>4.5988196782167403</v>
      </c>
      <c r="AB274" s="337">
        <f t="shared" si="127"/>
        <v>-86.909107170094174</v>
      </c>
      <c r="AD274">
        <f t="shared" si="132"/>
        <v>0</v>
      </c>
      <c r="AE274">
        <f t="shared" si="109"/>
        <v>0</v>
      </c>
    </row>
    <row r="275" spans="1:31" x14ac:dyDescent="0.25">
      <c r="A275" s="338">
        <v>17580.5</v>
      </c>
      <c r="B275" s="355">
        <f t="shared" si="128"/>
        <v>17.580500000000001</v>
      </c>
      <c r="C275" s="328">
        <f t="shared" si="110"/>
        <v>5.9799499685249735</v>
      </c>
      <c r="D275" s="329">
        <f t="shared" si="111"/>
        <v>1.402781480892006</v>
      </c>
      <c r="E275" s="329">
        <f t="shared" si="112"/>
        <v>1.0000265750619441</v>
      </c>
      <c r="F275" s="330">
        <f t="shared" si="113"/>
        <v>7.2903324244227982E-3</v>
      </c>
      <c r="G275" s="329">
        <f t="shared" si="114"/>
        <v>1</v>
      </c>
      <c r="H275" s="330">
        <f t="shared" si="115"/>
        <v>0</v>
      </c>
      <c r="I275" s="328">
        <f t="shared" si="116"/>
        <v>31884.412899210125</v>
      </c>
      <c r="J275" s="331">
        <f t="shared" si="117"/>
        <v>1.5707649635076588</v>
      </c>
      <c r="K275" s="339">
        <f t="shared" si="107"/>
        <v>5.3077333325343004</v>
      </c>
      <c r="L275" s="340">
        <f t="shared" si="108"/>
        <v>1.3812591902747988</v>
      </c>
      <c r="M275" s="328">
        <f t="shared" si="118"/>
        <v>1.0035778307055465</v>
      </c>
      <c r="N275" s="331">
        <f t="shared" si="119"/>
        <v>8.4465327549953229E-2</v>
      </c>
      <c r="O275" s="332">
        <f t="shared" si="120"/>
        <v>1.0011758097256325</v>
      </c>
      <c r="P275" s="333">
        <f t="shared" si="121"/>
        <v>0.12298196378087468</v>
      </c>
      <c r="Q275" s="334">
        <f t="shared" si="122"/>
        <v>5.9755967836008246</v>
      </c>
      <c r="R275" s="335">
        <f t="shared" si="123"/>
        <v>-102.69948853669135</v>
      </c>
      <c r="S275" s="337">
        <f t="shared" si="124"/>
        <v>77.300511463308652</v>
      </c>
      <c r="U275" s="310">
        <f t="shared" si="129"/>
        <v>1000000000</v>
      </c>
      <c r="V275" s="310">
        <f t="shared" si="130"/>
        <v>309073980.25</v>
      </c>
      <c r="X275" s="336">
        <f t="shared" si="125"/>
        <v>1.4256512872619234</v>
      </c>
      <c r="Y275" s="337">
        <f t="shared" si="131"/>
        <v>-15.697387801345398</v>
      </c>
      <c r="AA275" s="336">
        <f t="shared" si="126"/>
        <v>4.5499454963388999</v>
      </c>
      <c r="AB275" s="337">
        <f t="shared" si="127"/>
        <v>-87.002100735345934</v>
      </c>
      <c r="AD275">
        <f t="shared" si="132"/>
        <v>0</v>
      </c>
      <c r="AE275">
        <f t="shared" si="109"/>
        <v>0</v>
      </c>
    </row>
    <row r="276" spans="1:31" x14ac:dyDescent="0.25">
      <c r="A276" s="338">
        <v>17681.75</v>
      </c>
      <c r="B276" s="355">
        <f t="shared" si="128"/>
        <v>17.681750000000001</v>
      </c>
      <c r="C276" s="328">
        <f t="shared" si="110"/>
        <v>6.013429419257502</v>
      </c>
      <c r="D276" s="329">
        <f t="shared" si="111"/>
        <v>1.4037257216660777</v>
      </c>
      <c r="E276" s="329">
        <f t="shared" si="112"/>
        <v>1.0000268820426323</v>
      </c>
      <c r="F276" s="330">
        <f t="shared" si="113"/>
        <v>7.3323175657682982E-3</v>
      </c>
      <c r="G276" s="329">
        <f t="shared" si="114"/>
        <v>1</v>
      </c>
      <c r="H276" s="330">
        <f t="shared" si="115"/>
        <v>0</v>
      </c>
      <c r="I276" s="328">
        <f t="shared" si="116"/>
        <v>32068.042306956122</v>
      </c>
      <c r="J276" s="331">
        <f t="shared" si="117"/>
        <v>1.5707651431014678</v>
      </c>
      <c r="K276" s="339">
        <f t="shared" si="107"/>
        <v>5.3372196809970349</v>
      </c>
      <c r="L276" s="340">
        <f t="shared" si="108"/>
        <v>1.3823189338306039</v>
      </c>
      <c r="M276" s="328">
        <f t="shared" si="118"/>
        <v>1.0036190858992355</v>
      </c>
      <c r="N276" s="331">
        <f t="shared" si="119"/>
        <v>8.4949451822956129E-2</v>
      </c>
      <c r="O276" s="332">
        <f t="shared" si="120"/>
        <v>1.001189622123924</v>
      </c>
      <c r="P276" s="333">
        <f t="shared" si="121"/>
        <v>0.1236921528890777</v>
      </c>
      <c r="Q276" s="334">
        <f t="shared" si="122"/>
        <v>5.9248684212730431</v>
      </c>
      <c r="R276" s="335">
        <f t="shared" si="123"/>
        <v>-102.75890454956891</v>
      </c>
      <c r="S276" s="337">
        <f t="shared" si="124"/>
        <v>77.241095450431089</v>
      </c>
      <c r="U276" s="310">
        <f t="shared" si="129"/>
        <v>1000000000</v>
      </c>
      <c r="V276" s="310">
        <f t="shared" si="130"/>
        <v>312644283.0625</v>
      </c>
      <c r="X276" s="336">
        <f t="shared" si="125"/>
        <v>1.4235334394100412</v>
      </c>
      <c r="Y276" s="337">
        <f t="shared" si="131"/>
        <v>-15.664417535764093</v>
      </c>
      <c r="AA276" s="336">
        <f t="shared" si="126"/>
        <v>4.5013349818629997</v>
      </c>
      <c r="AB276" s="337">
        <f t="shared" si="127"/>
        <v>-87.094487013804823</v>
      </c>
      <c r="AD276">
        <f t="shared" si="132"/>
        <v>0</v>
      </c>
      <c r="AE276">
        <f t="shared" si="109"/>
        <v>0</v>
      </c>
    </row>
    <row r="277" spans="1:31" x14ac:dyDescent="0.25">
      <c r="A277" s="338">
        <v>17783</v>
      </c>
      <c r="B277" s="355">
        <f t="shared" si="128"/>
        <v>17.783000000000001</v>
      </c>
      <c r="C277" s="328">
        <f t="shared" si="110"/>
        <v>6.0469141721352981</v>
      </c>
      <c r="D277" s="329">
        <f t="shared" si="111"/>
        <v>1.4046595058091913</v>
      </c>
      <c r="E277" s="329">
        <f t="shared" si="112"/>
        <v>1.0000271907861189</v>
      </c>
      <c r="F277" s="330">
        <f t="shared" si="113"/>
        <v>7.3743026812632352E-3</v>
      </c>
      <c r="G277" s="329">
        <f t="shared" si="114"/>
        <v>1</v>
      </c>
      <c r="H277" s="330">
        <f t="shared" si="115"/>
        <v>0</v>
      </c>
      <c r="I277" s="328">
        <f t="shared" si="116"/>
        <v>32251.671714703149</v>
      </c>
      <c r="J277" s="331">
        <f t="shared" si="117"/>
        <v>1.5707653206501917</v>
      </c>
      <c r="K277" s="339">
        <f t="shared" si="107"/>
        <v>5.3667119575889037</v>
      </c>
      <c r="L277" s="340">
        <f t="shared" si="108"/>
        <v>1.3833670311044137</v>
      </c>
      <c r="M277" s="328">
        <f t="shared" si="118"/>
        <v>1.0036605762980946</v>
      </c>
      <c r="N277" s="331">
        <f t="shared" si="119"/>
        <v>8.5433536182910802E-2</v>
      </c>
      <c r="O277" s="332">
        <f t="shared" si="120"/>
        <v>1.001203519132148</v>
      </c>
      <c r="P277" s="333">
        <f t="shared" si="121"/>
        <v>0.12440237454394784</v>
      </c>
      <c r="Q277" s="334">
        <f t="shared" si="122"/>
        <v>5.8744282352743635</v>
      </c>
      <c r="R277" s="335">
        <f t="shared" si="123"/>
        <v>-102.8183881866739</v>
      </c>
      <c r="S277" s="337">
        <f t="shared" si="124"/>
        <v>77.1816118133261</v>
      </c>
      <c r="U277" s="310">
        <f t="shared" si="129"/>
        <v>1000000000</v>
      </c>
      <c r="V277" s="310">
        <f t="shared" si="130"/>
        <v>316235089</v>
      </c>
      <c r="X277" s="336">
        <f t="shared" si="125"/>
        <v>1.4214428649724042</v>
      </c>
      <c r="Y277" s="337">
        <f t="shared" si="131"/>
        <v>-15.632112148964946</v>
      </c>
      <c r="AA277" s="336">
        <f t="shared" si="126"/>
        <v>4.4529853703019615</v>
      </c>
      <c r="AB277" s="337">
        <f t="shared" si="127"/>
        <v>-87.186276037708978</v>
      </c>
      <c r="AD277">
        <f t="shared" si="132"/>
        <v>0</v>
      </c>
      <c r="AE277">
        <f t="shared" si="109"/>
        <v>0</v>
      </c>
    </row>
    <row r="278" spans="1:31" x14ac:dyDescent="0.25">
      <c r="A278" s="338">
        <v>17886.5</v>
      </c>
      <c r="B278" s="355">
        <f t="shared" si="128"/>
        <v>17.886500000000002</v>
      </c>
      <c r="C278" s="328">
        <f t="shared" si="110"/>
        <v>6.0811484196274748</v>
      </c>
      <c r="D278" s="329">
        <f t="shared" si="111"/>
        <v>1.4056034111182847</v>
      </c>
      <c r="E278" s="329">
        <f t="shared" si="112"/>
        <v>1.0000275082125636</v>
      </c>
      <c r="F278" s="330">
        <f t="shared" si="113"/>
        <v>7.417220772451996E-3</v>
      </c>
      <c r="G278" s="329">
        <f t="shared" si="114"/>
        <v>1</v>
      </c>
      <c r="H278" s="330">
        <f t="shared" si="115"/>
        <v>0</v>
      </c>
      <c r="I278" s="328">
        <f t="shared" si="116"/>
        <v>32439.381775956699</v>
      </c>
      <c r="J278" s="331">
        <f t="shared" si="117"/>
        <v>1.5707655000668455</v>
      </c>
      <c r="K278" s="339">
        <f t="shared" si="107"/>
        <v>5.3968656441080576</v>
      </c>
      <c r="L278" s="340">
        <f t="shared" si="108"/>
        <v>1.3844265784881613</v>
      </c>
      <c r="M278" s="328">
        <f t="shared" si="118"/>
        <v>1.0037032317788626</v>
      </c>
      <c r="N278" s="331">
        <f t="shared" si="119"/>
        <v>8.5928336488683602E-2</v>
      </c>
      <c r="O278" s="332">
        <f t="shared" si="120"/>
        <v>1.0012178125083191</v>
      </c>
      <c r="P278" s="333">
        <f t="shared" si="121"/>
        <v>0.12512841272586961</v>
      </c>
      <c r="Q278" s="334">
        <f t="shared" si="122"/>
        <v>5.8231615062290585</v>
      </c>
      <c r="R278" s="335">
        <f t="shared" si="123"/>
        <v>-102.87926253107082</v>
      </c>
      <c r="S278" s="337">
        <f t="shared" si="124"/>
        <v>77.120737468929178</v>
      </c>
      <c r="U278" s="310">
        <f t="shared" si="129"/>
        <v>1000000000</v>
      </c>
      <c r="V278" s="310">
        <f t="shared" si="130"/>
        <v>319926882.25</v>
      </c>
      <c r="X278" s="336">
        <f t="shared" si="125"/>
        <v>1.4193333541548836</v>
      </c>
      <c r="Y278" s="337">
        <f t="shared" si="131"/>
        <v>-15.599764804684716</v>
      </c>
      <c r="AA278" s="336">
        <f t="shared" si="126"/>
        <v>4.4038281520741753</v>
      </c>
      <c r="AB278" s="337">
        <f t="shared" si="127"/>
        <v>-87.279497726386126</v>
      </c>
      <c r="AD278">
        <f t="shared" si="132"/>
        <v>0</v>
      </c>
      <c r="AE278">
        <f t="shared" si="109"/>
        <v>0</v>
      </c>
    </row>
    <row r="279" spans="1:31" x14ac:dyDescent="0.25">
      <c r="A279" s="338">
        <v>17990</v>
      </c>
      <c r="B279" s="355">
        <f t="shared" si="128"/>
        <v>17.989999999999998</v>
      </c>
      <c r="C279" s="328">
        <f t="shared" si="110"/>
        <v>6.115388024499067</v>
      </c>
      <c r="D279" s="329">
        <f t="shared" si="111"/>
        <v>1.4065367475392885</v>
      </c>
      <c r="E279" s="329">
        <f t="shared" si="112"/>
        <v>1.0000278274810206</v>
      </c>
      <c r="F279" s="330">
        <f t="shared" si="113"/>
        <v>7.4601388363157882E-3</v>
      </c>
      <c r="G279" s="329">
        <f t="shared" si="114"/>
        <v>1</v>
      </c>
      <c r="H279" s="330">
        <f t="shared" si="115"/>
        <v>0</v>
      </c>
      <c r="I279" s="328">
        <f t="shared" si="116"/>
        <v>32627.091837211283</v>
      </c>
      <c r="J279" s="331">
        <f t="shared" si="117"/>
        <v>1.5707656774190606</v>
      </c>
      <c r="K279" s="339">
        <f t="shared" ref="K279:K342" si="133">SQRT(1+(A279/Zero2)^2)</f>
        <v>5.427025322036811</v>
      </c>
      <c r="L279" s="340">
        <f t="shared" ref="L279:L342" si="134">ATAN(A279/Zero2)</f>
        <v>1.3854743505645848</v>
      </c>
      <c r="M279" s="328">
        <f t="shared" si="118"/>
        <v>1.0037461329727047</v>
      </c>
      <c r="N279" s="331">
        <f t="shared" si="119"/>
        <v>8.6423094618979124E-2</v>
      </c>
      <c r="O279" s="332">
        <f t="shared" si="120"/>
        <v>1.001232194488747</v>
      </c>
      <c r="P279" s="333">
        <f t="shared" si="121"/>
        <v>0.12585448529032006</v>
      </c>
      <c r="Q279" s="334">
        <f t="shared" si="122"/>
        <v>5.7721888562419057</v>
      </c>
      <c r="R279" s="335">
        <f t="shared" si="123"/>
        <v>-102.94020543497727</v>
      </c>
      <c r="S279" s="337">
        <f t="shared" si="124"/>
        <v>77.059794565022727</v>
      </c>
      <c r="U279" s="310">
        <f t="shared" si="129"/>
        <v>1000000000</v>
      </c>
      <c r="V279" s="310">
        <f t="shared" si="130"/>
        <v>323640100</v>
      </c>
      <c r="X279" s="336">
        <f t="shared" si="125"/>
        <v>1.4172510045229527</v>
      </c>
      <c r="Y279" s="337">
        <f t="shared" si="131"/>
        <v>-15.568089601056936</v>
      </c>
      <c r="AA279" s="336">
        <f t="shared" si="126"/>
        <v>4.3549378517189501</v>
      </c>
      <c r="AB279" s="337">
        <f t="shared" si="127"/>
        <v>-87.372115833920304</v>
      </c>
      <c r="AD279">
        <f t="shared" si="132"/>
        <v>0</v>
      </c>
      <c r="AE279">
        <f t="shared" si="109"/>
        <v>0</v>
      </c>
    </row>
    <row r="280" spans="1:31" x14ac:dyDescent="0.25">
      <c r="A280" s="338">
        <v>18093.5</v>
      </c>
      <c r="B280" s="355">
        <f t="shared" si="128"/>
        <v>18.093499999999999</v>
      </c>
      <c r="C280" s="328">
        <f t="shared" si="110"/>
        <v>6.1496328972644658</v>
      </c>
      <c r="D280" s="329">
        <f t="shared" si="111"/>
        <v>1.4074596899942506</v>
      </c>
      <c r="E280" s="329">
        <f t="shared" si="112"/>
        <v>1.0000281485914877</v>
      </c>
      <c r="F280" s="330">
        <f t="shared" si="113"/>
        <v>7.5030568726965298E-3</v>
      </c>
      <c r="G280" s="329">
        <f t="shared" si="114"/>
        <v>1</v>
      </c>
      <c r="H280" s="330">
        <f t="shared" si="115"/>
        <v>0</v>
      </c>
      <c r="I280" s="328">
        <f t="shared" si="116"/>
        <v>32814.801898466882</v>
      </c>
      <c r="J280" s="331">
        <f t="shared" si="117"/>
        <v>1.5707658527422648</v>
      </c>
      <c r="K280" s="339">
        <f t="shared" si="133"/>
        <v>5.4571908920388994</v>
      </c>
      <c r="L280" s="340">
        <f t="shared" si="134"/>
        <v>1.3865105402840259</v>
      </c>
      <c r="M280" s="328">
        <f t="shared" si="118"/>
        <v>1.0037892798481167</v>
      </c>
      <c r="N280" s="331">
        <f t="shared" si="119"/>
        <v>8.69178103370013E-2</v>
      </c>
      <c r="O280" s="332">
        <f t="shared" si="120"/>
        <v>1.0012466651713667</v>
      </c>
      <c r="P280" s="333">
        <f t="shared" si="121"/>
        <v>0.12658059242571582</v>
      </c>
      <c r="Q280" s="334">
        <f t="shared" si="122"/>
        <v>5.7215068159185289</v>
      </c>
      <c r="R280" s="335">
        <f t="shared" si="123"/>
        <v>-103.00121586471491</v>
      </c>
      <c r="S280" s="337">
        <f t="shared" si="124"/>
        <v>76.998784135285092</v>
      </c>
      <c r="U280" s="310">
        <f t="shared" si="129"/>
        <v>1000000000</v>
      </c>
      <c r="V280" s="310">
        <f t="shared" si="130"/>
        <v>327374742.25</v>
      </c>
      <c r="X280" s="336">
        <f t="shared" si="125"/>
        <v>1.4151951674720185</v>
      </c>
      <c r="Y280" s="337">
        <f t="shared" si="131"/>
        <v>-15.537075471303783</v>
      </c>
      <c r="AA280" s="336">
        <f t="shared" si="126"/>
        <v>4.3063116484465098</v>
      </c>
      <c r="AB280" s="337">
        <f t="shared" si="127"/>
        <v>-87.464140393411128</v>
      </c>
      <c r="AD280">
        <f t="shared" si="132"/>
        <v>0</v>
      </c>
      <c r="AE280">
        <f t="shared" si="109"/>
        <v>0</v>
      </c>
    </row>
    <row r="281" spans="1:31" x14ac:dyDescent="0.25">
      <c r="A281" s="338">
        <v>18197</v>
      </c>
      <c r="B281" s="355">
        <f t="shared" si="128"/>
        <v>18.196999999999999</v>
      </c>
      <c r="C281" s="328">
        <f t="shared" si="110"/>
        <v>6.1838829504066419</v>
      </c>
      <c r="D281" s="329">
        <f t="shared" si="111"/>
        <v>1.4083724096016541</v>
      </c>
      <c r="E281" s="329">
        <f t="shared" si="112"/>
        <v>1.0000284715439633</v>
      </c>
      <c r="F281" s="330">
        <f t="shared" si="113"/>
        <v>7.5459748814361424E-3</v>
      </c>
      <c r="G281" s="329">
        <f t="shared" si="114"/>
        <v>1</v>
      </c>
      <c r="H281" s="330">
        <f t="shared" si="115"/>
        <v>0</v>
      </c>
      <c r="I281" s="328">
        <f t="shared" si="116"/>
        <v>33002.511959723481</v>
      </c>
      <c r="J281" s="331">
        <f t="shared" si="117"/>
        <v>1.5707660260710798</v>
      </c>
      <c r="K281" s="339">
        <f t="shared" si="133"/>
        <v>5.487362256943185</v>
      </c>
      <c r="L281" s="340">
        <f t="shared" si="134"/>
        <v>1.3875353364539373</v>
      </c>
      <c r="M281" s="328">
        <f t="shared" si="118"/>
        <v>1.0038326723734181</v>
      </c>
      <c r="N281" s="331">
        <f t="shared" si="119"/>
        <v>8.7412483406077657E-2</v>
      </c>
      <c r="O281" s="332">
        <f t="shared" si="120"/>
        <v>1.0012612246546722</v>
      </c>
      <c r="P281" s="333">
        <f t="shared" si="121"/>
        <v>0.12730673432029072</v>
      </c>
      <c r="Q281" s="334">
        <f t="shared" si="122"/>
        <v>5.6711119764862286</v>
      </c>
      <c r="R281" s="335">
        <f t="shared" si="123"/>
        <v>-103.06229280599798</v>
      </c>
      <c r="S281" s="337">
        <f t="shared" si="124"/>
        <v>76.937707194002016</v>
      </c>
      <c r="U281" s="310">
        <f t="shared" si="129"/>
        <v>1000000000</v>
      </c>
      <c r="V281" s="310">
        <f t="shared" si="130"/>
        <v>331130809</v>
      </c>
      <c r="X281" s="336">
        <f t="shared" si="125"/>
        <v>1.4131652121973786</v>
      </c>
      <c r="Y281" s="337">
        <f t="shared" si="131"/>
        <v>-15.506711585978412</v>
      </c>
      <c r="AA281" s="336">
        <f t="shared" si="126"/>
        <v>4.2579467642888496</v>
      </c>
      <c r="AB281" s="337">
        <f t="shared" si="127"/>
        <v>-87.555581220019576</v>
      </c>
      <c r="AD281">
        <f t="shared" si="132"/>
        <v>0</v>
      </c>
      <c r="AE281">
        <f t="shared" si="109"/>
        <v>0</v>
      </c>
    </row>
    <row r="282" spans="1:31" x14ac:dyDescent="0.25">
      <c r="A282" s="338">
        <v>18303</v>
      </c>
      <c r="B282" s="355">
        <f t="shared" si="128"/>
        <v>18.303000000000001</v>
      </c>
      <c r="C282" s="328">
        <f t="shared" si="110"/>
        <v>6.2189655796702681</v>
      </c>
      <c r="D282" s="329">
        <f t="shared" si="111"/>
        <v>1.4092967542593426</v>
      </c>
      <c r="E282" s="329">
        <f t="shared" si="112"/>
        <v>1.0000288042065069</v>
      </c>
      <c r="F282" s="330">
        <f t="shared" si="113"/>
        <v>7.5899295282376676E-3</v>
      </c>
      <c r="G282" s="329">
        <f t="shared" si="114"/>
        <v>1</v>
      </c>
      <c r="H282" s="330">
        <f t="shared" si="115"/>
        <v>0</v>
      </c>
      <c r="I282" s="328">
        <f t="shared" si="116"/>
        <v>33194.75608043174</v>
      </c>
      <c r="J282" s="331">
        <f t="shared" si="117"/>
        <v>1.5707662015547013</v>
      </c>
      <c r="K282" s="339">
        <f t="shared" si="133"/>
        <v>5.518268306013824</v>
      </c>
      <c r="L282" s="340">
        <f t="shared" si="134"/>
        <v>1.3885732695110167</v>
      </c>
      <c r="M282" s="328">
        <f t="shared" si="118"/>
        <v>1.0038773676159749</v>
      </c>
      <c r="N282" s="331">
        <f t="shared" si="119"/>
        <v>8.7919060646210717E-2</v>
      </c>
      <c r="O282" s="332">
        <f t="shared" si="120"/>
        <v>1.0012762279638243</v>
      </c>
      <c r="P282" s="333">
        <f t="shared" si="121"/>
        <v>0.12805045209935106</v>
      </c>
      <c r="Q282" s="334">
        <f t="shared" si="122"/>
        <v>5.619794061421743</v>
      </c>
      <c r="R282" s="335">
        <f t="shared" si="123"/>
        <v>-103.12491293664797</v>
      </c>
      <c r="S282" s="337">
        <f t="shared" si="124"/>
        <v>76.875087063352026</v>
      </c>
      <c r="U282" s="310">
        <f t="shared" si="129"/>
        <v>1000000000</v>
      </c>
      <c r="V282" s="310">
        <f t="shared" si="130"/>
        <v>334999809</v>
      </c>
      <c r="X282" s="336">
        <f t="shared" si="125"/>
        <v>1.4111124102495645</v>
      </c>
      <c r="Y282" s="337">
        <f t="shared" si="131"/>
        <v>-15.476277194683774</v>
      </c>
      <c r="AA282" s="336">
        <f t="shared" si="126"/>
        <v>4.2086816511721787</v>
      </c>
      <c r="AB282" s="337">
        <f t="shared" si="127"/>
        <v>-87.648635741964213</v>
      </c>
      <c r="AD282">
        <f t="shared" si="132"/>
        <v>0</v>
      </c>
      <c r="AE282">
        <f t="shared" ref="AE282:AE345" si="135">IF(AD282&gt;0,S282,0)</f>
        <v>0</v>
      </c>
    </row>
    <row r="283" spans="1:31" x14ac:dyDescent="0.25">
      <c r="A283" s="338">
        <v>18409</v>
      </c>
      <c r="B283" s="355">
        <f t="shared" si="128"/>
        <v>18.408999999999999</v>
      </c>
      <c r="C283" s="328">
        <f t="shared" si="110"/>
        <v>6.2540534628828208</v>
      </c>
      <c r="D283" s="329">
        <f t="shared" si="111"/>
        <v>1.410210727762246</v>
      </c>
      <c r="E283" s="329">
        <f t="shared" si="112"/>
        <v>1.0000291388011155</v>
      </c>
      <c r="F283" s="330">
        <f t="shared" si="113"/>
        <v>7.6338841457109941E-3</v>
      </c>
      <c r="G283" s="329">
        <f t="shared" si="114"/>
        <v>1</v>
      </c>
      <c r="H283" s="330">
        <f t="shared" si="115"/>
        <v>0</v>
      </c>
      <c r="I283" s="328">
        <f t="shared" si="116"/>
        <v>33387.000201140996</v>
      </c>
      <c r="J283" s="331">
        <f t="shared" si="117"/>
        <v>1.5707663750174345</v>
      </c>
      <c r="K283" s="339">
        <f t="shared" si="133"/>
        <v>5.5491802337194205</v>
      </c>
      <c r="L283" s="340">
        <f t="shared" si="134"/>
        <v>1.3895996399693749</v>
      </c>
      <c r="M283" s="328">
        <f t="shared" si="118"/>
        <v>1.003922320451067</v>
      </c>
      <c r="N283" s="331">
        <f t="shared" si="119"/>
        <v>8.8425592650095169E-2</v>
      </c>
      <c r="O283" s="332">
        <f t="shared" si="120"/>
        <v>1.0012913246262669</v>
      </c>
      <c r="P283" s="333">
        <f t="shared" si="121"/>
        <v>0.12879420673610931</v>
      </c>
      <c r="Q283" s="334">
        <f t="shared" si="122"/>
        <v>5.5687703408627867</v>
      </c>
      <c r="R283" s="335">
        <f t="shared" si="123"/>
        <v>-103.18760073784352</v>
      </c>
      <c r="S283" s="337">
        <f t="shared" si="124"/>
        <v>76.812399262156475</v>
      </c>
      <c r="U283" s="310">
        <f t="shared" si="129"/>
        <v>1000000000</v>
      </c>
      <c r="V283" s="310">
        <f t="shared" si="130"/>
        <v>338891281</v>
      </c>
      <c r="X283" s="336">
        <f t="shared" si="125"/>
        <v>1.4090854709737346</v>
      </c>
      <c r="Y283" s="337">
        <f t="shared" si="131"/>
        <v>-15.446502583862321</v>
      </c>
      <c r="AA283" s="336">
        <f t="shared" si="126"/>
        <v>4.1596848698890518</v>
      </c>
      <c r="AB283" s="337">
        <f t="shared" si="127"/>
        <v>-87.741098153981213</v>
      </c>
      <c r="AD283">
        <f t="shared" si="132"/>
        <v>0</v>
      </c>
      <c r="AE283">
        <f t="shared" si="135"/>
        <v>0</v>
      </c>
    </row>
    <row r="284" spans="1:31" x14ac:dyDescent="0.25">
      <c r="A284" s="338">
        <v>18515</v>
      </c>
      <c r="B284" s="355">
        <f t="shared" si="128"/>
        <v>18.515000000000001</v>
      </c>
      <c r="C284" s="328">
        <f t="shared" si="110"/>
        <v>6.2891465121071155</v>
      </c>
      <c r="D284" s="329">
        <f t="shared" si="111"/>
        <v>1.4111145021816816</v>
      </c>
      <c r="E284" s="329">
        <f t="shared" si="112"/>
        <v>1.0000294753277879</v>
      </c>
      <c r="F284" s="330">
        <f t="shared" si="113"/>
        <v>7.6778387336863116E-3</v>
      </c>
      <c r="G284" s="329">
        <f t="shared" si="114"/>
        <v>1</v>
      </c>
      <c r="H284" s="330">
        <f t="shared" si="115"/>
        <v>0</v>
      </c>
      <c r="I284" s="328">
        <f t="shared" si="116"/>
        <v>33579.244321851264</v>
      </c>
      <c r="J284" s="331">
        <f t="shared" si="117"/>
        <v>1.5707665464939893</v>
      </c>
      <c r="K284" s="339">
        <f t="shared" si="133"/>
        <v>5.5800979423627979</v>
      </c>
      <c r="L284" s="340">
        <f t="shared" si="134"/>
        <v>1.3906146378434576</v>
      </c>
      <c r="M284" s="328">
        <f t="shared" si="118"/>
        <v>1.003967530844093</v>
      </c>
      <c r="N284" s="331">
        <f t="shared" si="119"/>
        <v>8.8932079163898434E-2</v>
      </c>
      <c r="O284" s="332">
        <f t="shared" si="120"/>
        <v>1.001306514749623</v>
      </c>
      <c r="P284" s="333">
        <f t="shared" si="121"/>
        <v>0.12953799843216859</v>
      </c>
      <c r="Q284" s="334">
        <f t="shared" si="122"/>
        <v>5.518037341648836</v>
      </c>
      <c r="R284" s="335">
        <f t="shared" si="123"/>
        <v>-103.25035518052503</v>
      </c>
      <c r="S284" s="337">
        <f t="shared" si="124"/>
        <v>76.749644819474966</v>
      </c>
      <c r="U284" s="310">
        <f t="shared" si="129"/>
        <v>1000000000</v>
      </c>
      <c r="V284" s="310">
        <f t="shared" si="130"/>
        <v>342805225</v>
      </c>
      <c r="X284" s="336">
        <f t="shared" si="125"/>
        <v>1.4070837710786808</v>
      </c>
      <c r="Y284" s="337">
        <f t="shared" si="131"/>
        <v>-15.417376853933431</v>
      </c>
      <c r="AA284" s="336">
        <f t="shared" si="126"/>
        <v>4.1109535705701568</v>
      </c>
      <c r="AB284" s="337">
        <f t="shared" si="127"/>
        <v>-87.832978326591601</v>
      </c>
      <c r="AD284">
        <f t="shared" si="132"/>
        <v>0</v>
      </c>
      <c r="AE284">
        <f t="shared" si="135"/>
        <v>0</v>
      </c>
    </row>
    <row r="285" spans="1:31" x14ac:dyDescent="0.25">
      <c r="A285" s="338">
        <v>18621</v>
      </c>
      <c r="B285" s="355">
        <f t="shared" si="128"/>
        <v>18.620999999999999</v>
      </c>
      <c r="C285" s="328">
        <f t="shared" si="110"/>
        <v>6.3242446413450102</v>
      </c>
      <c r="D285" s="329">
        <f t="shared" si="111"/>
        <v>1.412008245836631</v>
      </c>
      <c r="E285" s="329">
        <f t="shared" si="112"/>
        <v>1.0000298137865216</v>
      </c>
      <c r="F285" s="330">
        <f t="shared" si="113"/>
        <v>7.7217932919938078E-3</v>
      </c>
      <c r="G285" s="329">
        <f t="shared" si="114"/>
        <v>1</v>
      </c>
      <c r="H285" s="330">
        <f t="shared" si="115"/>
        <v>0</v>
      </c>
      <c r="I285" s="328">
        <f t="shared" si="116"/>
        <v>33771.488442562491</v>
      </c>
      <c r="J285" s="331">
        <f t="shared" si="117"/>
        <v>1.5707667160182841</v>
      </c>
      <c r="K285" s="339">
        <f t="shared" si="133"/>
        <v>5.6110213363820245</v>
      </c>
      <c r="L285" s="340">
        <f t="shared" si="134"/>
        <v>1.3916184490537993</v>
      </c>
      <c r="M285" s="328">
        <f t="shared" si="118"/>
        <v>1.0040129987602597</v>
      </c>
      <c r="N285" s="331">
        <f t="shared" si="119"/>
        <v>8.9438519933926763E-2</v>
      </c>
      <c r="O285" s="332">
        <f t="shared" si="120"/>
        <v>1.0013217984421292</v>
      </c>
      <c r="P285" s="333">
        <f t="shared" si="121"/>
        <v>0.13028182738892638</v>
      </c>
      <c r="Q285" s="334">
        <f t="shared" si="122"/>
        <v>5.4675916513201024</v>
      </c>
      <c r="R285" s="335">
        <f t="shared" si="123"/>
        <v>-103.31317525515458</v>
      </c>
      <c r="S285" s="337">
        <f t="shared" si="124"/>
        <v>76.686824744845424</v>
      </c>
      <c r="U285" s="310">
        <f t="shared" si="129"/>
        <v>1000000000</v>
      </c>
      <c r="V285" s="310">
        <f t="shared" si="130"/>
        <v>346741641</v>
      </c>
      <c r="X285" s="336">
        <f t="shared" si="125"/>
        <v>1.4051067044205068</v>
      </c>
      <c r="Y285" s="337">
        <f t="shared" si="131"/>
        <v>-15.388889339842985</v>
      </c>
      <c r="AA285" s="336">
        <f t="shared" si="126"/>
        <v>4.0624849468995965</v>
      </c>
      <c r="AB285" s="337">
        <f t="shared" si="127"/>
        <v>-87.924285915311586</v>
      </c>
      <c r="AD285">
        <f t="shared" si="132"/>
        <v>0</v>
      </c>
      <c r="AE285">
        <f t="shared" si="135"/>
        <v>0</v>
      </c>
    </row>
    <row r="286" spans="1:31" x14ac:dyDescent="0.25">
      <c r="A286" s="338">
        <v>18729.5</v>
      </c>
      <c r="B286" s="355">
        <f t="shared" si="128"/>
        <v>18.729500000000002</v>
      </c>
      <c r="C286" s="328">
        <f t="shared" si="110"/>
        <v>6.3601757300093222</v>
      </c>
      <c r="D286" s="329">
        <f t="shared" si="111"/>
        <v>1.4129128517926162</v>
      </c>
      <c r="E286" s="329">
        <f t="shared" si="112"/>
        <v>1.0000301622287207</v>
      </c>
      <c r="F286" s="330">
        <f t="shared" si="113"/>
        <v>7.7667844835094405E-3</v>
      </c>
      <c r="G286" s="329">
        <f t="shared" si="114"/>
        <v>1</v>
      </c>
      <c r="H286" s="330">
        <f t="shared" si="115"/>
        <v>0</v>
      </c>
      <c r="I286" s="328">
        <f t="shared" si="116"/>
        <v>33968.266622725459</v>
      </c>
      <c r="J286" s="331">
        <f t="shared" si="117"/>
        <v>1.5707668875535232</v>
      </c>
      <c r="K286" s="339">
        <f t="shared" si="133"/>
        <v>5.6426798462564749</v>
      </c>
      <c r="L286" s="340">
        <f t="shared" si="134"/>
        <v>1.3926345394064827</v>
      </c>
      <c r="M286" s="328">
        <f t="shared" si="118"/>
        <v>1.0040598057016739</v>
      </c>
      <c r="N286" s="331">
        <f t="shared" si="119"/>
        <v>8.9956857422289344E-2</v>
      </c>
      <c r="O286" s="332">
        <f t="shared" si="120"/>
        <v>1.0013375396181052</v>
      </c>
      <c r="P286" s="333">
        <f t="shared" si="121"/>
        <v>0.13104323828070438</v>
      </c>
      <c r="Q286" s="334">
        <f t="shared" si="122"/>
        <v>5.4162502574965385</v>
      </c>
      <c r="R286" s="335">
        <f t="shared" si="123"/>
        <v>-103.37754387369266</v>
      </c>
      <c r="S286" s="337">
        <f t="shared" si="124"/>
        <v>76.622456126307341</v>
      </c>
      <c r="U286" s="310">
        <f t="shared" si="129"/>
        <v>1000000000</v>
      </c>
      <c r="V286" s="310">
        <f t="shared" si="130"/>
        <v>350794170.25</v>
      </c>
      <c r="X286" s="336">
        <f t="shared" si="125"/>
        <v>1.4031079051010042</v>
      </c>
      <c r="Y286" s="337">
        <f t="shared" si="131"/>
        <v>-15.360380029689514</v>
      </c>
      <c r="AA286" s="336">
        <f t="shared" si="126"/>
        <v>4.0131423523955343</v>
      </c>
      <c r="AB286" s="337">
        <f t="shared" si="127"/>
        <v>-88.017163844003122</v>
      </c>
      <c r="AD286">
        <f t="shared" si="132"/>
        <v>0</v>
      </c>
      <c r="AE286">
        <f t="shared" si="135"/>
        <v>0</v>
      </c>
    </row>
    <row r="287" spans="1:31" x14ac:dyDescent="0.25">
      <c r="A287" s="338">
        <v>18838</v>
      </c>
      <c r="B287" s="355">
        <f t="shared" si="128"/>
        <v>18.838000000000001</v>
      </c>
      <c r="C287" s="328">
        <f t="shared" si="110"/>
        <v>6.3961119648035982</v>
      </c>
      <c r="D287" s="329">
        <f t="shared" si="111"/>
        <v>1.4138072935071633</v>
      </c>
      <c r="E287" s="329">
        <f t="shared" si="112"/>
        <v>1.0000305126951865</v>
      </c>
      <c r="F287" s="330">
        <f t="shared" si="113"/>
        <v>7.8117756435813002E-3</v>
      </c>
      <c r="G287" s="329">
        <f t="shared" si="114"/>
        <v>1</v>
      </c>
      <c r="H287" s="330">
        <f t="shared" si="115"/>
        <v>0</v>
      </c>
      <c r="I287" s="328">
        <f t="shared" si="116"/>
        <v>34165.04480288941</v>
      </c>
      <c r="J287" s="331">
        <f t="shared" si="117"/>
        <v>1.5707670571128016</v>
      </c>
      <c r="K287" s="339">
        <f t="shared" si="133"/>
        <v>5.6743441168473794</v>
      </c>
      <c r="L287" s="340">
        <f t="shared" si="134"/>
        <v>1.3936392907062669</v>
      </c>
      <c r="M287" s="328">
        <f t="shared" si="118"/>
        <v>1.0041068823824104</v>
      </c>
      <c r="N287" s="331">
        <f t="shared" si="119"/>
        <v>9.0475146446284127E-2</v>
      </c>
      <c r="O287" s="332">
        <f t="shared" si="120"/>
        <v>1.0013533790603639</v>
      </c>
      <c r="P287" s="333">
        <f t="shared" si="121"/>
        <v>0.13180468863781719</v>
      </c>
      <c r="Q287" s="334">
        <f t="shared" si="122"/>
        <v>5.3652028384954988</v>
      </c>
      <c r="R287" s="335">
        <f t="shared" si="123"/>
        <v>-103.44197917695</v>
      </c>
      <c r="S287" s="337">
        <f t="shared" si="124"/>
        <v>76.558020823050001</v>
      </c>
      <c r="U287" s="310">
        <f t="shared" si="129"/>
        <v>1000000000</v>
      </c>
      <c r="V287" s="310">
        <f t="shared" si="130"/>
        <v>354870244</v>
      </c>
      <c r="X287" s="336">
        <f t="shared" si="125"/>
        <v>1.4011336821868456</v>
      </c>
      <c r="Y287" s="337">
        <f t="shared" si="131"/>
        <v>-15.332517509393643</v>
      </c>
      <c r="AA287" s="336">
        <f t="shared" si="126"/>
        <v>3.9640691563086521</v>
      </c>
      <c r="AB287" s="337">
        <f t="shared" si="127"/>
        <v>-88.10946166755636</v>
      </c>
      <c r="AD287">
        <f t="shared" si="132"/>
        <v>0</v>
      </c>
      <c r="AE287">
        <f t="shared" si="135"/>
        <v>0</v>
      </c>
    </row>
    <row r="288" spans="1:31" x14ac:dyDescent="0.25">
      <c r="A288" s="338">
        <v>18946.5</v>
      </c>
      <c r="B288" s="355">
        <f t="shared" si="128"/>
        <v>18.9465</v>
      </c>
      <c r="C288" s="328">
        <f t="shared" si="110"/>
        <v>6.4320532594727062</v>
      </c>
      <c r="D288" s="329">
        <f t="shared" si="111"/>
        <v>1.414691739925503</v>
      </c>
      <c r="E288" s="329">
        <f t="shared" si="112"/>
        <v>1.0000308651859173</v>
      </c>
      <c r="F288" s="330">
        <f t="shared" si="113"/>
        <v>7.8567667720272748E-3</v>
      </c>
      <c r="G288" s="329">
        <f t="shared" si="114"/>
        <v>1</v>
      </c>
      <c r="H288" s="330">
        <f t="shared" si="115"/>
        <v>0</v>
      </c>
      <c r="I288" s="328">
        <f t="shared" si="116"/>
        <v>34361.822983054335</v>
      </c>
      <c r="J288" s="331">
        <f t="shared" si="117"/>
        <v>1.5707672247300664</v>
      </c>
      <c r="K288" s="339">
        <f t="shared" si="133"/>
        <v>5.7060140522512484</v>
      </c>
      <c r="L288" s="340">
        <f t="shared" si="134"/>
        <v>1.3946328897119504</v>
      </c>
      <c r="M288" s="328">
        <f t="shared" si="118"/>
        <v>1.0041542287645315</v>
      </c>
      <c r="N288" s="331">
        <f t="shared" si="119"/>
        <v>9.0993386734297854E-2</v>
      </c>
      <c r="O288" s="332">
        <f t="shared" si="120"/>
        <v>1.0013693168869771</v>
      </c>
      <c r="P288" s="333">
        <f t="shared" si="121"/>
        <v>0.13256617867557324</v>
      </c>
      <c r="Q288" s="334">
        <f t="shared" si="122"/>
        <v>5.3144459231863728</v>
      </c>
      <c r="R288" s="335">
        <f t="shared" si="123"/>
        <v>-103.50648014301385</v>
      </c>
      <c r="S288" s="337">
        <f t="shared" si="124"/>
        <v>76.493519856986154</v>
      </c>
      <c r="U288" s="310">
        <f t="shared" si="129"/>
        <v>1000000000</v>
      </c>
      <c r="V288" s="310">
        <f t="shared" si="130"/>
        <v>358969862.25</v>
      </c>
      <c r="X288" s="336">
        <f t="shared" si="125"/>
        <v>1.3991834378620249</v>
      </c>
      <c r="Y288" s="337">
        <f t="shared" si="131"/>
        <v>-15.305291064847145</v>
      </c>
      <c r="AA288" s="336">
        <f t="shared" si="126"/>
        <v>3.9152624853243472</v>
      </c>
      <c r="AB288" s="337">
        <f t="shared" si="127"/>
        <v>-88.201189078166692</v>
      </c>
      <c r="AD288">
        <f t="shared" si="132"/>
        <v>0</v>
      </c>
      <c r="AE288">
        <f t="shared" si="135"/>
        <v>0</v>
      </c>
    </row>
    <row r="289" spans="1:31" x14ac:dyDescent="0.25">
      <c r="A289" s="338">
        <v>19055</v>
      </c>
      <c r="B289" s="355">
        <f t="shared" si="128"/>
        <v>19.055</v>
      </c>
      <c r="C289" s="328">
        <f t="shared" si="110"/>
        <v>6.4679995296667085</v>
      </c>
      <c r="D289" s="329">
        <f t="shared" si="111"/>
        <v>1.415566356300523</v>
      </c>
      <c r="E289" s="329">
        <f t="shared" si="112"/>
        <v>1.0000312197009107</v>
      </c>
      <c r="F289" s="330">
        <f t="shared" si="113"/>
        <v>7.9017578686652566E-3</v>
      </c>
      <c r="G289" s="329">
        <f t="shared" si="114"/>
        <v>1</v>
      </c>
      <c r="H289" s="330">
        <f t="shared" si="115"/>
        <v>0</v>
      </c>
      <c r="I289" s="328">
        <f t="shared" si="116"/>
        <v>34558.601163220213</v>
      </c>
      <c r="J289" s="331">
        <f t="shared" si="117"/>
        <v>1.5707673904384909</v>
      </c>
      <c r="K289" s="339">
        <f t="shared" si="133"/>
        <v>5.7376895586650321</v>
      </c>
      <c r="L289" s="340">
        <f t="shared" si="134"/>
        <v>1.3956155191474384</v>
      </c>
      <c r="M289" s="328">
        <f t="shared" si="118"/>
        <v>1.0042018448098895</v>
      </c>
      <c r="N289" s="331">
        <f t="shared" si="119"/>
        <v>9.1511578014873057E-2</v>
      </c>
      <c r="O289" s="332">
        <f t="shared" si="120"/>
        <v>1.0013853532166892</v>
      </c>
      <c r="P289" s="333">
        <f t="shared" si="121"/>
        <v>0.1333277086090498</v>
      </c>
      <c r="Q289" s="334">
        <f t="shared" si="122"/>
        <v>5.2639761010828998</v>
      </c>
      <c r="R289" s="335">
        <f t="shared" si="123"/>
        <v>-103.57104576954936</v>
      </c>
      <c r="S289" s="337">
        <f t="shared" si="124"/>
        <v>76.428954230450643</v>
      </c>
      <c r="U289" s="310">
        <f t="shared" si="129"/>
        <v>1000000000</v>
      </c>
      <c r="V289" s="310">
        <f t="shared" si="130"/>
        <v>363093025</v>
      </c>
      <c r="X289" s="336">
        <f t="shared" si="125"/>
        <v>1.3972565907875125</v>
      </c>
      <c r="Y289" s="337">
        <f t="shared" si="131"/>
        <v>-15.278690213088758</v>
      </c>
      <c r="AA289" s="336">
        <f t="shared" si="126"/>
        <v>3.8667195102953866</v>
      </c>
      <c r="AB289" s="337">
        <f t="shared" si="127"/>
        <v>-88.292355556460606</v>
      </c>
      <c r="AD289">
        <f t="shared" si="132"/>
        <v>0</v>
      </c>
      <c r="AE289">
        <f t="shared" si="135"/>
        <v>0</v>
      </c>
    </row>
    <row r="290" spans="1:31" x14ac:dyDescent="0.25">
      <c r="A290" s="338">
        <v>19165.75</v>
      </c>
      <c r="B290" s="355">
        <f t="shared" si="128"/>
        <v>19.165749999999999</v>
      </c>
      <c r="C290" s="328">
        <f t="shared" si="110"/>
        <v>6.5046962751313311</v>
      </c>
      <c r="D290" s="329">
        <f t="shared" si="111"/>
        <v>1.4164491398081815</v>
      </c>
      <c r="E290" s="329">
        <f t="shared" si="112"/>
        <v>1.0000315836552598</v>
      </c>
      <c r="F290" s="330">
        <f t="shared" si="113"/>
        <v>7.9476819274014524E-3</v>
      </c>
      <c r="G290" s="329">
        <f t="shared" si="114"/>
        <v>1</v>
      </c>
      <c r="H290" s="330">
        <f t="shared" si="115"/>
        <v>0</v>
      </c>
      <c r="I290" s="328">
        <f t="shared" si="116"/>
        <v>34759.459996892794</v>
      </c>
      <c r="J290" s="331">
        <f t="shared" si="117"/>
        <v>1.5707675576483038</v>
      </c>
      <c r="K290" s="339">
        <f t="shared" si="133"/>
        <v>5.7700275806420347</v>
      </c>
      <c r="L290" s="340">
        <f t="shared" si="134"/>
        <v>1.3966073981930232</v>
      </c>
      <c r="M290" s="328">
        <f t="shared" si="118"/>
        <v>1.0042507263542872</v>
      </c>
      <c r="N290" s="331">
        <f t="shared" si="119"/>
        <v>9.2040464373447553E-2</v>
      </c>
      <c r="O290" s="332">
        <f t="shared" si="120"/>
        <v>1.0014018238093443</v>
      </c>
      <c r="P290" s="333">
        <f t="shared" si="121"/>
        <v>0.13410507200632013</v>
      </c>
      <c r="Q290" s="334">
        <f t="shared" si="122"/>
        <v>5.2127522752287136</v>
      </c>
      <c r="R290" s="335">
        <f t="shared" si="123"/>
        <v>-103.63701597941066</v>
      </c>
      <c r="S290" s="337">
        <f t="shared" si="124"/>
        <v>76.362984020589337</v>
      </c>
      <c r="U290" s="310">
        <f t="shared" si="129"/>
        <v>1000000000</v>
      </c>
      <c r="V290" s="310">
        <f t="shared" si="130"/>
        <v>367325973.0625</v>
      </c>
      <c r="X290" s="336">
        <f t="shared" si="125"/>
        <v>1.3953133290739963</v>
      </c>
      <c r="Y290" s="337">
        <f t="shared" si="131"/>
        <v>-15.252172266563926</v>
      </c>
      <c r="AA290" s="336">
        <f t="shared" si="126"/>
        <v>3.8174389461547165</v>
      </c>
      <c r="AB290" s="337">
        <f t="shared" si="127"/>
        <v>-88.384843712846745</v>
      </c>
      <c r="AD290">
        <f t="shared" si="132"/>
        <v>0</v>
      </c>
      <c r="AE290">
        <f t="shared" si="135"/>
        <v>0</v>
      </c>
    </row>
    <row r="291" spans="1:31" x14ac:dyDescent="0.25">
      <c r="A291" s="338">
        <v>19276.5</v>
      </c>
      <c r="B291" s="355">
        <f t="shared" si="128"/>
        <v>19.276499999999999</v>
      </c>
      <c r="C291" s="328">
        <f t="shared" si="110"/>
        <v>6.5413980328720616</v>
      </c>
      <c r="D291" s="329">
        <f t="shared" si="111"/>
        <v>1.4173220179402095</v>
      </c>
      <c r="E291" s="329">
        <f t="shared" si="112"/>
        <v>1.0000319497186934</v>
      </c>
      <c r="F291" s="330">
        <f t="shared" si="113"/>
        <v>7.9936059526133363E-3</v>
      </c>
      <c r="G291" s="329">
        <f t="shared" si="114"/>
        <v>1</v>
      </c>
      <c r="H291" s="330">
        <f t="shared" si="115"/>
        <v>0</v>
      </c>
      <c r="I291" s="328">
        <f t="shared" si="116"/>
        <v>34960.31883056635</v>
      </c>
      <c r="J291" s="331">
        <f t="shared" si="117"/>
        <v>1.5707677229367629</v>
      </c>
      <c r="K291" s="339">
        <f t="shared" si="133"/>
        <v>5.8023712160324905</v>
      </c>
      <c r="L291" s="340">
        <f t="shared" si="134"/>
        <v>1.3975882203105217</v>
      </c>
      <c r="M291" s="328">
        <f t="shared" si="118"/>
        <v>1.0042998887810908</v>
      </c>
      <c r="N291" s="331">
        <f t="shared" si="119"/>
        <v>9.2569299099910629E-2</v>
      </c>
      <c r="O291" s="332">
        <f t="shared" si="120"/>
        <v>1.0014183972849862</v>
      </c>
      <c r="P291" s="333">
        <f t="shared" si="121"/>
        <v>0.13488247742321435</v>
      </c>
      <c r="Q291" s="334">
        <f t="shared" si="122"/>
        <v>5.1618205797409917</v>
      </c>
      <c r="R291" s="335">
        <f t="shared" si="123"/>
        <v>-103.70305150944802</v>
      </c>
      <c r="S291" s="337">
        <f t="shared" si="124"/>
        <v>76.296948490551983</v>
      </c>
      <c r="U291" s="310">
        <f t="shared" si="129"/>
        <v>1000000000</v>
      </c>
      <c r="V291" s="310">
        <f t="shared" si="130"/>
        <v>371583452.25</v>
      </c>
      <c r="X291" s="336">
        <f t="shared" si="125"/>
        <v>1.3933932712825698</v>
      </c>
      <c r="Y291" s="337">
        <f t="shared" si="131"/>
        <v>-15.226284766966002</v>
      </c>
      <c r="AA291" s="336">
        <f t="shared" si="126"/>
        <v>3.7684273084584232</v>
      </c>
      <c r="AB291" s="337">
        <f t="shared" si="127"/>
        <v>-88.476766742481985</v>
      </c>
      <c r="AD291">
        <f t="shared" si="132"/>
        <v>0</v>
      </c>
      <c r="AE291">
        <f t="shared" si="135"/>
        <v>0</v>
      </c>
    </row>
    <row r="292" spans="1:31" x14ac:dyDescent="0.25">
      <c r="A292" s="338">
        <v>19387.25</v>
      </c>
      <c r="B292" s="355">
        <f t="shared" si="128"/>
        <v>19.387250000000002</v>
      </c>
      <c r="C292" s="328">
        <f t="shared" si="110"/>
        <v>6.5781047189926918</v>
      </c>
      <c r="D292" s="329">
        <f t="shared" si="111"/>
        <v>1.4181851551751108</v>
      </c>
      <c r="E292" s="329">
        <f t="shared" si="112"/>
        <v>1.0000323178912087</v>
      </c>
      <c r="F292" s="330">
        <f t="shared" si="113"/>
        <v>8.0395299441072404E-3</v>
      </c>
      <c r="G292" s="329">
        <f t="shared" si="114"/>
        <v>1</v>
      </c>
      <c r="H292" s="330">
        <f t="shared" si="115"/>
        <v>0</v>
      </c>
      <c r="I292" s="328">
        <f t="shared" si="116"/>
        <v>35161.177664240851</v>
      </c>
      <c r="J292" s="331">
        <f t="shared" si="117"/>
        <v>1.5707678863367958</v>
      </c>
      <c r="K292" s="339">
        <f t="shared" si="133"/>
        <v>5.8347203714858127</v>
      </c>
      <c r="L292" s="340">
        <f t="shared" si="134"/>
        <v>1.3985581675041041</v>
      </c>
      <c r="M292" s="328">
        <f t="shared" si="118"/>
        <v>1.0043493320490533</v>
      </c>
      <c r="N292" s="331">
        <f t="shared" si="119"/>
        <v>9.309808190607187E-2</v>
      </c>
      <c r="O292" s="332">
        <f t="shared" si="120"/>
        <v>1.001435073772067</v>
      </c>
      <c r="P292" s="333">
        <f t="shared" si="121"/>
        <v>0.13565992508771571</v>
      </c>
      <c r="Q292" s="334">
        <f t="shared" si="122"/>
        <v>5.1111775740528289</v>
      </c>
      <c r="R292" s="335">
        <f t="shared" si="123"/>
        <v>-103.76915135396273</v>
      </c>
      <c r="S292" s="337">
        <f t="shared" si="124"/>
        <v>76.230848646037273</v>
      </c>
      <c r="U292" s="310">
        <f t="shared" si="129"/>
        <v>1000000000</v>
      </c>
      <c r="V292" s="310">
        <f t="shared" si="130"/>
        <v>375865462.5625</v>
      </c>
      <c r="X292" s="336">
        <f t="shared" si="125"/>
        <v>1.3914958488554685</v>
      </c>
      <c r="Y292" s="337">
        <f t="shared" si="131"/>
        <v>-15.201017271598666</v>
      </c>
      <c r="AA292" s="336">
        <f t="shared" si="126"/>
        <v>3.7196817251973595</v>
      </c>
      <c r="AB292" s="337">
        <f t="shared" si="127"/>
        <v>-88.568134082364068</v>
      </c>
      <c r="AD292">
        <f t="shared" si="132"/>
        <v>0</v>
      </c>
      <c r="AE292">
        <f t="shared" si="135"/>
        <v>0</v>
      </c>
    </row>
    <row r="293" spans="1:31" x14ac:dyDescent="0.25">
      <c r="A293" s="338">
        <v>19498</v>
      </c>
      <c r="B293" s="355">
        <f t="shared" si="128"/>
        <v>19.498000000000001</v>
      </c>
      <c r="C293" s="328">
        <f t="shared" si="110"/>
        <v>6.614816251448091</v>
      </c>
      <c r="D293" s="329">
        <f t="shared" si="111"/>
        <v>1.4190387123988311</v>
      </c>
      <c r="E293" s="329">
        <f t="shared" si="112"/>
        <v>1.0000326881728039</v>
      </c>
      <c r="F293" s="330">
        <f t="shared" si="113"/>
        <v>8.0854539016894933E-3</v>
      </c>
      <c r="G293" s="329">
        <f t="shared" si="114"/>
        <v>1</v>
      </c>
      <c r="H293" s="330">
        <f t="shared" si="115"/>
        <v>0</v>
      </c>
      <c r="I293" s="328">
        <f t="shared" si="116"/>
        <v>35362.03649791627</v>
      </c>
      <c r="J293" s="331">
        <f t="shared" si="117"/>
        <v>1.5707680478805814</v>
      </c>
      <c r="K293" s="339">
        <f t="shared" si="133"/>
        <v>5.8670749556944681</v>
      </c>
      <c r="L293" s="340">
        <f t="shared" si="134"/>
        <v>1.3995174178460985</v>
      </c>
      <c r="M293" s="328">
        <f t="shared" si="118"/>
        <v>1.0043990561166996</v>
      </c>
      <c r="N293" s="331">
        <f t="shared" si="119"/>
        <v>9.3626812503913526E-2</v>
      </c>
      <c r="O293" s="332">
        <f t="shared" si="120"/>
        <v>1.0014518533997683</v>
      </c>
      <c r="P293" s="333">
        <f t="shared" si="121"/>
        <v>0.13643741522755054</v>
      </c>
      <c r="Q293" s="334">
        <f t="shared" si="122"/>
        <v>5.0608198775230173</v>
      </c>
      <c r="R293" s="335">
        <f t="shared" si="123"/>
        <v>-103.83531452664809</v>
      </c>
      <c r="S293" s="337">
        <f t="shared" si="124"/>
        <v>76.164685473351909</v>
      </c>
      <c r="U293" s="310">
        <f t="shared" si="129"/>
        <v>1000000000</v>
      </c>
      <c r="V293" s="310">
        <f t="shared" si="130"/>
        <v>380172004</v>
      </c>
      <c r="X293" s="336">
        <f t="shared" si="125"/>
        <v>1.3896205088912721</v>
      </c>
      <c r="Y293" s="337">
        <f t="shared" si="131"/>
        <v>-15.17635956301061</v>
      </c>
      <c r="AA293" s="336">
        <f t="shared" si="126"/>
        <v>3.671199368631743</v>
      </c>
      <c r="AB293" s="337">
        <f t="shared" si="127"/>
        <v>-88.658954963637484</v>
      </c>
      <c r="AD293">
        <f t="shared" si="132"/>
        <v>0</v>
      </c>
      <c r="AE293">
        <f t="shared" si="135"/>
        <v>0</v>
      </c>
    </row>
    <row r="294" spans="1:31" x14ac:dyDescent="0.25">
      <c r="A294" s="338">
        <v>19611.75</v>
      </c>
      <c r="B294" s="355">
        <f t="shared" si="128"/>
        <v>19.611750000000001</v>
      </c>
      <c r="C294" s="328">
        <f t="shared" si="110"/>
        <v>6.6525271879736909</v>
      </c>
      <c r="D294" s="329">
        <f t="shared" si="111"/>
        <v>1.4199055833280574</v>
      </c>
      <c r="E294" s="329">
        <f t="shared" si="112"/>
        <v>1.0000330706801472</v>
      </c>
      <c r="F294" s="330">
        <f t="shared" si="113"/>
        <v>8.1326218135879605E-3</v>
      </c>
      <c r="G294" s="329">
        <f t="shared" si="114"/>
        <v>1</v>
      </c>
      <c r="H294" s="330">
        <f t="shared" si="115"/>
        <v>0</v>
      </c>
      <c r="I294" s="328">
        <f t="shared" si="116"/>
        <v>35568.336202933737</v>
      </c>
      <c r="J294" s="331">
        <f t="shared" si="117"/>
        <v>1.5707682119009521</v>
      </c>
      <c r="K294" s="339">
        <f t="shared" si="133"/>
        <v>5.9003115195698816</v>
      </c>
      <c r="L294" s="340">
        <f t="shared" si="134"/>
        <v>1.4004916999848969</v>
      </c>
      <c r="M294" s="328">
        <f t="shared" si="118"/>
        <v>1.0044504193800532</v>
      </c>
      <c r="N294" s="331">
        <f t="shared" si="119"/>
        <v>9.4169810724131095E-2</v>
      </c>
      <c r="O294" s="332">
        <f t="shared" si="120"/>
        <v>1.0014691950603705</v>
      </c>
      <c r="P294" s="333">
        <f t="shared" si="121"/>
        <v>0.13723601050408143</v>
      </c>
      <c r="Q294" s="334">
        <f t="shared" si="122"/>
        <v>5.0093916072990208</v>
      </c>
      <c r="R294" s="335">
        <f t="shared" si="123"/>
        <v>-103.90333483832558</v>
      </c>
      <c r="S294" s="337">
        <f t="shared" si="124"/>
        <v>76.096665161674423</v>
      </c>
      <c r="U294" s="310">
        <f t="shared" si="129"/>
        <v>1000000000</v>
      </c>
      <c r="V294" s="310">
        <f t="shared" si="130"/>
        <v>384620738.0625</v>
      </c>
      <c r="X294" s="336">
        <f t="shared" si="125"/>
        <v>1.3877167927173271</v>
      </c>
      <c r="Y294" s="337">
        <f t="shared" si="131"/>
        <v>-15.151658212350837</v>
      </c>
      <c r="AA294" s="336">
        <f t="shared" si="126"/>
        <v>3.6216748145816933</v>
      </c>
      <c r="AB294" s="337">
        <f t="shared" si="127"/>
        <v>-88.751676625974767</v>
      </c>
      <c r="AD294">
        <f t="shared" si="132"/>
        <v>0</v>
      </c>
      <c r="AE294">
        <f t="shared" si="135"/>
        <v>0</v>
      </c>
    </row>
    <row r="295" spans="1:31" x14ac:dyDescent="0.25">
      <c r="A295" s="338">
        <v>19725.5</v>
      </c>
      <c r="B295" s="355">
        <f t="shared" si="128"/>
        <v>19.7255</v>
      </c>
      <c r="C295" s="328">
        <f t="shared" si="110"/>
        <v>6.6902430672824389</v>
      </c>
      <c r="D295" s="329">
        <f t="shared" si="111"/>
        <v>1.4207626810204406</v>
      </c>
      <c r="E295" s="329">
        <f t="shared" si="112"/>
        <v>1.0000334554123744</v>
      </c>
      <c r="F295" s="330">
        <f t="shared" si="113"/>
        <v>8.1797896892985538E-3</v>
      </c>
      <c r="G295" s="329">
        <f t="shared" si="114"/>
        <v>1</v>
      </c>
      <c r="H295" s="330">
        <f t="shared" si="115"/>
        <v>0</v>
      </c>
      <c r="I295" s="328">
        <f t="shared" si="116"/>
        <v>35774.63590795215</v>
      </c>
      <c r="J295" s="331">
        <f t="shared" si="117"/>
        <v>1.5707683740296272</v>
      </c>
      <c r="K295" s="339">
        <f t="shared" si="133"/>
        <v>5.933553621424962</v>
      </c>
      <c r="L295" s="340">
        <f t="shared" si="134"/>
        <v>1.401455066405912</v>
      </c>
      <c r="M295" s="328">
        <f t="shared" si="118"/>
        <v>1.0045020787723289</v>
      </c>
      <c r="N295" s="331">
        <f t="shared" si="119"/>
        <v>9.4712753253947082E-2</v>
      </c>
      <c r="O295" s="332">
        <f t="shared" si="120"/>
        <v>1.0014866458036313</v>
      </c>
      <c r="P295" s="333">
        <f t="shared" si="121"/>
        <v>0.13803465107438942</v>
      </c>
      <c r="Q295" s="334">
        <f t="shared" si="122"/>
        <v>4.9582572716100781</v>
      </c>
      <c r="R295" s="335">
        <f t="shared" si="123"/>
        <v>-103.97141990734376</v>
      </c>
      <c r="S295" s="337">
        <f t="shared" si="124"/>
        <v>76.028580092656242</v>
      </c>
      <c r="U295" s="310">
        <f t="shared" si="129"/>
        <v>1000000000</v>
      </c>
      <c r="V295" s="310">
        <f t="shared" si="130"/>
        <v>389095350.25</v>
      </c>
      <c r="X295" s="336">
        <f t="shared" si="125"/>
        <v>1.3858352377706631</v>
      </c>
      <c r="Y295" s="337">
        <f t="shared" si="131"/>
        <v>-15.12757898703997</v>
      </c>
      <c r="AA295" s="336">
        <f t="shared" si="126"/>
        <v>3.5724220338394144</v>
      </c>
      <c r="AB295" s="337">
        <f t="shared" si="127"/>
        <v>-88.843840920303791</v>
      </c>
      <c r="AD295">
        <f t="shared" si="132"/>
        <v>0</v>
      </c>
      <c r="AE295">
        <f t="shared" si="135"/>
        <v>0</v>
      </c>
    </row>
    <row r="296" spans="1:31" x14ac:dyDescent="0.25">
      <c r="A296" s="338">
        <v>19839.25</v>
      </c>
      <c r="B296" s="355">
        <f t="shared" si="128"/>
        <v>19.83925</v>
      </c>
      <c r="C296" s="328">
        <f t="shared" si="110"/>
        <v>6.7279638062490035</v>
      </c>
      <c r="D296" s="329">
        <f t="shared" si="111"/>
        <v>1.4216101685887397</v>
      </c>
      <c r="E296" s="329">
        <f t="shared" si="112"/>
        <v>1.0000338423694828</v>
      </c>
      <c r="F296" s="330">
        <f t="shared" si="113"/>
        <v>8.226957528611429E-3</v>
      </c>
      <c r="G296" s="329">
        <f t="shared" si="114"/>
        <v>1</v>
      </c>
      <c r="H296" s="330">
        <f t="shared" si="115"/>
        <v>0</v>
      </c>
      <c r="I296" s="328">
        <f t="shared" si="116"/>
        <v>35980.935612971494</v>
      </c>
      <c r="J296" s="331">
        <f t="shared" si="117"/>
        <v>1.570768534299146</v>
      </c>
      <c r="K296" s="339">
        <f t="shared" si="133"/>
        <v>5.9668011687005276</v>
      </c>
      <c r="L296" s="340">
        <f t="shared" si="134"/>
        <v>1.4024076977759354</v>
      </c>
      <c r="M296" s="328">
        <f t="shared" si="118"/>
        <v>1.0045540342478414</v>
      </c>
      <c r="N296" s="331">
        <f t="shared" si="119"/>
        <v>9.5255639781873638E-2</v>
      </c>
      <c r="O296" s="332">
        <f t="shared" si="120"/>
        <v>1.001504205771919</v>
      </c>
      <c r="P296" s="333">
        <f t="shared" si="121"/>
        <v>0.13883333718435678</v>
      </c>
      <c r="Q296" s="334">
        <f t="shared" si="122"/>
        <v>4.9074133959489181</v>
      </c>
      <c r="R296" s="335">
        <f t="shared" si="123"/>
        <v>-104.03956872604806</v>
      </c>
      <c r="S296" s="337">
        <f t="shared" si="124"/>
        <v>75.96043127395194</v>
      </c>
      <c r="U296" s="310">
        <f t="shared" si="129"/>
        <v>1000000000</v>
      </c>
      <c r="V296" s="310">
        <f t="shared" si="130"/>
        <v>393595840.5625</v>
      </c>
      <c r="X296" s="336">
        <f t="shared" si="125"/>
        <v>1.3839752932509319</v>
      </c>
      <c r="Y296" s="337">
        <f t="shared" si="131"/>
        <v>-15.104111519650752</v>
      </c>
      <c r="AA296" s="336">
        <f t="shared" si="126"/>
        <v>3.523438102697984</v>
      </c>
      <c r="AB296" s="337">
        <f t="shared" si="127"/>
        <v>-88.935457206397302</v>
      </c>
      <c r="AD296">
        <f t="shared" si="132"/>
        <v>0</v>
      </c>
      <c r="AE296">
        <f t="shared" si="135"/>
        <v>0</v>
      </c>
    </row>
    <row r="297" spans="1:31" x14ac:dyDescent="0.25">
      <c r="A297" s="338">
        <v>19953</v>
      </c>
      <c r="B297" s="355">
        <f t="shared" si="128"/>
        <v>19.952999999999999</v>
      </c>
      <c r="C297" s="328">
        <f t="shared" si="110"/>
        <v>6.7656893235912525</v>
      </c>
      <c r="D297" s="329">
        <f t="shared" si="111"/>
        <v>1.4224482055635674</v>
      </c>
      <c r="E297" s="329">
        <f t="shared" si="112"/>
        <v>1.0000342315514699</v>
      </c>
      <c r="F297" s="330">
        <f t="shared" si="113"/>
        <v>8.2741253313167538E-3</v>
      </c>
      <c r="G297" s="329">
        <f t="shared" si="114"/>
        <v>1</v>
      </c>
      <c r="H297" s="330">
        <f t="shared" si="115"/>
        <v>0</v>
      </c>
      <c r="I297" s="328">
        <f t="shared" si="116"/>
        <v>36187.235317991755</v>
      </c>
      <c r="J297" s="331">
        <f t="shared" si="117"/>
        <v>1.5707686927413045</v>
      </c>
      <c r="K297" s="339">
        <f t="shared" si="133"/>
        <v>6.000054070873956</v>
      </c>
      <c r="L297" s="340">
        <f t="shared" si="134"/>
        <v>1.4033497708355898</v>
      </c>
      <c r="M297" s="328">
        <f t="shared" si="118"/>
        <v>1.004606285760653</v>
      </c>
      <c r="N297" s="331">
        <f t="shared" si="119"/>
        <v>9.5798469996619146E-2</v>
      </c>
      <c r="O297" s="332">
        <f t="shared" si="120"/>
        <v>1.0015218751084112</v>
      </c>
      <c r="P297" s="333">
        <f t="shared" si="121"/>
        <v>0.13963206907957323</v>
      </c>
      <c r="Q297" s="334">
        <f t="shared" si="122"/>
        <v>4.8568565665106629</v>
      </c>
      <c r="R297" s="335">
        <f t="shared" si="123"/>
        <v>-104.10778030644691</v>
      </c>
      <c r="S297" s="337">
        <f t="shared" si="124"/>
        <v>75.892219693553088</v>
      </c>
      <c r="U297" s="310">
        <f t="shared" si="129"/>
        <v>1000000000</v>
      </c>
      <c r="V297" s="310">
        <f t="shared" si="130"/>
        <v>398122209</v>
      </c>
      <c r="X297" s="336">
        <f t="shared" si="125"/>
        <v>1.3821364236036753</v>
      </c>
      <c r="Y297" s="337">
        <f t="shared" si="131"/>
        <v>-15.081245667677541</v>
      </c>
      <c r="AA297" s="336">
        <f t="shared" si="126"/>
        <v>3.4747201429069872</v>
      </c>
      <c r="AB297" s="337">
        <f t="shared" si="127"/>
        <v>-89.026534638769363</v>
      </c>
      <c r="AD297">
        <f t="shared" si="132"/>
        <v>0</v>
      </c>
      <c r="AE297">
        <f t="shared" si="135"/>
        <v>0</v>
      </c>
    </row>
    <row r="298" spans="1:31" x14ac:dyDescent="0.25">
      <c r="A298" s="338">
        <v>20069</v>
      </c>
      <c r="B298" s="355">
        <f t="shared" si="128"/>
        <v>20.068999999999999</v>
      </c>
      <c r="C298" s="328">
        <f t="shared" si="110"/>
        <v>6.8041658986500542</v>
      </c>
      <c r="D298" s="329">
        <f t="shared" si="111"/>
        <v>1.4232932479975162</v>
      </c>
      <c r="E298" s="329">
        <f t="shared" si="112"/>
        <v>1.0000346307228862</v>
      </c>
      <c r="F298" s="330">
        <f t="shared" si="113"/>
        <v>8.3222260856077434E-3</v>
      </c>
      <c r="G298" s="329">
        <f t="shared" si="114"/>
        <v>1</v>
      </c>
      <c r="H298" s="330">
        <f t="shared" si="115"/>
        <v>0</v>
      </c>
      <c r="I298" s="328">
        <f t="shared" si="116"/>
        <v>36397.615676518821</v>
      </c>
      <c r="J298" s="331">
        <f t="shared" si="117"/>
        <v>1.570768852467759</v>
      </c>
      <c r="K298" s="339">
        <f t="shared" si="133"/>
        <v>6.0339701458106987</v>
      </c>
      <c r="L298" s="340">
        <f t="shared" si="134"/>
        <v>1.4042997839018605</v>
      </c>
      <c r="M298" s="328">
        <f t="shared" si="118"/>
        <v>1.0046598756507239</v>
      </c>
      <c r="N298" s="331">
        <f t="shared" si="119"/>
        <v>9.6351979194790716E-2</v>
      </c>
      <c r="O298" s="332">
        <f t="shared" si="120"/>
        <v>1.0015400067321243</v>
      </c>
      <c r="P298" s="333">
        <f t="shared" si="121"/>
        <v>0.14044664747417751</v>
      </c>
      <c r="Q298" s="334">
        <f t="shared" si="122"/>
        <v>4.8055918538315447</v>
      </c>
      <c r="R298" s="335">
        <f t="shared" si="123"/>
        <v>-104.17740475883134</v>
      </c>
      <c r="S298" s="337">
        <f t="shared" si="124"/>
        <v>75.822595241168656</v>
      </c>
      <c r="U298" s="310">
        <f t="shared" si="129"/>
        <v>1000000000</v>
      </c>
      <c r="V298" s="310">
        <f t="shared" si="130"/>
        <v>402764761</v>
      </c>
      <c r="X298" s="336">
        <f t="shared" si="125"/>
        <v>1.3802823451781934</v>
      </c>
      <c r="Y298" s="337">
        <f t="shared" si="131"/>
        <v>-15.05853682110061</v>
      </c>
      <c r="AA298" s="336">
        <f t="shared" si="126"/>
        <v>3.4253095086533518</v>
      </c>
      <c r="AB298" s="337">
        <f t="shared" si="127"/>
        <v>-89.118867937730698</v>
      </c>
      <c r="AD298">
        <f t="shared" si="132"/>
        <v>0</v>
      </c>
      <c r="AE298">
        <f t="shared" si="135"/>
        <v>0</v>
      </c>
    </row>
    <row r="299" spans="1:31" x14ac:dyDescent="0.25">
      <c r="A299" s="338">
        <v>20185</v>
      </c>
      <c r="B299" s="355">
        <f t="shared" si="128"/>
        <v>20.184999999999999</v>
      </c>
      <c r="C299" s="328">
        <f t="shared" si="110"/>
        <v>6.8426472778964085</v>
      </c>
      <c r="D299" s="329">
        <f t="shared" si="111"/>
        <v>1.4241287863974854</v>
      </c>
      <c r="E299" s="329">
        <f t="shared" si="112"/>
        <v>1.0000350322080636</v>
      </c>
      <c r="F299" s="330">
        <f t="shared" si="113"/>
        <v>8.3703268013878961E-3</v>
      </c>
      <c r="G299" s="329">
        <f t="shared" si="114"/>
        <v>1</v>
      </c>
      <c r="H299" s="330">
        <f t="shared" si="115"/>
        <v>0</v>
      </c>
      <c r="I299" s="328">
        <f t="shared" si="116"/>
        <v>36607.996035046817</v>
      </c>
      <c r="J299" s="331">
        <f t="shared" si="117"/>
        <v>1.5707690103583682</v>
      </c>
      <c r="K299" s="339">
        <f t="shared" si="133"/>
        <v>6.0678916056744914</v>
      </c>
      <c r="L299" s="340">
        <f t="shared" si="134"/>
        <v>1.4052391760527136</v>
      </c>
      <c r="M299" s="328">
        <f t="shared" si="118"/>
        <v>1.0047137733079945</v>
      </c>
      <c r="N299" s="331">
        <f t="shared" si="119"/>
        <v>9.6905429176741928E-2</v>
      </c>
      <c r="O299" s="332">
        <f t="shared" si="120"/>
        <v>1.0015582523968021</v>
      </c>
      <c r="P299" s="333">
        <f t="shared" si="121"/>
        <v>0.14126127399814811</v>
      </c>
      <c r="Q299" s="334">
        <f t="shared" si="122"/>
        <v>4.7546186715221079</v>
      </c>
      <c r="R299" s="335">
        <f t="shared" si="123"/>
        <v>-104.24709246559878</v>
      </c>
      <c r="S299" s="337">
        <f t="shared" si="124"/>
        <v>75.752907534401217</v>
      </c>
      <c r="U299" s="310">
        <f t="shared" si="129"/>
        <v>1000000000</v>
      </c>
      <c r="V299" s="310">
        <f t="shared" si="130"/>
        <v>407434225</v>
      </c>
      <c r="X299" s="336">
        <f t="shared" si="125"/>
        <v>1.378449104978269</v>
      </c>
      <c r="Y299" s="337">
        <f t="shared" si="131"/>
        <v>-15.036433010126686</v>
      </c>
      <c r="AA299" s="336">
        <f t="shared" si="126"/>
        <v>3.3761695665438389</v>
      </c>
      <c r="AB299" s="337">
        <f t="shared" si="127"/>
        <v>-89.210659455472097</v>
      </c>
      <c r="AD299">
        <f t="shared" si="132"/>
        <v>0</v>
      </c>
      <c r="AE299">
        <f t="shared" si="135"/>
        <v>0</v>
      </c>
    </row>
    <row r="300" spans="1:31" x14ac:dyDescent="0.25">
      <c r="A300" s="338">
        <v>20301</v>
      </c>
      <c r="B300" s="355">
        <f t="shared" si="128"/>
        <v>20.300999999999998</v>
      </c>
      <c r="C300" s="328">
        <f t="shared" si="110"/>
        <v>6.8811333807309056</v>
      </c>
      <c r="D300" s="329">
        <f t="shared" si="111"/>
        <v>1.4249549790548302</v>
      </c>
      <c r="E300" s="329">
        <f t="shared" si="112"/>
        <v>1.0000354360069987</v>
      </c>
      <c r="F300" s="330">
        <f t="shared" si="113"/>
        <v>8.4184274784346782E-3</v>
      </c>
      <c r="G300" s="329">
        <f t="shared" si="114"/>
        <v>1</v>
      </c>
      <c r="H300" s="330">
        <f t="shared" si="115"/>
        <v>0</v>
      </c>
      <c r="I300" s="328">
        <f t="shared" si="116"/>
        <v>36818.376393575716</v>
      </c>
      <c r="J300" s="331">
        <f t="shared" si="117"/>
        <v>1.5707691664446022</v>
      </c>
      <c r="K300" s="339">
        <f t="shared" si="133"/>
        <v>6.1018183606570622</v>
      </c>
      <c r="L300" s="340">
        <f t="shared" si="134"/>
        <v>1.4061681227764584</v>
      </c>
      <c r="M300" s="328">
        <f t="shared" si="118"/>
        <v>1.0047679786829373</v>
      </c>
      <c r="N300" s="331">
        <f t="shared" si="119"/>
        <v>9.7458819612978489E-2</v>
      </c>
      <c r="O300" s="332">
        <f t="shared" si="120"/>
        <v>1.001576612256891</v>
      </c>
      <c r="P300" s="333">
        <f t="shared" si="121"/>
        <v>0.14207594891098746</v>
      </c>
      <c r="Q300" s="334">
        <f t="shared" si="122"/>
        <v>4.7039335852566877</v>
      </c>
      <c r="R300" s="335">
        <f t="shared" si="123"/>
        <v>-104.31684243924202</v>
      </c>
      <c r="S300" s="337">
        <f t="shared" si="124"/>
        <v>75.683157560757977</v>
      </c>
      <c r="U300" s="310">
        <f t="shared" si="129"/>
        <v>1000000000</v>
      </c>
      <c r="V300" s="310">
        <f t="shared" si="130"/>
        <v>412130601</v>
      </c>
      <c r="X300" s="336">
        <f t="shared" si="125"/>
        <v>1.376636180862999</v>
      </c>
      <c r="Y300" s="337">
        <f t="shared" si="131"/>
        <v>-15.014924162940726</v>
      </c>
      <c r="AA300" s="336">
        <f t="shared" si="126"/>
        <v>3.3272974043936898</v>
      </c>
      <c r="AB300" s="337">
        <f t="shared" si="127"/>
        <v>-89.301918276301322</v>
      </c>
      <c r="AD300">
        <f t="shared" si="132"/>
        <v>0</v>
      </c>
      <c r="AE300">
        <f t="shared" si="135"/>
        <v>0</v>
      </c>
    </row>
    <row r="301" spans="1:31" x14ac:dyDescent="0.25">
      <c r="A301" s="338">
        <v>20417</v>
      </c>
      <c r="B301" s="355">
        <f t="shared" si="128"/>
        <v>20.417000000000002</v>
      </c>
      <c r="C301" s="328">
        <f t="shared" si="110"/>
        <v>6.9196241283374871</v>
      </c>
      <c r="D301" s="329">
        <f t="shared" si="111"/>
        <v>1.4257719807905769</v>
      </c>
      <c r="E301" s="329">
        <f t="shared" si="112"/>
        <v>1.0000358421196891</v>
      </c>
      <c r="F301" s="330">
        <f t="shared" si="113"/>
        <v>8.4665281165255592E-3</v>
      </c>
      <c r="G301" s="329">
        <f t="shared" si="114"/>
        <v>1</v>
      </c>
      <c r="H301" s="330">
        <f t="shared" si="115"/>
        <v>0</v>
      </c>
      <c r="I301" s="328">
        <f t="shared" si="116"/>
        <v>37028.756752105503</v>
      </c>
      <c r="J301" s="331">
        <f t="shared" si="117"/>
        <v>1.5707693207572158</v>
      </c>
      <c r="K301" s="339">
        <f t="shared" si="133"/>
        <v>6.1357503229226031</v>
      </c>
      <c r="L301" s="340">
        <f t="shared" si="134"/>
        <v>1.4070867957524822</v>
      </c>
      <c r="M301" s="328">
        <f t="shared" si="118"/>
        <v>1.0048224917257524</v>
      </c>
      <c r="N301" s="331">
        <f t="shared" si="119"/>
        <v>9.8012150174222934E-2</v>
      </c>
      <c r="O301" s="332">
        <f t="shared" si="120"/>
        <v>1.0015950864677137</v>
      </c>
      <c r="P301" s="333">
        <f t="shared" si="121"/>
        <v>0.14289067247187426</v>
      </c>
      <c r="Q301" s="334">
        <f t="shared" si="122"/>
        <v>4.6535332204696216</v>
      </c>
      <c r="R301" s="335">
        <f t="shared" si="123"/>
        <v>-104.38665371160667</v>
      </c>
      <c r="S301" s="337">
        <f t="shared" si="124"/>
        <v>75.61334628839333</v>
      </c>
      <c r="U301" s="310">
        <f t="shared" si="129"/>
        <v>1000000000</v>
      </c>
      <c r="V301" s="310">
        <f t="shared" si="130"/>
        <v>416853889</v>
      </c>
      <c r="X301" s="336">
        <f t="shared" si="125"/>
        <v>1.3748430651165877</v>
      </c>
      <c r="Y301" s="337">
        <f t="shared" si="131"/>
        <v>-14.994000425934338</v>
      </c>
      <c r="AA301" s="336">
        <f t="shared" si="126"/>
        <v>3.2786901553530319</v>
      </c>
      <c r="AB301" s="337">
        <f t="shared" si="127"/>
        <v>-89.392653285672338</v>
      </c>
      <c r="AD301">
        <f t="shared" si="132"/>
        <v>0</v>
      </c>
      <c r="AE301">
        <f t="shared" si="135"/>
        <v>0</v>
      </c>
    </row>
    <row r="302" spans="1:31" x14ac:dyDescent="0.25">
      <c r="A302" s="338">
        <v>20536</v>
      </c>
      <c r="B302" s="355">
        <f t="shared" si="128"/>
        <v>20.536000000000001</v>
      </c>
      <c r="C302" s="328">
        <f t="shared" si="110"/>
        <v>6.9591150720472292</v>
      </c>
      <c r="D302" s="329">
        <f t="shared" si="111"/>
        <v>1.4266007200464224</v>
      </c>
      <c r="E302" s="329">
        <f t="shared" si="112"/>
        <v>1.0000362611395779</v>
      </c>
      <c r="F302" s="330">
        <f t="shared" si="113"/>
        <v>8.5158726959226518E-3</v>
      </c>
      <c r="G302" s="329">
        <f t="shared" si="114"/>
        <v>1</v>
      </c>
      <c r="H302" s="330">
        <f t="shared" si="115"/>
        <v>0</v>
      </c>
      <c r="I302" s="328">
        <f t="shared" si="116"/>
        <v>37244.577981977476</v>
      </c>
      <c r="J302" s="331">
        <f t="shared" si="117"/>
        <v>1.5707694772491558</v>
      </c>
      <c r="K302" s="339">
        <f t="shared" si="133"/>
        <v>6.1705651569319997</v>
      </c>
      <c r="L302" s="340">
        <f t="shared" si="134"/>
        <v>1.408018727803017</v>
      </c>
      <c r="M302" s="328">
        <f t="shared" si="118"/>
        <v>1.0048787342423144</v>
      </c>
      <c r="N302" s="331">
        <f t="shared" si="119"/>
        <v>9.8579728445969461E-2</v>
      </c>
      <c r="O302" s="332">
        <f t="shared" si="120"/>
        <v>1.0016141574485602</v>
      </c>
      <c r="P302" s="333">
        <f t="shared" si="121"/>
        <v>0.14372651729250363</v>
      </c>
      <c r="Q302" s="334">
        <f t="shared" si="122"/>
        <v>4.6021217846389399</v>
      </c>
      <c r="R302" s="335">
        <f t="shared" si="123"/>
        <v>-104.45833315032743</v>
      </c>
      <c r="S302" s="337">
        <f t="shared" si="124"/>
        <v>75.541666849672566</v>
      </c>
      <c r="U302" s="310">
        <f t="shared" si="129"/>
        <v>1000000000</v>
      </c>
      <c r="V302" s="310">
        <f t="shared" si="130"/>
        <v>421727296</v>
      </c>
      <c r="X302" s="336">
        <f t="shared" si="125"/>
        <v>1.373023641694489</v>
      </c>
      <c r="Y302" s="337">
        <f t="shared" si="131"/>
        <v>-14.973133458463975</v>
      </c>
      <c r="AA302" s="336">
        <f t="shared" si="126"/>
        <v>3.2290981429444496</v>
      </c>
      <c r="AB302" s="337">
        <f t="shared" si="127"/>
        <v>-89.485199691863485</v>
      </c>
      <c r="AD302">
        <f t="shared" si="132"/>
        <v>0</v>
      </c>
      <c r="AE302">
        <f t="shared" si="135"/>
        <v>0</v>
      </c>
    </row>
    <row r="303" spans="1:31" x14ac:dyDescent="0.25">
      <c r="A303" s="338">
        <v>20655</v>
      </c>
      <c r="B303" s="355">
        <f t="shared" si="128"/>
        <v>20.655000000000001</v>
      </c>
      <c r="C303" s="328">
        <f t="shared" si="110"/>
        <v>6.9986107413968979</v>
      </c>
      <c r="D303" s="329">
        <f t="shared" si="111"/>
        <v>1.4274201061143164</v>
      </c>
      <c r="E303" s="329">
        <f t="shared" si="112"/>
        <v>1.0000366825944402</v>
      </c>
      <c r="F303" s="330">
        <f t="shared" si="113"/>
        <v>8.565217233848392E-3</v>
      </c>
      <c r="G303" s="329">
        <f t="shared" si="114"/>
        <v>1</v>
      </c>
      <c r="H303" s="330">
        <f t="shared" si="115"/>
        <v>0</v>
      </c>
      <c r="I303" s="328">
        <f t="shared" si="116"/>
        <v>37460.399211850359</v>
      </c>
      <c r="J303" s="331">
        <f t="shared" si="117"/>
        <v>1.5707696319378968</v>
      </c>
      <c r="K303" s="339">
        <f t="shared" si="133"/>
        <v>6.2053852899243154</v>
      </c>
      <c r="L303" s="340">
        <f t="shared" si="134"/>
        <v>1.4089402019894504</v>
      </c>
      <c r="M303" s="328">
        <f t="shared" si="118"/>
        <v>1.0049353004393362</v>
      </c>
      <c r="N303" s="331">
        <f t="shared" si="119"/>
        <v>9.9147243004378868E-2</v>
      </c>
      <c r="O303" s="332">
        <f t="shared" si="120"/>
        <v>1.0016333491052918</v>
      </c>
      <c r="P303" s="333">
        <f t="shared" si="121"/>
        <v>0.14456241386151258</v>
      </c>
      <c r="Q303" s="334">
        <f t="shared" si="122"/>
        <v>4.551002980191921</v>
      </c>
      <c r="R303" s="335">
        <f t="shared" si="123"/>
        <v>-104.53007509584828</v>
      </c>
      <c r="S303" s="337">
        <f t="shared" si="124"/>
        <v>75.469924904151725</v>
      </c>
      <c r="U303" s="310">
        <f t="shared" si="129"/>
        <v>1000000000</v>
      </c>
      <c r="V303" s="310">
        <f t="shared" si="130"/>
        <v>426629025</v>
      </c>
      <c r="X303" s="336">
        <f t="shared" si="125"/>
        <v>1.3712240265732225</v>
      </c>
      <c r="Y303" s="337">
        <f t="shared" si="131"/>
        <v>-14.952861928649011</v>
      </c>
      <c r="AA303" s="336">
        <f t="shared" si="126"/>
        <v>3.1797789536186989</v>
      </c>
      <c r="AB303" s="337">
        <f t="shared" si="127"/>
        <v>-89.577213167199275</v>
      </c>
      <c r="AD303">
        <f t="shared" si="132"/>
        <v>0</v>
      </c>
      <c r="AE303">
        <f t="shared" si="135"/>
        <v>0</v>
      </c>
    </row>
    <row r="304" spans="1:31" x14ac:dyDescent="0.25">
      <c r="A304" s="338">
        <v>20774</v>
      </c>
      <c r="B304" s="355">
        <f t="shared" si="128"/>
        <v>20.774000000000001</v>
      </c>
      <c r="C304" s="328">
        <f t="shared" si="110"/>
        <v>7.0381110568300684</v>
      </c>
      <c r="D304" s="329">
        <f t="shared" si="111"/>
        <v>1.4282302953646167</v>
      </c>
      <c r="E304" s="329">
        <f t="shared" si="112"/>
        <v>1.0000371064842735</v>
      </c>
      <c r="F304" s="330">
        <f t="shared" si="113"/>
        <v>8.6145617300625379E-3</v>
      </c>
      <c r="G304" s="329">
        <f t="shared" si="114"/>
        <v>1</v>
      </c>
      <c r="H304" s="330">
        <f t="shared" si="115"/>
        <v>0</v>
      </c>
      <c r="I304" s="328">
        <f t="shared" si="116"/>
        <v>37676.220441724116</v>
      </c>
      <c r="J304" s="331">
        <f t="shared" si="117"/>
        <v>1.5707697848544262</v>
      </c>
      <c r="K304" s="339">
        <f t="shared" si="133"/>
        <v>6.2402106331951952</v>
      </c>
      <c r="L304" s="340">
        <f t="shared" si="134"/>
        <v>1.4098513918232853</v>
      </c>
      <c r="M304" s="328">
        <f t="shared" si="118"/>
        <v>1.0049921902621621</v>
      </c>
      <c r="N304" s="331">
        <f t="shared" si="119"/>
        <v>9.9714693494678555E-2</v>
      </c>
      <c r="O304" s="332">
        <f t="shared" si="120"/>
        <v>1.0016526616084671</v>
      </c>
      <c r="P304" s="333">
        <f t="shared" si="121"/>
        <v>0.1453983624576384</v>
      </c>
      <c r="Q304" s="334">
        <f t="shared" si="122"/>
        <v>4.5001733509864241</v>
      </c>
      <c r="R304" s="335">
        <f t="shared" si="123"/>
        <v>-104.60187856348659</v>
      </c>
      <c r="S304" s="337">
        <f t="shared" si="124"/>
        <v>75.398121436513406</v>
      </c>
      <c r="U304" s="310">
        <f t="shared" si="129"/>
        <v>1000000000</v>
      </c>
      <c r="V304" s="310">
        <f t="shared" si="130"/>
        <v>431559076</v>
      </c>
      <c r="X304" s="336">
        <f t="shared" si="125"/>
        <v>1.3694437158890025</v>
      </c>
      <c r="Y304" s="337">
        <f t="shared" si="131"/>
        <v>-14.933175876461101</v>
      </c>
      <c r="AA304" s="336">
        <f t="shared" si="126"/>
        <v>3.1307296350974201</v>
      </c>
      <c r="AB304" s="337">
        <f t="shared" si="127"/>
        <v>-89.668702687025515</v>
      </c>
      <c r="AD304">
        <f t="shared" si="132"/>
        <v>0</v>
      </c>
      <c r="AE304">
        <f t="shared" si="135"/>
        <v>0</v>
      </c>
    </row>
    <row r="305" spans="1:31" x14ac:dyDescent="0.25">
      <c r="A305" s="338">
        <v>20893</v>
      </c>
      <c r="B305" s="355">
        <f t="shared" si="128"/>
        <v>20.893000000000001</v>
      </c>
      <c r="C305" s="328">
        <f t="shared" si="110"/>
        <v>7.0776159405570906</v>
      </c>
      <c r="D305" s="329">
        <f t="shared" si="111"/>
        <v>1.4290314407253661</v>
      </c>
      <c r="E305" s="329">
        <f t="shared" si="112"/>
        <v>1.0000375328090743</v>
      </c>
      <c r="F305" s="330">
        <f t="shared" si="113"/>
        <v>8.663906184324846E-3</v>
      </c>
      <c r="G305" s="329">
        <f t="shared" si="114"/>
        <v>1</v>
      </c>
      <c r="H305" s="330">
        <f t="shared" si="115"/>
        <v>0</v>
      </c>
      <c r="I305" s="328">
        <f t="shared" si="116"/>
        <v>37892.041671598759</v>
      </c>
      <c r="J305" s="331">
        <f t="shared" si="117"/>
        <v>1.5707699360290259</v>
      </c>
      <c r="K305" s="339">
        <f t="shared" si="133"/>
        <v>6.2750410999963266</v>
      </c>
      <c r="L305" s="340">
        <f t="shared" si="134"/>
        <v>1.4107524670328069</v>
      </c>
      <c r="M305" s="328">
        <f t="shared" si="118"/>
        <v>1.0050494036558368</v>
      </c>
      <c r="N305" s="331">
        <f t="shared" si="119"/>
        <v>0.10028207956234106</v>
      </c>
      <c r="O305" s="332">
        <f t="shared" si="120"/>
        <v>1.0016720951296139</v>
      </c>
      <c r="P305" s="333">
        <f t="shared" si="121"/>
        <v>0.14623436335925122</v>
      </c>
      <c r="Q305" s="334">
        <f t="shared" si="122"/>
        <v>4.4496295011340523</v>
      </c>
      <c r="R305" s="335">
        <f t="shared" si="123"/>
        <v>-104.67374258804477</v>
      </c>
      <c r="S305" s="337">
        <f t="shared" si="124"/>
        <v>75.326257411955226</v>
      </c>
      <c r="U305" s="310">
        <f t="shared" si="129"/>
        <v>1000000000</v>
      </c>
      <c r="V305" s="310">
        <f t="shared" si="130"/>
        <v>436517449</v>
      </c>
      <c r="X305" s="336">
        <f t="shared" si="125"/>
        <v>1.3676822197532668</v>
      </c>
      <c r="Y305" s="337">
        <f t="shared" si="131"/>
        <v>-14.914065558607934</v>
      </c>
      <c r="AA305" s="336">
        <f t="shared" si="126"/>
        <v>3.0819472813807862</v>
      </c>
      <c r="AB305" s="337">
        <f t="shared" si="127"/>
        <v>-89.759677029436858</v>
      </c>
      <c r="AD305">
        <f t="shared" si="132"/>
        <v>0</v>
      </c>
      <c r="AE305">
        <f t="shared" si="135"/>
        <v>0</v>
      </c>
    </row>
    <row r="306" spans="1:31" x14ac:dyDescent="0.25">
      <c r="A306" s="338">
        <v>21014.75</v>
      </c>
      <c r="B306" s="355">
        <f t="shared" si="128"/>
        <v>21.014749999999999</v>
      </c>
      <c r="C306" s="328">
        <f t="shared" si="110"/>
        <v>7.1180384008128144</v>
      </c>
      <c r="D306" s="329">
        <f t="shared" si="111"/>
        <v>1.4298418961258228</v>
      </c>
      <c r="E306" s="329">
        <f t="shared" si="112"/>
        <v>1.0000379715059386</v>
      </c>
      <c r="F306" s="330">
        <f t="shared" si="113"/>
        <v>8.7143909079380171E-3</v>
      </c>
      <c r="G306" s="329">
        <f t="shared" si="114"/>
        <v>1</v>
      </c>
      <c r="H306" s="330">
        <f t="shared" si="115"/>
        <v>0</v>
      </c>
      <c r="I306" s="328">
        <f t="shared" si="116"/>
        <v>38112.850366870545</v>
      </c>
      <c r="J306" s="331">
        <f t="shared" si="117"/>
        <v>1.5707700889252414</v>
      </c>
      <c r="K306" s="339">
        <f t="shared" si="133"/>
        <v>6.3106816865681061</v>
      </c>
      <c r="L306" s="340">
        <f t="shared" si="134"/>
        <v>1.4116640706207333</v>
      </c>
      <c r="M306" s="328">
        <f t="shared" si="118"/>
        <v>1.0051082740236053</v>
      </c>
      <c r="N306" s="331">
        <f t="shared" si="119"/>
        <v>0.10086251045045552</v>
      </c>
      <c r="O306" s="332">
        <f t="shared" si="120"/>
        <v>1.0016921031698747</v>
      </c>
      <c r="P306" s="333">
        <f t="shared" si="121"/>
        <v>0.14708973803192055</v>
      </c>
      <c r="Q306" s="334">
        <f t="shared" si="122"/>
        <v>4.3982099031659674</v>
      </c>
      <c r="R306" s="335">
        <f t="shared" si="123"/>
        <v>-104.7473290214307</v>
      </c>
      <c r="S306" s="337">
        <f t="shared" si="124"/>
        <v>75.252670978569299</v>
      </c>
      <c r="U306" s="310">
        <f t="shared" si="129"/>
        <v>1000000000</v>
      </c>
      <c r="V306" s="310">
        <f t="shared" si="130"/>
        <v>441619717.5625</v>
      </c>
      <c r="X306" s="336">
        <f t="shared" si="125"/>
        <v>1.3658989918000368</v>
      </c>
      <c r="Y306" s="337">
        <f t="shared" si="131"/>
        <v>-14.895099520904926</v>
      </c>
      <c r="AA306" s="336">
        <f t="shared" si="126"/>
        <v>3.032310911365931</v>
      </c>
      <c r="AB306" s="337">
        <f t="shared" si="127"/>
        <v>-89.852229500525766</v>
      </c>
      <c r="AD306">
        <f t="shared" si="132"/>
        <v>0</v>
      </c>
      <c r="AE306">
        <f t="shared" si="135"/>
        <v>0</v>
      </c>
    </row>
    <row r="307" spans="1:31" x14ac:dyDescent="0.25">
      <c r="A307" s="338">
        <v>21136.5</v>
      </c>
      <c r="B307" s="355">
        <f t="shared" si="128"/>
        <v>21.136500000000002</v>
      </c>
      <c r="C307" s="328">
        <f t="shared" si="110"/>
        <v>7.1584654836624333</v>
      </c>
      <c r="D307" s="329">
        <f t="shared" si="111"/>
        <v>1.4306431980333851</v>
      </c>
      <c r="E307" s="329">
        <f t="shared" si="112"/>
        <v>1.0000384127516049</v>
      </c>
      <c r="F307" s="330">
        <f t="shared" si="113"/>
        <v>8.7648755871292412E-3</v>
      </c>
      <c r="G307" s="329">
        <f t="shared" si="114"/>
        <v>1</v>
      </c>
      <c r="H307" s="330">
        <f t="shared" si="115"/>
        <v>0</v>
      </c>
      <c r="I307" s="328">
        <f t="shared" si="116"/>
        <v>38333.659062143204</v>
      </c>
      <c r="J307" s="331">
        <f t="shared" si="117"/>
        <v>1.5707702400600381</v>
      </c>
      <c r="K307" s="339">
        <f t="shared" si="133"/>
        <v>6.3463274585435627</v>
      </c>
      <c r="L307" s="340">
        <f t="shared" si="134"/>
        <v>1.4125654344411178</v>
      </c>
      <c r="M307" s="328">
        <f t="shared" si="118"/>
        <v>1.0051674829726363</v>
      </c>
      <c r="N307" s="331">
        <f t="shared" si="119"/>
        <v>0.10144287315402209</v>
      </c>
      <c r="O307" s="332">
        <f t="shared" si="120"/>
        <v>1.0017122382523489</v>
      </c>
      <c r="P307" s="333">
        <f t="shared" si="121"/>
        <v>0.14794516804380811</v>
      </c>
      <c r="Q307" s="334">
        <f t="shared" si="122"/>
        <v>4.3470824411586637</v>
      </c>
      <c r="R307" s="335">
        <f t="shared" si="123"/>
        <v>-104.82097685940954</v>
      </c>
      <c r="S307" s="337">
        <f t="shared" si="124"/>
        <v>75.179023140590459</v>
      </c>
      <c r="U307" s="310">
        <f t="shared" si="129"/>
        <v>1000000000</v>
      </c>
      <c r="V307" s="310">
        <f t="shared" si="130"/>
        <v>446751632.25</v>
      </c>
      <c r="X307" s="336">
        <f t="shared" si="125"/>
        <v>1.3641344634218602</v>
      </c>
      <c r="Y307" s="337">
        <f t="shared" si="131"/>
        <v>-14.87671617105725</v>
      </c>
      <c r="AA307" s="336">
        <f t="shared" si="126"/>
        <v>2.9829479777368006</v>
      </c>
      <c r="AB307" s="337">
        <f t="shared" si="127"/>
        <v>-89.944260688352287</v>
      </c>
      <c r="AD307">
        <f t="shared" si="132"/>
        <v>0</v>
      </c>
      <c r="AE307">
        <f t="shared" si="135"/>
        <v>0</v>
      </c>
    </row>
    <row r="308" spans="1:31" x14ac:dyDescent="0.25">
      <c r="A308" s="338">
        <v>21258.25</v>
      </c>
      <c r="B308" s="355">
        <f t="shared" si="128"/>
        <v>21.25825</v>
      </c>
      <c r="C308" s="328">
        <f t="shared" si="110"/>
        <v>7.1988971112281881</v>
      </c>
      <c r="D308" s="329">
        <f t="shared" si="111"/>
        <v>1.4314354996383272</v>
      </c>
      <c r="E308" s="329">
        <f t="shared" si="112"/>
        <v>1.0000388565460696</v>
      </c>
      <c r="F308" s="330">
        <f t="shared" si="113"/>
        <v>8.8153602216412309E-3</v>
      </c>
      <c r="G308" s="329">
        <f t="shared" si="114"/>
        <v>1</v>
      </c>
      <c r="H308" s="330">
        <f t="shared" si="115"/>
        <v>0</v>
      </c>
      <c r="I308" s="328">
        <f t="shared" si="116"/>
        <v>38554.467757416736</v>
      </c>
      <c r="J308" s="331">
        <f t="shared" si="117"/>
        <v>1.5707703894636798</v>
      </c>
      <c r="K308" s="339">
        <f t="shared" si="133"/>
        <v>6.3819783290353511</v>
      </c>
      <c r="L308" s="340">
        <f t="shared" si="134"/>
        <v>1.4134567286204232</v>
      </c>
      <c r="M308" s="328">
        <f t="shared" si="118"/>
        <v>1.0052270304431012</v>
      </c>
      <c r="N308" s="331">
        <f t="shared" si="119"/>
        <v>0.10202316729416731</v>
      </c>
      <c r="O308" s="332">
        <f t="shared" si="120"/>
        <v>1.0017325005638784</v>
      </c>
      <c r="P308" s="333">
        <f t="shared" si="121"/>
        <v>0.14880065369182544</v>
      </c>
      <c r="Q308" s="334">
        <f t="shared" si="122"/>
        <v>4.2962436651545097</v>
      </c>
      <c r="R308" s="335">
        <f t="shared" si="123"/>
        <v>-104.89468512866186</v>
      </c>
      <c r="S308" s="337">
        <f t="shared" si="124"/>
        <v>75.105314871338138</v>
      </c>
      <c r="U308" s="310">
        <f t="shared" si="129"/>
        <v>1000000000</v>
      </c>
      <c r="V308" s="310">
        <f t="shared" si="130"/>
        <v>451913193.0625</v>
      </c>
      <c r="X308" s="336">
        <f t="shared" si="125"/>
        <v>1.3623881524571728</v>
      </c>
      <c r="Y308" s="337">
        <f t="shared" si="131"/>
        <v>-14.858905741562742</v>
      </c>
      <c r="AA308" s="336">
        <f t="shared" si="126"/>
        <v>2.9338555126973347</v>
      </c>
      <c r="AB308" s="337">
        <f t="shared" si="127"/>
        <v>-90.035779387099097</v>
      </c>
      <c r="AD308">
        <f t="shared" si="132"/>
        <v>0</v>
      </c>
      <c r="AE308">
        <f t="shared" si="135"/>
        <v>0</v>
      </c>
    </row>
    <row r="309" spans="1:31" x14ac:dyDescent="0.25">
      <c r="A309" s="338">
        <v>21380</v>
      </c>
      <c r="B309" s="355">
        <f t="shared" si="128"/>
        <v>21.38</v>
      </c>
      <c r="C309" s="328">
        <f t="shared" si="110"/>
        <v>7.2393332073634529</v>
      </c>
      <c r="D309" s="329">
        <f t="shared" si="111"/>
        <v>1.4322189507540564</v>
      </c>
      <c r="E309" s="329">
        <f t="shared" si="112"/>
        <v>1.0000393028893293</v>
      </c>
      <c r="F309" s="330">
        <f t="shared" si="113"/>
        <v>8.8658448112167113E-3</v>
      </c>
      <c r="G309" s="329">
        <f t="shared" si="114"/>
        <v>1</v>
      </c>
      <c r="H309" s="330">
        <f t="shared" si="115"/>
        <v>0</v>
      </c>
      <c r="I309" s="328">
        <f t="shared" si="116"/>
        <v>38775.27645269112</v>
      </c>
      <c r="J309" s="331">
        <f t="shared" si="117"/>
        <v>1.5707705371657412</v>
      </c>
      <c r="K309" s="339">
        <f t="shared" si="133"/>
        <v>6.4176342130745239</v>
      </c>
      <c r="L309" s="340">
        <f t="shared" si="134"/>
        <v>1.4143381195690832</v>
      </c>
      <c r="M309" s="328">
        <f t="shared" si="118"/>
        <v>1.0052869163748439</v>
      </c>
      <c r="N309" s="331">
        <f t="shared" si="119"/>
        <v>0.102603392492292</v>
      </c>
      <c r="O309" s="332">
        <f t="shared" si="120"/>
        <v>1.0017528902923651</v>
      </c>
      <c r="P309" s="333">
        <f t="shared" si="121"/>
        <v>0.14965619527247254</v>
      </c>
      <c r="Q309" s="334">
        <f t="shared" si="122"/>
        <v>4.2456901852945306</v>
      </c>
      <c r="R309" s="335">
        <f t="shared" si="123"/>
        <v>-104.96845287525329</v>
      </c>
      <c r="S309" s="337">
        <f t="shared" si="124"/>
        <v>75.031547124746709</v>
      </c>
      <c r="U309" s="310">
        <f t="shared" si="129"/>
        <v>1000000000</v>
      </c>
      <c r="V309" s="310">
        <f t="shared" si="130"/>
        <v>457104400</v>
      </c>
      <c r="X309" s="336">
        <f t="shared" si="125"/>
        <v>1.3606595901346168</v>
      </c>
      <c r="Y309" s="337">
        <f t="shared" si="131"/>
        <v>-14.841658677808214</v>
      </c>
      <c r="AA309" s="336">
        <f t="shared" si="126"/>
        <v>2.8850305951599111</v>
      </c>
      <c r="AB309" s="337">
        <f t="shared" si="127"/>
        <v>-90.126794197445093</v>
      </c>
      <c r="AD309">
        <f t="shared" si="132"/>
        <v>0</v>
      </c>
      <c r="AE309">
        <f t="shared" si="135"/>
        <v>0</v>
      </c>
    </row>
    <row r="310" spans="1:31" x14ac:dyDescent="0.25">
      <c r="A310" s="338">
        <v>21504.5</v>
      </c>
      <c r="B310" s="355">
        <f t="shared" si="128"/>
        <v>21.5045</v>
      </c>
      <c r="C310" s="328">
        <f t="shared" si="110"/>
        <v>7.2806871880127044</v>
      </c>
      <c r="D310" s="329">
        <f t="shared" si="111"/>
        <v>1.4330110979337367</v>
      </c>
      <c r="E310" s="329">
        <f t="shared" si="112"/>
        <v>1.0000397619500616</v>
      </c>
      <c r="F310" s="330">
        <f t="shared" si="113"/>
        <v>8.9174696630584475E-3</v>
      </c>
      <c r="G310" s="329">
        <f t="shared" si="114"/>
        <v>1</v>
      </c>
      <c r="H310" s="330">
        <f t="shared" si="115"/>
        <v>0</v>
      </c>
      <c r="I310" s="328">
        <f t="shared" si="116"/>
        <v>39001.072613362696</v>
      </c>
      <c r="J310" s="331">
        <f t="shared" si="117"/>
        <v>1.5707706864744362</v>
      </c>
      <c r="K310" s="339">
        <f t="shared" si="133"/>
        <v>6.454100564271533</v>
      </c>
      <c r="L310" s="340">
        <f t="shared" si="134"/>
        <v>1.4152293470432071</v>
      </c>
      <c r="M310" s="328">
        <f t="shared" si="118"/>
        <v>1.0053485049182052</v>
      </c>
      <c r="N310" s="331">
        <f t="shared" si="119"/>
        <v>0.10319665170343667</v>
      </c>
      <c r="O310" s="332">
        <f t="shared" si="120"/>
        <v>1.0017738725324863</v>
      </c>
      <c r="P310" s="333">
        <f t="shared" si="121"/>
        <v>0.15053111935137894</v>
      </c>
      <c r="Q310" s="334">
        <f t="shared" si="122"/>
        <v>4.1942864049375643</v>
      </c>
      <c r="R310" s="335">
        <f t="shared" si="123"/>
        <v>-105.04394736733616</v>
      </c>
      <c r="S310" s="337">
        <f t="shared" si="124"/>
        <v>74.956052632663841</v>
      </c>
      <c r="U310" s="310">
        <f t="shared" si="129"/>
        <v>1000000000</v>
      </c>
      <c r="V310" s="310">
        <f t="shared" si="130"/>
        <v>462443520.25</v>
      </c>
      <c r="X310" s="336">
        <f t="shared" si="125"/>
        <v>1.3589098639629273</v>
      </c>
      <c r="Y310" s="337">
        <f t="shared" si="131"/>
        <v>-14.824594908649221</v>
      </c>
      <c r="AA310" s="336">
        <f t="shared" si="126"/>
        <v>2.8353765409746363</v>
      </c>
      <c r="AB310" s="337">
        <f t="shared" si="127"/>
        <v>-90.219352458686913</v>
      </c>
      <c r="AD310">
        <f t="shared" si="132"/>
        <v>0</v>
      </c>
      <c r="AE310">
        <f t="shared" si="135"/>
        <v>0</v>
      </c>
    </row>
    <row r="311" spans="1:31" x14ac:dyDescent="0.25">
      <c r="A311" s="338">
        <v>21629</v>
      </c>
      <c r="B311" s="355">
        <f t="shared" si="128"/>
        <v>21.629000000000001</v>
      </c>
      <c r="C311" s="328">
        <f t="shared" si="110"/>
        <v>7.322045685664925</v>
      </c>
      <c r="D311" s="329">
        <f t="shared" si="111"/>
        <v>1.4337942967303152</v>
      </c>
      <c r="E311" s="329">
        <f t="shared" si="112"/>
        <v>1.0000402236760229</v>
      </c>
      <c r="F311" s="330">
        <f t="shared" si="113"/>
        <v>8.9690944673666197E-3</v>
      </c>
      <c r="G311" s="329">
        <f t="shared" si="114"/>
        <v>1</v>
      </c>
      <c r="H311" s="330">
        <f t="shared" si="115"/>
        <v>0</v>
      </c>
      <c r="I311" s="328">
        <f t="shared" si="116"/>
        <v>39226.868774035145</v>
      </c>
      <c r="J311" s="331">
        <f t="shared" si="117"/>
        <v>1.5707708340642412</v>
      </c>
      <c r="K311" s="339">
        <f t="shared" si="133"/>
        <v>6.4905719842666114</v>
      </c>
      <c r="L311" s="340">
        <f t="shared" si="134"/>
        <v>1.4161105593503063</v>
      </c>
      <c r="M311" s="328">
        <f t="shared" si="118"/>
        <v>1.005410447257076</v>
      </c>
      <c r="N311" s="331">
        <f t="shared" si="119"/>
        <v>0.10378983802311442</v>
      </c>
      <c r="O311" s="332">
        <f t="shared" si="120"/>
        <v>1.001794988411375</v>
      </c>
      <c r="P311" s="333">
        <f t="shared" si="121"/>
        <v>0.15140610254394832</v>
      </c>
      <c r="Q311" s="334">
        <f t="shared" si="122"/>
        <v>4.1431739712904108</v>
      </c>
      <c r="R311" s="335">
        <f t="shared" si="123"/>
        <v>-105.11950209646379</v>
      </c>
      <c r="S311" s="337">
        <f t="shared" si="124"/>
        <v>74.880497903536209</v>
      </c>
      <c r="U311" s="310">
        <f t="shared" si="129"/>
        <v>1000000000</v>
      </c>
      <c r="V311" s="310">
        <f t="shared" si="130"/>
        <v>467813641</v>
      </c>
      <c r="X311" s="336">
        <f t="shared" si="125"/>
        <v>1.357177746806898</v>
      </c>
      <c r="Y311" s="337">
        <f t="shared" si="131"/>
        <v>-14.808100691433967</v>
      </c>
      <c r="AA311" s="336">
        <f t="shared" si="126"/>
        <v>2.7859962244835126</v>
      </c>
      <c r="AB311" s="337">
        <f t="shared" si="127"/>
        <v>-90.311401405029841</v>
      </c>
      <c r="AD311">
        <f t="shared" si="132"/>
        <v>0</v>
      </c>
      <c r="AE311">
        <f t="shared" si="135"/>
        <v>0</v>
      </c>
    </row>
    <row r="312" spans="1:31" x14ac:dyDescent="0.25">
      <c r="A312" s="338">
        <v>21753.5</v>
      </c>
      <c r="B312" s="355">
        <f t="shared" si="128"/>
        <v>21.753499999999999</v>
      </c>
      <c r="C312" s="328">
        <f t="shared" si="110"/>
        <v>7.3634086242073558</v>
      </c>
      <c r="D312" s="329">
        <f t="shared" si="111"/>
        <v>1.4345686969737224</v>
      </c>
      <c r="E312" s="329">
        <f t="shared" si="112"/>
        <v>1.000040688067209</v>
      </c>
      <c r="F312" s="330">
        <f t="shared" si="113"/>
        <v>9.02071922386612E-3</v>
      </c>
      <c r="G312" s="329">
        <f t="shared" si="114"/>
        <v>1</v>
      </c>
      <c r="H312" s="330">
        <f t="shared" si="115"/>
        <v>0</v>
      </c>
      <c r="I312" s="328">
        <f t="shared" si="116"/>
        <v>39452.664934708439</v>
      </c>
      <c r="J312" s="331">
        <f t="shared" si="117"/>
        <v>1.5707709799646694</v>
      </c>
      <c r="K312" s="339">
        <f t="shared" si="133"/>
        <v>6.5270483880904528</v>
      </c>
      <c r="L312" s="340">
        <f t="shared" si="134"/>
        <v>1.4169819230194507</v>
      </c>
      <c r="M312" s="328">
        <f t="shared" si="118"/>
        <v>1.0054727433260695</v>
      </c>
      <c r="N312" s="331">
        <f t="shared" si="119"/>
        <v>0.10438295104738655</v>
      </c>
      <c r="O312" s="332">
        <f t="shared" si="120"/>
        <v>1.001816238133393</v>
      </c>
      <c r="P312" s="333">
        <f t="shared" si="121"/>
        <v>0.15228114516587829</v>
      </c>
      <c r="Q312" s="334">
        <f t="shared" si="122"/>
        <v>4.0923494456001466</v>
      </c>
      <c r="R312" s="335">
        <f t="shared" si="123"/>
        <v>-105.19511610249697</v>
      </c>
      <c r="S312" s="337">
        <f t="shared" si="124"/>
        <v>74.804883897503032</v>
      </c>
      <c r="U312" s="310">
        <f t="shared" si="129"/>
        <v>1000000000</v>
      </c>
      <c r="V312" s="310">
        <f t="shared" si="130"/>
        <v>473214762.25</v>
      </c>
      <c r="X312" s="336">
        <f t="shared" si="125"/>
        <v>1.3554627780347916</v>
      </c>
      <c r="Y312" s="337">
        <f t="shared" si="131"/>
        <v>-14.792166463296555</v>
      </c>
      <c r="AA312" s="336">
        <f t="shared" si="126"/>
        <v>2.7368866675653569</v>
      </c>
      <c r="AB312" s="337">
        <f t="shared" si="127"/>
        <v>-90.402949639200429</v>
      </c>
      <c r="AD312">
        <f t="shared" si="132"/>
        <v>0</v>
      </c>
      <c r="AE312">
        <f t="shared" si="135"/>
        <v>0</v>
      </c>
    </row>
    <row r="313" spans="1:31" x14ac:dyDescent="0.25">
      <c r="A313" s="338">
        <v>21878</v>
      </c>
      <c r="B313" s="355">
        <f t="shared" si="128"/>
        <v>21.878</v>
      </c>
      <c r="C313" s="328">
        <f t="shared" si="110"/>
        <v>7.4047759292198085</v>
      </c>
      <c r="D313" s="329">
        <f t="shared" si="111"/>
        <v>1.4353344451884995</v>
      </c>
      <c r="E313" s="329">
        <f t="shared" si="112"/>
        <v>1.0000411551236168</v>
      </c>
      <c r="F313" s="330">
        <f t="shared" si="113"/>
        <v>9.0723439322818455E-3</v>
      </c>
      <c r="G313" s="329">
        <f t="shared" si="114"/>
        <v>1</v>
      </c>
      <c r="H313" s="330">
        <f t="shared" si="115"/>
        <v>0</v>
      </c>
      <c r="I313" s="328">
        <f t="shared" si="116"/>
        <v>39678.461095382561</v>
      </c>
      <c r="J313" s="331">
        <f t="shared" si="117"/>
        <v>1.5707711242045617</v>
      </c>
      <c r="K313" s="339">
        <f t="shared" si="133"/>
        <v>6.5635296926511124</v>
      </c>
      <c r="L313" s="340">
        <f t="shared" si="134"/>
        <v>1.4178436009378985</v>
      </c>
      <c r="M313" s="328">
        <f t="shared" si="118"/>
        <v>1.005535393059442</v>
      </c>
      <c r="N313" s="331">
        <f t="shared" si="119"/>
        <v>0.10497599037262044</v>
      </c>
      <c r="O313" s="332">
        <f t="shared" si="120"/>
        <v>1.0018376219040588</v>
      </c>
      <c r="P313" s="333">
        <f t="shared" si="121"/>
        <v>0.15315624753240573</v>
      </c>
      <c r="Q313" s="334">
        <f t="shared" si="122"/>
        <v>4.0418094489410166</v>
      </c>
      <c r="R313" s="335">
        <f t="shared" si="123"/>
        <v>-105.27078844452454</v>
      </c>
      <c r="S313" s="337">
        <f t="shared" si="124"/>
        <v>74.729211555475459</v>
      </c>
      <c r="U313" s="310">
        <f t="shared" si="129"/>
        <v>1000000000</v>
      </c>
      <c r="V313" s="310">
        <f t="shared" si="130"/>
        <v>478646884</v>
      </c>
      <c r="X313" s="336">
        <f t="shared" si="125"/>
        <v>1.3537645098169424</v>
      </c>
      <c r="Y313" s="337">
        <f t="shared" si="131"/>
        <v>-14.776782870010544</v>
      </c>
      <c r="AA313" s="336">
        <f t="shared" si="126"/>
        <v>2.6880449391240742</v>
      </c>
      <c r="AB313" s="337">
        <f t="shared" si="127"/>
        <v>-90.494005574513977</v>
      </c>
      <c r="AD313">
        <f t="shared" si="132"/>
        <v>0</v>
      </c>
      <c r="AE313">
        <f t="shared" si="135"/>
        <v>0</v>
      </c>
    </row>
    <row r="314" spans="1:31" x14ac:dyDescent="0.25">
      <c r="A314" s="338">
        <v>22005.25</v>
      </c>
      <c r="B314" s="355">
        <f t="shared" si="128"/>
        <v>22.00525</v>
      </c>
      <c r="C314" s="328">
        <f t="shared" si="110"/>
        <v>7.4470614063449805</v>
      </c>
      <c r="D314" s="329">
        <f t="shared" si="111"/>
        <v>1.4361083158822712</v>
      </c>
      <c r="E314" s="329">
        <f t="shared" si="112"/>
        <v>1.0000416352507047</v>
      </c>
      <c r="F314" s="330">
        <f t="shared" si="113"/>
        <v>9.1251088955269094E-3</v>
      </c>
      <c r="G314" s="329">
        <f t="shared" si="114"/>
        <v>1</v>
      </c>
      <c r="H314" s="330">
        <f t="shared" si="115"/>
        <v>0</v>
      </c>
      <c r="I314" s="328">
        <f t="shared" si="116"/>
        <v>39909.244721453942</v>
      </c>
      <c r="J314" s="331">
        <f t="shared" si="117"/>
        <v>1.5707712699438565</v>
      </c>
      <c r="K314" s="339">
        <f t="shared" si="133"/>
        <v>6.6008217888797969</v>
      </c>
      <c r="L314" s="340">
        <f t="shared" si="134"/>
        <v>1.4187144687302038</v>
      </c>
      <c r="M314" s="328">
        <f t="shared" si="118"/>
        <v>1.005599792021904</v>
      </c>
      <c r="N314" s="331">
        <f t="shared" si="119"/>
        <v>0.10558205238135224</v>
      </c>
      <c r="O314" s="332">
        <f t="shared" si="120"/>
        <v>1.0018596167448814</v>
      </c>
      <c r="P314" s="333">
        <f t="shared" si="121"/>
        <v>0.15405074153561177</v>
      </c>
      <c r="Q314" s="334">
        <f t="shared" si="122"/>
        <v>3.990443676340512</v>
      </c>
      <c r="R314" s="335">
        <f t="shared" si="123"/>
        <v>-105.34819158719542</v>
      </c>
      <c r="S314" s="337">
        <f t="shared" si="124"/>
        <v>74.651808412804584</v>
      </c>
      <c r="U314" s="310">
        <f t="shared" si="129"/>
        <v>1000000000</v>
      </c>
      <c r="V314" s="310">
        <f t="shared" si="130"/>
        <v>484231027.5625</v>
      </c>
      <c r="X314" s="336">
        <f t="shared" si="125"/>
        <v>1.3520455343837168</v>
      </c>
      <c r="Y314" s="337">
        <f t="shared" si="131"/>
        <v>-14.761618966450307</v>
      </c>
      <c r="AA314" s="336">
        <f t="shared" si="126"/>
        <v>2.6383981419567966</v>
      </c>
      <c r="AB314" s="337">
        <f t="shared" si="127"/>
        <v>-90.586572620745102</v>
      </c>
      <c r="AD314">
        <f t="shared" si="132"/>
        <v>0</v>
      </c>
      <c r="AE314">
        <f t="shared" si="135"/>
        <v>0</v>
      </c>
    </row>
    <row r="315" spans="1:31" x14ac:dyDescent="0.25">
      <c r="A315" s="338">
        <v>22132.5</v>
      </c>
      <c r="B315" s="355">
        <f t="shared" si="128"/>
        <v>22.1325</v>
      </c>
      <c r="C315" s="328">
        <f t="shared" si="110"/>
        <v>7.4893512929723274</v>
      </c>
      <c r="D315" s="329">
        <f t="shared" si="111"/>
        <v>1.4368734474468836</v>
      </c>
      <c r="E315" s="329">
        <f t="shared" si="112"/>
        <v>1.0000421181620474</v>
      </c>
      <c r="F315" s="330">
        <f t="shared" si="113"/>
        <v>9.1778738079594281E-3</v>
      </c>
      <c r="G315" s="329">
        <f t="shared" si="114"/>
        <v>1</v>
      </c>
      <c r="H315" s="330">
        <f t="shared" si="115"/>
        <v>0</v>
      </c>
      <c r="I315" s="328">
        <f t="shared" si="116"/>
        <v>40140.02834752616</v>
      </c>
      <c r="J315" s="331">
        <f t="shared" si="117"/>
        <v>1.5707714140073059</v>
      </c>
      <c r="K315" s="339">
        <f t="shared" si="133"/>
        <v>6.6381188349926008</v>
      </c>
      <c r="L315" s="340">
        <f t="shared" si="134"/>
        <v>1.4195755510246169</v>
      </c>
      <c r="M315" s="328">
        <f t="shared" si="118"/>
        <v>1.0056645603050058</v>
      </c>
      <c r="N315" s="331">
        <f t="shared" si="119"/>
        <v>0.10618803654765728</v>
      </c>
      <c r="O315" s="332">
        <f t="shared" si="120"/>
        <v>1.0018817520594177</v>
      </c>
      <c r="P315" s="333">
        <f t="shared" si="121"/>
        <v>0.1549452986163081</v>
      </c>
      <c r="Q315" s="334">
        <f t="shared" si="122"/>
        <v>3.9393681887974652</v>
      </c>
      <c r="R315" s="335">
        <f t="shared" si="123"/>
        <v>-105.42565374330252</v>
      </c>
      <c r="S315" s="337">
        <f t="shared" si="124"/>
        <v>74.574346256697481</v>
      </c>
      <c r="U315" s="310">
        <f t="shared" si="129"/>
        <v>1000000000</v>
      </c>
      <c r="V315" s="310">
        <f t="shared" si="130"/>
        <v>489847556.25</v>
      </c>
      <c r="X315" s="336">
        <f t="shared" si="125"/>
        <v>1.3503430985531082</v>
      </c>
      <c r="Y315" s="337">
        <f t="shared" si="131"/>
        <v>-14.747011174558974</v>
      </c>
      <c r="AA315" s="336">
        <f t="shared" si="126"/>
        <v>2.5890250902443563</v>
      </c>
      <c r="AB315" s="337">
        <f t="shared" si="127"/>
        <v>-90.678642568743513</v>
      </c>
      <c r="AD315">
        <f t="shared" si="132"/>
        <v>0</v>
      </c>
      <c r="AE315">
        <f t="shared" si="135"/>
        <v>0</v>
      </c>
    </row>
    <row r="316" spans="1:31" x14ac:dyDescent="0.25">
      <c r="A316" s="338">
        <v>22259.75</v>
      </c>
      <c r="B316" s="355">
        <f t="shared" si="128"/>
        <v>22.25975</v>
      </c>
      <c r="C316" s="328">
        <f t="shared" si="110"/>
        <v>7.5316455148243184</v>
      </c>
      <c r="D316" s="329">
        <f t="shared" si="111"/>
        <v>1.4376299862035165</v>
      </c>
      <c r="E316" s="329">
        <f t="shared" si="112"/>
        <v>1.0000426038576404</v>
      </c>
      <c r="F316" s="330">
        <f t="shared" si="113"/>
        <v>9.2306386692856627E-3</v>
      </c>
      <c r="G316" s="329">
        <f t="shared" si="114"/>
        <v>1</v>
      </c>
      <c r="H316" s="330">
        <f t="shared" si="115"/>
        <v>0</v>
      </c>
      <c r="I316" s="328">
        <f t="shared" si="116"/>
        <v>40370.8119735992</v>
      </c>
      <c r="J316" s="331">
        <f t="shared" si="117"/>
        <v>1.5707715564236502</v>
      </c>
      <c r="K316" s="339">
        <f t="shared" si="133"/>
        <v>6.6754207480212466</v>
      </c>
      <c r="L316" s="340">
        <f t="shared" si="134"/>
        <v>1.4204270105759951</v>
      </c>
      <c r="M316" s="328">
        <f t="shared" si="118"/>
        <v>1.0057296978373951</v>
      </c>
      <c r="N316" s="331">
        <f t="shared" si="119"/>
        <v>0.10679394244156257</v>
      </c>
      <c r="O316" s="332">
        <f t="shared" si="120"/>
        <v>1.0019040280708544</v>
      </c>
      <c r="P316" s="333">
        <f t="shared" si="121"/>
        <v>0.15583991910957629</v>
      </c>
      <c r="Q316" s="334">
        <f t="shared" si="122"/>
        <v>3.8885795633910747</v>
      </c>
      <c r="R316" s="335">
        <f t="shared" si="123"/>
        <v>-105.50317396749206</v>
      </c>
      <c r="S316" s="337">
        <f t="shared" si="124"/>
        <v>74.49682603250794</v>
      </c>
      <c r="U316" s="310">
        <f t="shared" si="129"/>
        <v>1000000000</v>
      </c>
      <c r="V316" s="310">
        <f t="shared" si="130"/>
        <v>495496470.0625</v>
      </c>
      <c r="X316" s="336">
        <f t="shared" si="125"/>
        <v>1.3486567629353603</v>
      </c>
      <c r="Y316" s="337">
        <f t="shared" si="131"/>
        <v>-14.73295014618116</v>
      </c>
      <c r="AA316" s="336">
        <f t="shared" si="126"/>
        <v>2.5399228004557139</v>
      </c>
      <c r="AB316" s="337">
        <f t="shared" si="127"/>
        <v>-90.770223821310893</v>
      </c>
      <c r="AD316">
        <f t="shared" si="132"/>
        <v>0</v>
      </c>
      <c r="AE316">
        <f t="shared" si="135"/>
        <v>0</v>
      </c>
    </row>
    <row r="317" spans="1:31" x14ac:dyDescent="0.25">
      <c r="A317" s="338">
        <v>22387</v>
      </c>
      <c r="B317" s="355">
        <f t="shared" si="128"/>
        <v>22.387</v>
      </c>
      <c r="C317" s="328">
        <f t="shared" si="110"/>
        <v>7.5739439992750031</v>
      </c>
      <c r="D317" s="329">
        <f t="shared" si="111"/>
        <v>1.4383780752445376</v>
      </c>
      <c r="E317" s="329">
        <f t="shared" si="112"/>
        <v>1.0000430923374799</v>
      </c>
      <c r="F317" s="330">
        <f t="shared" si="113"/>
        <v>9.2834034792118811E-3</v>
      </c>
      <c r="G317" s="329">
        <f t="shared" si="114"/>
        <v>1</v>
      </c>
      <c r="H317" s="330">
        <f t="shared" si="115"/>
        <v>0</v>
      </c>
      <c r="I317" s="328">
        <f t="shared" si="116"/>
        <v>40601.595599673055</v>
      </c>
      <c r="J317" s="331">
        <f t="shared" si="117"/>
        <v>1.5707716972209764</v>
      </c>
      <c r="K317" s="339">
        <f t="shared" si="133"/>
        <v>6.7127274468309315</v>
      </c>
      <c r="L317" s="340">
        <f t="shared" si="134"/>
        <v>1.4212690065776068</v>
      </c>
      <c r="M317" s="328">
        <f t="shared" si="118"/>
        <v>1.0057952045473317</v>
      </c>
      <c r="N317" s="331">
        <f t="shared" si="119"/>
        <v>0.10739976963343612</v>
      </c>
      <c r="O317" s="332">
        <f t="shared" si="120"/>
        <v>1.00192644500364</v>
      </c>
      <c r="P317" s="333">
        <f t="shared" si="121"/>
        <v>0.15673460334998324</v>
      </c>
      <c r="Q317" s="334">
        <f t="shared" si="122"/>
        <v>3.8380744366494279</v>
      </c>
      <c r="R317" s="335">
        <f t="shared" si="123"/>
        <v>-105.58075133342973</v>
      </c>
      <c r="S317" s="337">
        <f t="shared" si="124"/>
        <v>74.419248666570269</v>
      </c>
      <c r="U317" s="310">
        <f t="shared" si="129"/>
        <v>1000000000</v>
      </c>
      <c r="V317" s="310">
        <f t="shared" si="130"/>
        <v>501177769</v>
      </c>
      <c r="X317" s="336">
        <f t="shared" si="125"/>
        <v>1.3469861003561789</v>
      </c>
      <c r="Y317" s="337">
        <f t="shared" si="131"/>
        <v>-14.719426737207648</v>
      </c>
      <c r="AA317" s="336">
        <f t="shared" si="126"/>
        <v>2.491088336293247</v>
      </c>
      <c r="AB317" s="337">
        <f t="shared" si="127"/>
        <v>-90.861324596222104</v>
      </c>
      <c r="AD317">
        <f t="shared" si="132"/>
        <v>0</v>
      </c>
      <c r="AE317">
        <f t="shared" si="135"/>
        <v>0</v>
      </c>
    </row>
    <row r="318" spans="1:31" x14ac:dyDescent="0.25">
      <c r="A318" s="338">
        <v>22517.5</v>
      </c>
      <c r="B318" s="355">
        <f t="shared" si="128"/>
        <v>22.517499999999998</v>
      </c>
      <c r="C318" s="328">
        <f t="shared" si="110"/>
        <v>7.6173271515623391</v>
      </c>
      <c r="D318" s="329">
        <f t="shared" si="111"/>
        <v>1.4391366410776185</v>
      </c>
      <c r="E318" s="329">
        <f t="shared" si="112"/>
        <v>1.0000435961850449</v>
      </c>
      <c r="F318" s="330">
        <f t="shared" si="113"/>
        <v>9.337515863202913E-3</v>
      </c>
      <c r="G318" s="329">
        <f t="shared" si="114"/>
        <v>1</v>
      </c>
      <c r="H318" s="330">
        <f t="shared" si="115"/>
        <v>0</v>
      </c>
      <c r="I318" s="328">
        <f t="shared" si="116"/>
        <v>40838.273503034499</v>
      </c>
      <c r="J318" s="331">
        <f t="shared" si="117"/>
        <v>1.5707718399614847</v>
      </c>
      <c r="K318" s="339">
        <f t="shared" si="133"/>
        <v>6.7509918565693114</v>
      </c>
      <c r="L318" s="340">
        <f t="shared" si="134"/>
        <v>1.4221228412987843</v>
      </c>
      <c r="M318" s="328">
        <f t="shared" si="118"/>
        <v>1.0058627676824023</v>
      </c>
      <c r="N318" s="331">
        <f t="shared" si="119"/>
        <v>0.1080209876259452</v>
      </c>
      <c r="O318" s="332">
        <f t="shared" si="120"/>
        <v>1.0019495810735548</v>
      </c>
      <c r="P318" s="333">
        <f t="shared" si="121"/>
        <v>0.1576522046319879</v>
      </c>
      <c r="Q318" s="334">
        <f t="shared" si="122"/>
        <v>3.7865703852086745</v>
      </c>
      <c r="R318" s="335">
        <f t="shared" si="123"/>
        <v>-105.66036844538351</v>
      </c>
      <c r="S318" s="337">
        <f t="shared" si="124"/>
        <v>74.339631554616489</v>
      </c>
      <c r="U318" s="310">
        <f t="shared" si="129"/>
        <v>1000000000</v>
      </c>
      <c r="V318" s="310">
        <f t="shared" si="130"/>
        <v>507037806.25</v>
      </c>
      <c r="X318" s="336">
        <f t="shared" si="125"/>
        <v>1.34528861218114</v>
      </c>
      <c r="Y318" s="337">
        <f t="shared" si="131"/>
        <v>-14.706106958824282</v>
      </c>
      <c r="AA318" s="336">
        <f t="shared" si="126"/>
        <v>2.4412817730275345</v>
      </c>
      <c r="AB318" s="337">
        <f t="shared" si="127"/>
        <v>-90.954261486559247</v>
      </c>
      <c r="AD318">
        <f t="shared" si="132"/>
        <v>0</v>
      </c>
      <c r="AE318">
        <f t="shared" si="135"/>
        <v>0</v>
      </c>
    </row>
    <row r="319" spans="1:31" x14ac:dyDescent="0.25">
      <c r="A319" s="338">
        <v>22648</v>
      </c>
      <c r="B319" s="355">
        <f t="shared" si="128"/>
        <v>22.648</v>
      </c>
      <c r="C319" s="328">
        <f t="shared" si="110"/>
        <v>7.6607146373822941</v>
      </c>
      <c r="D319" s="329">
        <f t="shared" si="111"/>
        <v>1.4398866148593166</v>
      </c>
      <c r="E319" s="329">
        <f t="shared" si="112"/>
        <v>1.0000441029608849</v>
      </c>
      <c r="F319" s="330">
        <f t="shared" si="113"/>
        <v>9.3916281925091171E-3</v>
      </c>
      <c r="G319" s="329">
        <f t="shared" si="114"/>
        <v>1</v>
      </c>
      <c r="H319" s="330">
        <f t="shared" si="115"/>
        <v>0</v>
      </c>
      <c r="I319" s="328">
        <f t="shared" si="116"/>
        <v>41074.951406396751</v>
      </c>
      <c r="J319" s="331">
        <f t="shared" si="117"/>
        <v>1.5707719810570233</v>
      </c>
      <c r="K319" s="339">
        <f t="shared" si="133"/>
        <v>6.7892611325287895</v>
      </c>
      <c r="L319" s="340">
        <f t="shared" si="134"/>
        <v>1.4229670509469934</v>
      </c>
      <c r="M319" s="328">
        <f t="shared" si="118"/>
        <v>1.0059307189395477</v>
      </c>
      <c r="N319" s="331">
        <f t="shared" si="119"/>
        <v>0.10864212193079277</v>
      </c>
      <c r="O319" s="332">
        <f t="shared" si="120"/>
        <v>1.0019728658372993</v>
      </c>
      <c r="P319" s="333">
        <f t="shared" si="121"/>
        <v>0.15856987367001657</v>
      </c>
      <c r="Q319" s="334">
        <f t="shared" si="122"/>
        <v>3.7353575192807078</v>
      </c>
      <c r="R319" s="335">
        <f t="shared" si="123"/>
        <v>-105.74004374118215</v>
      </c>
      <c r="S319" s="337">
        <f t="shared" si="124"/>
        <v>74.259956258817851</v>
      </c>
      <c r="U319" s="310">
        <f t="shared" si="129"/>
        <v>1000000000</v>
      </c>
      <c r="V319" s="310">
        <f t="shared" si="130"/>
        <v>512931904</v>
      </c>
      <c r="X319" s="336">
        <f t="shared" si="125"/>
        <v>1.3436067355290922</v>
      </c>
      <c r="Y319" s="337">
        <f t="shared" si="131"/>
        <v>-14.693333767300501</v>
      </c>
      <c r="AA319" s="336">
        <f t="shared" si="126"/>
        <v>2.3917507837516156</v>
      </c>
      <c r="AB319" s="337">
        <f t="shared" si="127"/>
        <v>-91.046709973881647</v>
      </c>
      <c r="AD319">
        <f t="shared" si="132"/>
        <v>0</v>
      </c>
      <c r="AE319">
        <f t="shared" si="135"/>
        <v>0</v>
      </c>
    </row>
    <row r="320" spans="1:31" x14ac:dyDescent="0.25">
      <c r="A320" s="338">
        <v>22778.5</v>
      </c>
      <c r="B320" s="355">
        <f t="shared" si="128"/>
        <v>22.778500000000001</v>
      </c>
      <c r="C320" s="328">
        <f t="shared" si="110"/>
        <v>7.7041063835189458</v>
      </c>
      <c r="D320" s="329">
        <f t="shared" si="111"/>
        <v>1.4406281409174866</v>
      </c>
      <c r="E320" s="329">
        <f t="shared" si="112"/>
        <v>1.0000446126649949</v>
      </c>
      <c r="F320" s="330">
        <f t="shared" si="113"/>
        <v>9.4457404668136756E-3</v>
      </c>
      <c r="G320" s="329">
        <f t="shared" si="114"/>
        <v>1</v>
      </c>
      <c r="H320" s="330">
        <f t="shared" si="115"/>
        <v>0</v>
      </c>
      <c r="I320" s="328">
        <f t="shared" si="116"/>
        <v>41311.629309759817</v>
      </c>
      <c r="J320" s="331">
        <f t="shared" si="117"/>
        <v>1.5707721205358649</v>
      </c>
      <c r="K320" s="339">
        <f t="shared" si="133"/>
        <v>6.827535192881844</v>
      </c>
      <c r="L320" s="340">
        <f t="shared" si="134"/>
        <v>1.4238017961785003</v>
      </c>
      <c r="M320" s="328">
        <f t="shared" si="118"/>
        <v>1.0059990582401193</v>
      </c>
      <c r="N320" s="331">
        <f t="shared" si="119"/>
        <v>0.10926317208570899</v>
      </c>
      <c r="O320" s="332">
        <f t="shared" si="120"/>
        <v>1.0019962995410938</v>
      </c>
      <c r="P320" s="333">
        <f t="shared" si="121"/>
        <v>0.15948761082322532</v>
      </c>
      <c r="Q320" s="334">
        <f t="shared" si="122"/>
        <v>3.6844323969532851</v>
      </c>
      <c r="R320" s="335">
        <f t="shared" si="123"/>
        <v>-105.81977628100668</v>
      </c>
      <c r="S320" s="337">
        <f t="shared" si="124"/>
        <v>74.180223718993318</v>
      </c>
      <c r="U320" s="310">
        <f t="shared" si="129"/>
        <v>1000000000</v>
      </c>
      <c r="V320" s="310">
        <f t="shared" si="130"/>
        <v>518860062.25</v>
      </c>
      <c r="X320" s="336">
        <f t="shared" si="125"/>
        <v>1.3419400470876284</v>
      </c>
      <c r="Y320" s="337">
        <f t="shared" si="131"/>
        <v>-14.6810979328441</v>
      </c>
      <c r="AA320" s="336">
        <f t="shared" si="126"/>
        <v>2.3424923498656542</v>
      </c>
      <c r="AB320" s="337">
        <f t="shared" si="127"/>
        <v>-91.138678348162571</v>
      </c>
      <c r="AD320">
        <f t="shared" si="132"/>
        <v>0</v>
      </c>
      <c r="AE320">
        <f t="shared" si="135"/>
        <v>0</v>
      </c>
    </row>
    <row r="321" spans="1:31" x14ac:dyDescent="0.25">
      <c r="A321" s="338">
        <v>22909</v>
      </c>
      <c r="B321" s="355">
        <f t="shared" si="128"/>
        <v>22.908999999999999</v>
      </c>
      <c r="C321" s="328">
        <f t="shared" si="110"/>
        <v>7.7475023183895173</v>
      </c>
      <c r="D321" s="329">
        <f t="shared" si="111"/>
        <v>1.4413613603839384</v>
      </c>
      <c r="E321" s="329">
        <f t="shared" si="112"/>
        <v>1.000045125297371</v>
      </c>
      <c r="F321" s="330">
        <f t="shared" si="113"/>
        <v>9.4998526857997777E-3</v>
      </c>
      <c r="G321" s="329">
        <f t="shared" si="114"/>
        <v>1</v>
      </c>
      <c r="H321" s="330">
        <f t="shared" si="115"/>
        <v>0</v>
      </c>
      <c r="I321" s="328">
        <f t="shared" si="116"/>
        <v>41548.307213123684</v>
      </c>
      <c r="J321" s="331">
        <f t="shared" si="117"/>
        <v>1.5707722584256376</v>
      </c>
      <c r="K321" s="339">
        <f t="shared" si="133"/>
        <v>6.8658139576154573</v>
      </c>
      <c r="L321" s="340">
        <f t="shared" si="134"/>
        <v>1.4246272341201958</v>
      </c>
      <c r="M321" s="328">
        <f t="shared" si="118"/>
        <v>1.0060677855050413</v>
      </c>
      <c r="N321" s="331">
        <f t="shared" si="119"/>
        <v>0.10988413762880886</v>
      </c>
      <c r="O321" s="332">
        <f t="shared" si="120"/>
        <v>1.0020198824325508</v>
      </c>
      <c r="P321" s="333">
        <f t="shared" si="121"/>
        <v>0.16040541645018763</v>
      </c>
      <c r="Q321" s="334">
        <f t="shared" si="122"/>
        <v>3.6337916361892497</v>
      </c>
      <c r="R321" s="335">
        <f t="shared" si="123"/>
        <v>-105.89956514408824</v>
      </c>
      <c r="S321" s="337">
        <f t="shared" si="124"/>
        <v>74.100434855911757</v>
      </c>
      <c r="U321" s="310">
        <f t="shared" si="129"/>
        <v>1000000000</v>
      </c>
      <c r="V321" s="310">
        <f t="shared" si="130"/>
        <v>524822281</v>
      </c>
      <c r="X321" s="336">
        <f t="shared" si="125"/>
        <v>1.3402881353557223</v>
      </c>
      <c r="Y321" s="337">
        <f t="shared" si="131"/>
        <v>-14.669390427866301</v>
      </c>
      <c r="AA321" s="336">
        <f t="shared" si="126"/>
        <v>2.2935035008335247</v>
      </c>
      <c r="AB321" s="337">
        <f t="shared" si="127"/>
        <v>-91.230174716221939</v>
      </c>
      <c r="AD321">
        <f t="shared" si="132"/>
        <v>0</v>
      </c>
      <c r="AE321">
        <f t="shared" si="135"/>
        <v>0</v>
      </c>
    </row>
    <row r="322" spans="1:31" x14ac:dyDescent="0.25">
      <c r="A322" s="338">
        <v>23042.25</v>
      </c>
      <c r="B322" s="355">
        <f t="shared" si="128"/>
        <v>23.042249999999999</v>
      </c>
      <c r="C322" s="328">
        <f t="shared" si="110"/>
        <v>7.7918169763283176</v>
      </c>
      <c r="D322" s="329">
        <f t="shared" si="111"/>
        <v>1.442101603235006</v>
      </c>
      <c r="E322" s="329">
        <f t="shared" si="112"/>
        <v>1.0000456517538165</v>
      </c>
      <c r="F322" s="330">
        <f t="shared" si="113"/>
        <v>9.5551051431797679E-3</v>
      </c>
      <c r="G322" s="329">
        <f t="shared" si="114"/>
        <v>1</v>
      </c>
      <c r="H322" s="330">
        <f t="shared" si="115"/>
        <v>0</v>
      </c>
      <c r="I322" s="328">
        <f t="shared" si="116"/>
        <v>41789.972581884904</v>
      </c>
      <c r="J322" s="331">
        <f t="shared" si="117"/>
        <v>1.5707723976095367</v>
      </c>
      <c r="K322" s="339">
        <f t="shared" si="133"/>
        <v>6.9049041358152961</v>
      </c>
      <c r="L322" s="340">
        <f t="shared" si="134"/>
        <v>1.4254606224767348</v>
      </c>
      <c r="M322" s="328">
        <f t="shared" si="118"/>
        <v>1.00613836127678</v>
      </c>
      <c r="N322" s="331">
        <f t="shared" si="119"/>
        <v>0.1105181008680569</v>
      </c>
      <c r="O322" s="332">
        <f t="shared" si="120"/>
        <v>1.0020441164767242</v>
      </c>
      <c r="P322" s="333">
        <f t="shared" si="121"/>
        <v>0.1613426338340839</v>
      </c>
      <c r="Q322" s="334">
        <f t="shared" si="122"/>
        <v>3.5823736929849193</v>
      </c>
      <c r="R322" s="335">
        <f t="shared" si="123"/>
        <v>-105.98109256043057</v>
      </c>
      <c r="S322" s="337">
        <f t="shared" si="124"/>
        <v>74.018907439569432</v>
      </c>
      <c r="U322" s="310">
        <f t="shared" si="129"/>
        <v>1000000000</v>
      </c>
      <c r="V322" s="310">
        <f t="shared" si="130"/>
        <v>530945285.0625</v>
      </c>
      <c r="X322" s="336">
        <f t="shared" si="125"/>
        <v>1.3386162446399517</v>
      </c>
      <c r="Y322" s="337">
        <f t="shared" si="131"/>
        <v>-14.657972184953572</v>
      </c>
      <c r="AA322" s="336">
        <f t="shared" si="126"/>
        <v>2.2437574483449665</v>
      </c>
      <c r="AB322" s="337">
        <f t="shared" si="127"/>
        <v>-91.323120375477018</v>
      </c>
      <c r="AD322">
        <f t="shared" si="132"/>
        <v>0</v>
      </c>
      <c r="AE322">
        <f t="shared" si="135"/>
        <v>0</v>
      </c>
    </row>
    <row r="323" spans="1:31" x14ac:dyDescent="0.25">
      <c r="A323" s="338">
        <v>23175.5</v>
      </c>
      <c r="B323" s="355">
        <f t="shared" si="128"/>
        <v>23.1755</v>
      </c>
      <c r="C323" s="328">
        <f t="shared" si="110"/>
        <v>7.8361358555751259</v>
      </c>
      <c r="D323" s="329">
        <f t="shared" si="111"/>
        <v>1.4428334732917196</v>
      </c>
      <c r="E323" s="329">
        <f t="shared" si="112"/>
        <v>1.0000461812632322</v>
      </c>
      <c r="F323" s="330">
        <f t="shared" si="113"/>
        <v>9.6103575422177446E-3</v>
      </c>
      <c r="G323" s="329">
        <f t="shared" si="114"/>
        <v>1</v>
      </c>
      <c r="H323" s="330">
        <f t="shared" si="115"/>
        <v>0</v>
      </c>
      <c r="I323" s="328">
        <f t="shared" si="116"/>
        <v>42031.637950646931</v>
      </c>
      <c r="J323" s="331">
        <f t="shared" si="117"/>
        <v>1.5707725351929307</v>
      </c>
      <c r="K323" s="339">
        <f t="shared" si="133"/>
        <v>6.9439990557253788</v>
      </c>
      <c r="L323" s="340">
        <f t="shared" si="134"/>
        <v>1.4262846273980621</v>
      </c>
      <c r="M323" s="328">
        <f t="shared" si="118"/>
        <v>1.0062093413681514</v>
      </c>
      <c r="N323" s="331">
        <f t="shared" si="119"/>
        <v>0.11115197491987459</v>
      </c>
      <c r="O323" s="332">
        <f t="shared" si="120"/>
        <v>1.002068506588607</v>
      </c>
      <c r="P323" s="333">
        <f t="shared" si="121"/>
        <v>0.1622799233617046</v>
      </c>
      <c r="Q323" s="334">
        <f t="shared" si="122"/>
        <v>3.5312452806707464</v>
      </c>
      <c r="R323" s="335">
        <f t="shared" si="123"/>
        <v>-106.06267681733689</v>
      </c>
      <c r="S323" s="337">
        <f t="shared" si="124"/>
        <v>73.937323182663107</v>
      </c>
      <c r="U323" s="310">
        <f t="shared" si="129"/>
        <v>1000000000</v>
      </c>
      <c r="V323" s="310">
        <f t="shared" si="130"/>
        <v>537103800.25</v>
      </c>
      <c r="X323" s="336">
        <f t="shared" si="125"/>
        <v>1.3369589288603141</v>
      </c>
      <c r="Y323" s="337">
        <f t="shared" si="131"/>
        <v>-14.647086371510889</v>
      </c>
      <c r="AA323" s="336">
        <f t="shared" si="126"/>
        <v>2.1942863518104354</v>
      </c>
      <c r="AB323" s="337">
        <f t="shared" si="127"/>
        <v>-91.415590445825984</v>
      </c>
      <c r="AD323">
        <f t="shared" si="132"/>
        <v>0</v>
      </c>
      <c r="AE323">
        <f t="shared" si="135"/>
        <v>0</v>
      </c>
    </row>
    <row r="324" spans="1:31" x14ac:dyDescent="0.25">
      <c r="A324" s="338">
        <v>23308.75</v>
      </c>
      <c r="B324" s="355">
        <f t="shared" si="128"/>
        <v>23.30875</v>
      </c>
      <c r="C324" s="328">
        <f t="shared" si="110"/>
        <v>7.8804588849093564</v>
      </c>
      <c r="D324" s="329">
        <f t="shared" si="111"/>
        <v>1.4435571110397576</v>
      </c>
      <c r="E324" s="329">
        <f t="shared" si="112"/>
        <v>1.0000467138256133</v>
      </c>
      <c r="F324" s="330">
        <f t="shared" si="113"/>
        <v>9.665609882576448E-3</v>
      </c>
      <c r="G324" s="329">
        <f t="shared" si="114"/>
        <v>1</v>
      </c>
      <c r="H324" s="330">
        <f t="shared" si="115"/>
        <v>0</v>
      </c>
      <c r="I324" s="328">
        <f t="shared" si="116"/>
        <v>42273.303319409744</v>
      </c>
      <c r="J324" s="331">
        <f t="shared" si="117"/>
        <v>1.5707726712032686</v>
      </c>
      <c r="K324" s="339">
        <f t="shared" si="133"/>
        <v>6.9830986377062283</v>
      </c>
      <c r="L324" s="340">
        <f t="shared" si="134"/>
        <v>1.4270994053741517</v>
      </c>
      <c r="M324" s="328">
        <f t="shared" si="118"/>
        <v>1.0062807256935973</v>
      </c>
      <c r="N324" s="331">
        <f t="shared" si="119"/>
        <v>0.11178575929381265</v>
      </c>
      <c r="O324" s="332">
        <f t="shared" si="120"/>
        <v>1.0020930530362915</v>
      </c>
      <c r="P324" s="333">
        <f t="shared" si="121"/>
        <v>0.16321728541287048</v>
      </c>
      <c r="Q324" s="334">
        <f t="shared" si="122"/>
        <v>3.4804029832653849</v>
      </c>
      <c r="R324" s="335">
        <f t="shared" si="123"/>
        <v>-106.144316993082</v>
      </c>
      <c r="S324" s="337">
        <f t="shared" si="124"/>
        <v>73.855683006917999</v>
      </c>
      <c r="U324" s="310">
        <f t="shared" si="129"/>
        <v>1000000000</v>
      </c>
      <c r="V324" s="310">
        <f t="shared" si="130"/>
        <v>543297826.5625</v>
      </c>
      <c r="X324" s="336">
        <f t="shared" si="125"/>
        <v>1.3353157855930102</v>
      </c>
      <c r="Y324" s="337">
        <f t="shared" si="131"/>
        <v>-14.636723994795227</v>
      </c>
      <c r="AA324" s="336">
        <f t="shared" si="126"/>
        <v>2.1450871976723747</v>
      </c>
      <c r="AB324" s="337">
        <f t="shared" si="127"/>
        <v>-91.507592998286782</v>
      </c>
      <c r="AD324">
        <f t="shared" si="132"/>
        <v>0</v>
      </c>
      <c r="AE324">
        <f t="shared" si="135"/>
        <v>0</v>
      </c>
    </row>
    <row r="325" spans="1:31" x14ac:dyDescent="0.25">
      <c r="A325" s="338">
        <v>23442</v>
      </c>
      <c r="B325" s="355">
        <f t="shared" si="128"/>
        <v>23.442</v>
      </c>
      <c r="C325" s="328">
        <f t="shared" si="110"/>
        <v>7.9247859946971602</v>
      </c>
      <c r="D325" s="329">
        <f t="shared" si="111"/>
        <v>1.4442726538565138</v>
      </c>
      <c r="E325" s="329">
        <f t="shared" si="112"/>
        <v>1.0000472494409547</v>
      </c>
      <c r="F325" s="330">
        <f t="shared" si="113"/>
        <v>9.7208621639186202E-3</v>
      </c>
      <c r="G325" s="329">
        <f t="shared" si="114"/>
        <v>1</v>
      </c>
      <c r="H325" s="330">
        <f t="shared" si="115"/>
        <v>0</v>
      </c>
      <c r="I325" s="328">
        <f t="shared" si="116"/>
        <v>42514.968688173329</v>
      </c>
      <c r="J325" s="331">
        <f t="shared" si="117"/>
        <v>1.5707728056673751</v>
      </c>
      <c r="K325" s="339">
        <f t="shared" si="133"/>
        <v>7.0222028038827</v>
      </c>
      <c r="L325" s="340">
        <f t="shared" si="134"/>
        <v>1.4279051094588584</v>
      </c>
      <c r="M325" s="328">
        <f t="shared" si="118"/>
        <v>1.0063525141670959</v>
      </c>
      <c r="N325" s="331">
        <f t="shared" si="119"/>
        <v>0.11241945349984871</v>
      </c>
      <c r="O325" s="332">
        <f t="shared" si="120"/>
        <v>1.0021177560893819</v>
      </c>
      <c r="P325" s="333">
        <f t="shared" si="121"/>
        <v>0.16415472036675433</v>
      </c>
      <c r="Q325" s="334">
        <f t="shared" si="122"/>
        <v>3.429843444050749</v>
      </c>
      <c r="R325" s="335">
        <f t="shared" si="123"/>
        <v>-106.22601218467602</v>
      </c>
      <c r="S325" s="337">
        <f t="shared" si="124"/>
        <v>73.773987815323977</v>
      </c>
      <c r="U325" s="310">
        <f t="shared" si="129"/>
        <v>1000000000</v>
      </c>
      <c r="V325" s="310">
        <f t="shared" si="130"/>
        <v>549527364</v>
      </c>
      <c r="X325" s="336">
        <f t="shared" si="125"/>
        <v>1.3336864236355548</v>
      </c>
      <c r="Y325" s="337">
        <f t="shared" si="131"/>
        <v>-14.626876258927378</v>
      </c>
      <c r="AA325" s="336">
        <f t="shared" si="126"/>
        <v>2.0961570204151942</v>
      </c>
      <c r="AB325" s="337">
        <f t="shared" si="127"/>
        <v>-91.599135925748641</v>
      </c>
      <c r="AD325">
        <f t="shared" si="132"/>
        <v>0</v>
      </c>
      <c r="AE325">
        <f t="shared" si="135"/>
        <v>0</v>
      </c>
    </row>
    <row r="326" spans="1:31" x14ac:dyDescent="0.25">
      <c r="A326" s="338">
        <v>23578.5</v>
      </c>
      <c r="B326" s="355">
        <f t="shared" si="128"/>
        <v>23.578499999999998</v>
      </c>
      <c r="C326" s="328">
        <f t="shared" si="110"/>
        <v>7.9701984132896948</v>
      </c>
      <c r="D326" s="329">
        <f t="shared" si="111"/>
        <v>1.4449973958652538</v>
      </c>
      <c r="E326" s="329">
        <f t="shared" si="112"/>
        <v>1.000047801285642</v>
      </c>
      <c r="F326" s="330">
        <f t="shared" si="113"/>
        <v>9.77746200033313E-3</v>
      </c>
      <c r="G326" s="329">
        <f t="shared" si="114"/>
        <v>1</v>
      </c>
      <c r="H326" s="330">
        <f t="shared" si="115"/>
        <v>0</v>
      </c>
      <c r="I326" s="328">
        <f t="shared" si="116"/>
        <v>42762.528334224611</v>
      </c>
      <c r="J326" s="331">
        <f t="shared" si="117"/>
        <v>1.5707729418352359</v>
      </c>
      <c r="K326" s="339">
        <f t="shared" si="133"/>
        <v>7.0622654038840169</v>
      </c>
      <c r="L326" s="340">
        <f t="shared" si="134"/>
        <v>1.4287212127745523</v>
      </c>
      <c r="M326" s="328">
        <f t="shared" si="118"/>
        <v>1.0064264725427345</v>
      </c>
      <c r="N326" s="331">
        <f t="shared" si="119"/>
        <v>0.11306850965680675</v>
      </c>
      <c r="O326" s="332">
        <f t="shared" si="120"/>
        <v>1.0021432243208261</v>
      </c>
      <c r="P326" s="333">
        <f t="shared" si="121"/>
        <v>0.16511509557504939</v>
      </c>
      <c r="Q326" s="334">
        <f t="shared" si="122"/>
        <v>3.3783404845124005</v>
      </c>
      <c r="R326" s="335">
        <f t="shared" si="123"/>
        <v>-106.30975606221348</v>
      </c>
      <c r="S326" s="337">
        <f t="shared" si="124"/>
        <v>73.690243937786519</v>
      </c>
      <c r="U326" s="310">
        <f t="shared" si="129"/>
        <v>1000000000</v>
      </c>
      <c r="V326" s="310">
        <f t="shared" si="130"/>
        <v>555945662.25</v>
      </c>
      <c r="X326" s="336">
        <f t="shared" si="125"/>
        <v>1.3320312132268677</v>
      </c>
      <c r="Y326" s="337">
        <f t="shared" si="131"/>
        <v>-14.617312963584963</v>
      </c>
      <c r="AA326" s="336">
        <f t="shared" si="126"/>
        <v>2.0463092712855322</v>
      </c>
      <c r="AB326" s="337">
        <f t="shared" si="127"/>
        <v>-91.692443098628516</v>
      </c>
      <c r="AD326">
        <f t="shared" si="132"/>
        <v>0</v>
      </c>
      <c r="AE326">
        <f t="shared" si="135"/>
        <v>0</v>
      </c>
    </row>
    <row r="327" spans="1:31" x14ac:dyDescent="0.25">
      <c r="A327" s="338">
        <v>23715</v>
      </c>
      <c r="B327" s="355">
        <f t="shared" si="128"/>
        <v>23.715</v>
      </c>
      <c r="C327" s="328">
        <f t="shared" si="110"/>
        <v>8.0156149707999447</v>
      </c>
      <c r="D327" s="329">
        <f t="shared" si="111"/>
        <v>1.4457139254553382</v>
      </c>
      <c r="E327" s="329">
        <f t="shared" si="112"/>
        <v>1.0000483563340206</v>
      </c>
      <c r="F327" s="330">
        <f t="shared" si="113"/>
        <v>9.8340617741007035E-3</v>
      </c>
      <c r="G327" s="329">
        <f t="shared" si="114"/>
        <v>1</v>
      </c>
      <c r="H327" s="330">
        <f t="shared" si="115"/>
        <v>0</v>
      </c>
      <c r="I327" s="328">
        <f t="shared" si="116"/>
        <v>43010.087980276694</v>
      </c>
      <c r="J327" s="331">
        <f t="shared" si="117"/>
        <v>1.5707730764355727</v>
      </c>
      <c r="K327" s="339">
        <f t="shared" si="133"/>
        <v>7.102332654461863</v>
      </c>
      <c r="L327" s="340">
        <f t="shared" si="134"/>
        <v>1.4295281086573932</v>
      </c>
      <c r="M327" s="328">
        <f t="shared" si="118"/>
        <v>1.0065008548371601</v>
      </c>
      <c r="N327" s="331">
        <f t="shared" si="119"/>
        <v>0.11371747015419502</v>
      </c>
      <c r="O327" s="332">
        <f t="shared" si="120"/>
        <v>1.0021688574677212</v>
      </c>
      <c r="P327" s="333">
        <f t="shared" si="121"/>
        <v>0.16607554808905375</v>
      </c>
      <c r="Q327" s="334">
        <f t="shared" si="122"/>
        <v>3.3271272984007609</v>
      </c>
      <c r="R327" s="335">
        <f t="shared" si="123"/>
        <v>-106.39355581204326</v>
      </c>
      <c r="S327" s="337">
        <f t="shared" si="124"/>
        <v>73.60644418795674</v>
      </c>
      <c r="U327" s="310">
        <f t="shared" si="129"/>
        <v>1000000000</v>
      </c>
      <c r="V327" s="310">
        <f t="shared" si="130"/>
        <v>562401225</v>
      </c>
      <c r="X327" s="336">
        <f t="shared" si="125"/>
        <v>1.3303896680474028</v>
      </c>
      <c r="Y327" s="337">
        <f t="shared" si="131"/>
        <v>-14.608271644583649</v>
      </c>
      <c r="AA327" s="336">
        <f t="shared" si="126"/>
        <v>1.9967376303533555</v>
      </c>
      <c r="AB327" s="337">
        <f t="shared" si="127"/>
        <v>-91.785284167459579</v>
      </c>
      <c r="AD327">
        <f t="shared" si="132"/>
        <v>0</v>
      </c>
      <c r="AE327">
        <f t="shared" si="135"/>
        <v>0</v>
      </c>
    </row>
    <row r="328" spans="1:31" x14ac:dyDescent="0.25">
      <c r="A328" s="338">
        <v>23851.5</v>
      </c>
      <c r="B328" s="355">
        <f t="shared" si="128"/>
        <v>23.851500000000001</v>
      </c>
      <c r="C328" s="328">
        <f t="shared" si="110"/>
        <v>8.0610355972708678</v>
      </c>
      <c r="D328" s="329">
        <f t="shared" si="111"/>
        <v>1.4464223807055478</v>
      </c>
      <c r="E328" s="329">
        <f t="shared" si="112"/>
        <v>1.0000489145860847</v>
      </c>
      <c r="F328" s="330">
        <f t="shared" si="113"/>
        <v>9.8906614848588079E-3</v>
      </c>
      <c r="G328" s="329">
        <f t="shared" si="114"/>
        <v>1</v>
      </c>
      <c r="H328" s="330">
        <f t="shared" si="115"/>
        <v>0</v>
      </c>
      <c r="I328" s="328">
        <f t="shared" si="116"/>
        <v>43257.647626329534</v>
      </c>
      <c r="J328" s="331">
        <f t="shared" si="117"/>
        <v>1.5707732094952984</v>
      </c>
      <c r="K328" s="339">
        <f t="shared" si="133"/>
        <v>7.1424044773502384</v>
      </c>
      <c r="L328" s="340">
        <f t="shared" si="134"/>
        <v>1.4303259510201709</v>
      </c>
      <c r="M328" s="328">
        <f t="shared" si="118"/>
        <v>1.0065756609563945</v>
      </c>
      <c r="N328" s="331">
        <f t="shared" si="119"/>
        <v>0.11436633446666201</v>
      </c>
      <c r="O328" s="332">
        <f t="shared" si="120"/>
        <v>1.0021946558248152</v>
      </c>
      <c r="P328" s="333">
        <f t="shared" si="121"/>
        <v>0.16703607831422629</v>
      </c>
      <c r="Q328" s="334">
        <f t="shared" si="122"/>
        <v>3.2762004619593337</v>
      </c>
      <c r="R328" s="335">
        <f t="shared" si="123"/>
        <v>-106.4774105216368</v>
      </c>
      <c r="S328" s="337">
        <f t="shared" si="124"/>
        <v>73.522589478363201</v>
      </c>
      <c r="U328" s="310">
        <f t="shared" si="129"/>
        <v>1000000000</v>
      </c>
      <c r="V328" s="310">
        <f t="shared" si="130"/>
        <v>568894052.25</v>
      </c>
      <c r="X328" s="336">
        <f t="shared" si="125"/>
        <v>1.3287614018160294</v>
      </c>
      <c r="Y328" s="337">
        <f t="shared" si="131"/>
        <v>-14.599743454811726</v>
      </c>
      <c r="AA328" s="336">
        <f t="shared" si="126"/>
        <v>1.9474390601433025</v>
      </c>
      <c r="AB328" s="337">
        <f t="shared" si="127"/>
        <v>-91.877667066825083</v>
      </c>
      <c r="AD328">
        <f t="shared" si="132"/>
        <v>0</v>
      </c>
      <c r="AE328">
        <f t="shared" si="135"/>
        <v>0</v>
      </c>
    </row>
    <row r="329" spans="1:31" x14ac:dyDescent="0.25">
      <c r="A329" s="338">
        <v>23988</v>
      </c>
      <c r="B329" s="355">
        <f t="shared" si="128"/>
        <v>23.988</v>
      </c>
      <c r="C329" s="328">
        <f t="shared" si="110"/>
        <v>8.1064602243071135</v>
      </c>
      <c r="D329" s="329">
        <f t="shared" si="111"/>
        <v>1.4471228966325993</v>
      </c>
      <c r="E329" s="329">
        <f t="shared" si="112"/>
        <v>1.0000494760418293</v>
      </c>
      <c r="F329" s="330">
        <f t="shared" si="113"/>
        <v>9.9472611322449066E-3</v>
      </c>
      <c r="G329" s="329">
        <f t="shared" si="114"/>
        <v>1</v>
      </c>
      <c r="H329" s="330">
        <f t="shared" si="115"/>
        <v>0</v>
      </c>
      <c r="I329" s="328">
        <f t="shared" si="116"/>
        <v>43505.20727238313</v>
      </c>
      <c r="J329" s="331">
        <f t="shared" si="117"/>
        <v>1.5707733410407125</v>
      </c>
      <c r="K329" s="339">
        <f t="shared" si="133"/>
        <v>7.1824807960209256</v>
      </c>
      <c r="L329" s="340">
        <f t="shared" si="134"/>
        <v>1.4311148903872024</v>
      </c>
      <c r="M329" s="328">
        <f t="shared" si="118"/>
        <v>1.0066508908059522</v>
      </c>
      <c r="N329" s="331">
        <f t="shared" si="119"/>
        <v>0.11501510206933588</v>
      </c>
      <c r="O329" s="332">
        <f t="shared" si="120"/>
        <v>1.0022206196885199</v>
      </c>
      <c r="P329" s="333">
        <f t="shared" si="121"/>
        <v>0.16799668665529519</v>
      </c>
      <c r="Q329" s="334">
        <f t="shared" si="122"/>
        <v>3.2255566108611839</v>
      </c>
      <c r="R329" s="335">
        <f t="shared" si="123"/>
        <v>-106.56131929711802</v>
      </c>
      <c r="S329" s="337">
        <f t="shared" si="124"/>
        <v>73.438680702881982</v>
      </c>
      <c r="U329" s="310">
        <f t="shared" si="129"/>
        <v>1000000000</v>
      </c>
      <c r="V329" s="310">
        <f t="shared" si="130"/>
        <v>575424144</v>
      </c>
      <c r="X329" s="336">
        <f t="shared" si="125"/>
        <v>1.327146039050825</v>
      </c>
      <c r="Y329" s="337">
        <f t="shared" si="131"/>
        <v>-14.591719741295005</v>
      </c>
      <c r="AA329" s="336">
        <f t="shared" si="126"/>
        <v>1.8984105718103574</v>
      </c>
      <c r="AB329" s="337">
        <f t="shared" si="127"/>
        <v>-91.969599555823024</v>
      </c>
      <c r="AD329">
        <f t="shared" si="132"/>
        <v>0</v>
      </c>
      <c r="AE329">
        <f t="shared" si="135"/>
        <v>0</v>
      </c>
    </row>
    <row r="330" spans="1:31" x14ac:dyDescent="0.25">
      <c r="A330" s="338">
        <v>24127.75</v>
      </c>
      <c r="B330" s="355">
        <f t="shared" si="128"/>
        <v>24.127749999999999</v>
      </c>
      <c r="C330" s="328">
        <f t="shared" si="110"/>
        <v>8.1529704648340147</v>
      </c>
      <c r="D330" s="329">
        <f t="shared" si="111"/>
        <v>1.4478320042487607</v>
      </c>
      <c r="E330" s="329">
        <f t="shared" si="112"/>
        <v>1.0000500541845678</v>
      </c>
      <c r="F330" s="330">
        <f t="shared" si="113"/>
        <v>1.0005208324251245E-2</v>
      </c>
      <c r="G330" s="329">
        <f t="shared" si="114"/>
        <v>1</v>
      </c>
      <c r="H330" s="330">
        <f t="shared" si="115"/>
        <v>0</v>
      </c>
      <c r="I330" s="328">
        <f t="shared" si="116"/>
        <v>43758.661195724497</v>
      </c>
      <c r="J330" s="331">
        <f t="shared" si="117"/>
        <v>1.5707734741761747</v>
      </c>
      <c r="K330" s="339">
        <f t="shared" si="133"/>
        <v>7.2235158922382539</v>
      </c>
      <c r="L330" s="340">
        <f t="shared" si="134"/>
        <v>1.4319135442597881</v>
      </c>
      <c r="M330" s="328">
        <f t="shared" si="118"/>
        <v>1.0067283507268616</v>
      </c>
      <c r="N330" s="331">
        <f t="shared" si="119"/>
        <v>0.11567921578099087</v>
      </c>
      <c r="O330" s="332">
        <f t="shared" si="120"/>
        <v>1.0022473735151927</v>
      </c>
      <c r="P330" s="333">
        <f t="shared" si="121"/>
        <v>0.16898024797327751</v>
      </c>
      <c r="Q330" s="334">
        <f t="shared" si="122"/>
        <v>3.1739966738415748</v>
      </c>
      <c r="R330" s="335">
        <f t="shared" si="123"/>
        <v>-106.64728099842273</v>
      </c>
      <c r="S330" s="337">
        <f t="shared" si="124"/>
        <v>73.35271900157727</v>
      </c>
      <c r="U330" s="310">
        <f t="shared" si="129"/>
        <v>1000000000</v>
      </c>
      <c r="V330" s="310">
        <f t="shared" si="130"/>
        <v>582148320.0625</v>
      </c>
      <c r="X330" s="336">
        <f t="shared" si="125"/>
        <v>1.3255052021104439</v>
      </c>
      <c r="Y330" s="337">
        <f t="shared" si="131"/>
        <v>-14.584018785989953</v>
      </c>
      <c r="AA330" s="336">
        <f t="shared" si="126"/>
        <v>1.8484914717311329</v>
      </c>
      <c r="AB330" s="337">
        <f t="shared" si="127"/>
        <v>-92.063262212432804</v>
      </c>
      <c r="AD330">
        <f t="shared" si="132"/>
        <v>0</v>
      </c>
      <c r="AE330">
        <f t="shared" si="135"/>
        <v>0</v>
      </c>
    </row>
    <row r="331" spans="1:31" x14ac:dyDescent="0.25">
      <c r="A331" s="338">
        <v>24267.5</v>
      </c>
      <c r="B331" s="355">
        <f t="shared" si="128"/>
        <v>24.267499999999998</v>
      </c>
      <c r="C331" s="328">
        <f t="shared" si="110"/>
        <v>8.1994847584388211</v>
      </c>
      <c r="D331" s="329">
        <f t="shared" si="111"/>
        <v>1.4485330669183851</v>
      </c>
      <c r="E331" s="329">
        <f t="shared" si="112"/>
        <v>1.0000506356853476</v>
      </c>
      <c r="F331" s="330">
        <f t="shared" si="113"/>
        <v>1.00631554490629E-2</v>
      </c>
      <c r="G331" s="329">
        <f t="shared" si="114"/>
        <v>1</v>
      </c>
      <c r="H331" s="330">
        <f t="shared" si="115"/>
        <v>0</v>
      </c>
      <c r="I331" s="328">
        <f t="shared" si="116"/>
        <v>44012.115119066621</v>
      </c>
      <c r="J331" s="331">
        <f t="shared" si="117"/>
        <v>1.5707736057782542</v>
      </c>
      <c r="K331" s="339">
        <f t="shared" si="133"/>
        <v>7.2645555439065257</v>
      </c>
      <c r="L331" s="340">
        <f t="shared" si="134"/>
        <v>1.4327031749610946</v>
      </c>
      <c r="M331" s="328">
        <f t="shared" si="118"/>
        <v>1.0068062545938761</v>
      </c>
      <c r="N331" s="331">
        <f t="shared" si="119"/>
        <v>0.1163432270109255</v>
      </c>
      <c r="O331" s="332">
        <f t="shared" si="120"/>
        <v>1.0022743014576891</v>
      </c>
      <c r="P331" s="333">
        <f t="shared" si="121"/>
        <v>0.16996389202744164</v>
      </c>
      <c r="Q331" s="334">
        <f t="shared" si="122"/>
        <v>3.1227264062222408</v>
      </c>
      <c r="R331" s="335">
        <f t="shared" si="123"/>
        <v>-106.73329753253427</v>
      </c>
      <c r="S331" s="337">
        <f t="shared" si="124"/>
        <v>73.266702467465734</v>
      </c>
      <c r="U331" s="310">
        <f t="shared" si="129"/>
        <v>1000000000</v>
      </c>
      <c r="V331" s="310">
        <f t="shared" si="130"/>
        <v>588911556.25</v>
      </c>
      <c r="X331" s="336">
        <f t="shared" si="125"/>
        <v>1.3238771270370877</v>
      </c>
      <c r="Y331" s="337">
        <f t="shared" si="131"/>
        <v>-14.57682886069119</v>
      </c>
      <c r="AA331" s="336">
        <f t="shared" si="126"/>
        <v>1.798849279185156</v>
      </c>
      <c r="AB331" s="337">
        <f t="shared" si="127"/>
        <v>-92.156468671843072</v>
      </c>
      <c r="AD331">
        <f t="shared" si="132"/>
        <v>0</v>
      </c>
      <c r="AE331">
        <f t="shared" si="135"/>
        <v>0</v>
      </c>
    </row>
    <row r="332" spans="1:31" x14ac:dyDescent="0.25">
      <c r="A332" s="338">
        <v>24407.25</v>
      </c>
      <c r="B332" s="355">
        <f t="shared" si="128"/>
        <v>24.407250000000001</v>
      </c>
      <c r="C332" s="328">
        <f t="shared" si="110"/>
        <v>8.2460030365333683</v>
      </c>
      <c r="D332" s="329">
        <f t="shared" si="111"/>
        <v>1.449226220098613</v>
      </c>
      <c r="E332" s="329">
        <f t="shared" si="112"/>
        <v>1.0000512205441627</v>
      </c>
      <c r="F332" s="330">
        <f t="shared" si="113"/>
        <v>1.0121102506290834E-2</v>
      </c>
      <c r="G332" s="329">
        <f t="shared" si="114"/>
        <v>1</v>
      </c>
      <c r="H332" s="330">
        <f t="shared" si="115"/>
        <v>0</v>
      </c>
      <c r="I332" s="328">
        <f t="shared" si="116"/>
        <v>44265.569042409501</v>
      </c>
      <c r="J332" s="331">
        <f t="shared" si="117"/>
        <v>1.5707737358732905</v>
      </c>
      <c r="K332" s="339">
        <f t="shared" si="133"/>
        <v>7.3055996742541707</v>
      </c>
      <c r="L332" s="340">
        <f t="shared" si="134"/>
        <v>1.4334839335792737</v>
      </c>
      <c r="M332" s="328">
        <f t="shared" si="118"/>
        <v>1.0068846023039499</v>
      </c>
      <c r="N332" s="331">
        <f t="shared" si="119"/>
        <v>0.11700713519745587</v>
      </c>
      <c r="O332" s="332">
        <f t="shared" si="120"/>
        <v>1.0023014038395122</v>
      </c>
      <c r="P332" s="333">
        <f t="shared" si="121"/>
        <v>0.17094761924971111</v>
      </c>
      <c r="Q332" s="334">
        <f t="shared" si="122"/>
        <v>3.0717423823620713</v>
      </c>
      <c r="R332" s="335">
        <f t="shared" si="123"/>
        <v>-106.81936799795832</v>
      </c>
      <c r="S332" s="337">
        <f t="shared" si="124"/>
        <v>73.180632002041676</v>
      </c>
      <c r="U332" s="310">
        <f t="shared" si="129"/>
        <v>1000000000</v>
      </c>
      <c r="V332" s="310">
        <f t="shared" si="130"/>
        <v>595713852.5625</v>
      </c>
      <c r="X332" s="336">
        <f t="shared" si="125"/>
        <v>1.3222614437770797</v>
      </c>
      <c r="Y332" s="337">
        <f t="shared" si="131"/>
        <v>-14.570141278012301</v>
      </c>
      <c r="AA332" s="336">
        <f t="shared" si="126"/>
        <v>1.749480938584989</v>
      </c>
      <c r="AB332" s="337">
        <f t="shared" si="127"/>
        <v>-92.249226719945995</v>
      </c>
      <c r="AD332">
        <f t="shared" si="132"/>
        <v>0</v>
      </c>
      <c r="AE332">
        <f t="shared" si="135"/>
        <v>0</v>
      </c>
    </row>
    <row r="333" spans="1:31" x14ac:dyDescent="0.25">
      <c r="A333" s="338">
        <v>24547</v>
      </c>
      <c r="B333" s="355">
        <f t="shared" si="128"/>
        <v>24.547000000000001</v>
      </c>
      <c r="C333" s="328">
        <f t="shared" ref="C333:C396" si="136">SQRT(1+(A333/pole1)^2)</f>
        <v>8.2925252320627187</v>
      </c>
      <c r="D333" s="329">
        <f t="shared" ref="D333:D396" si="137">ATAN(A333/pole1)</f>
        <v>1.4499115962376461</v>
      </c>
      <c r="E333" s="329">
        <f t="shared" ref="E333:E396" si="138">SQRT(1+(A333/Zero1)^2)</f>
        <v>1.0000518087610073</v>
      </c>
      <c r="F333" s="330">
        <f t="shared" ref="F333:F396" si="139">ATAN(A333/Zero1)</f>
        <v>1.0179049495546003E-2</v>
      </c>
      <c r="G333" s="329">
        <f t="shared" ref="G333:G396" si="140">IF(VIN_nom&gt;Vout, 1, SQRT(1+(A333/z_RHP)^2))</f>
        <v>1</v>
      </c>
      <c r="H333" s="330">
        <f t="shared" ref="H333:H396" si="141">IF(VIN_nom&gt;Vout, 0, -ATAN(A333/z_RHP))</f>
        <v>0</v>
      </c>
      <c r="I333" s="328">
        <f t="shared" ref="I333:I396" si="142">SQRT(1+(A333/Pole2)^2)</f>
        <v>44519.022965753124</v>
      </c>
      <c r="J333" s="331">
        <f t="shared" ref="J333:J396" si="143">ATAN(A333/Pole2)</f>
        <v>1.5707738644870231</v>
      </c>
      <c r="K333" s="339">
        <f t="shared" si="133"/>
        <v>7.3466482082169593</v>
      </c>
      <c r="L333" s="340">
        <f t="shared" si="134"/>
        <v>1.4342559678695499</v>
      </c>
      <c r="M333" s="328">
        <f t="shared" ref="M333:M396" si="144">SQRT(1+(A333/pole4)^2)</f>
        <v>1.0069633937534823</v>
      </c>
      <c r="N333" s="331">
        <f t="shared" ref="N333:N396" si="145">ATAN(A333/pole4)</f>
        <v>0.11767093977943571</v>
      </c>
      <c r="O333" s="332">
        <f t="shared" ref="O333:O396" si="146">SQRT((1-(V333/pterm2))^2+(A333/pterm1)^2)</f>
        <v>1.0023286809859875</v>
      </c>
      <c r="P333" s="333">
        <f t="shared" ref="P333:P396" si="147">IF((ATAN((A333/pterm1)/(1-A333^2/pterm2))&gt;0),ATAN((A333/pterm1)/(1-A333^2/pterm2)),PI()+ATAN((A333/pterm1)/(1-A333^2/pterm2)))</f>
        <v>0.17193143007118791</v>
      </c>
      <c r="Q333" s="334">
        <f t="shared" ref="Q333:Q396" si="148">20*LOG10(((E333*K333*G333)/(C333*I333*O333*M333))*Adc)</f>
        <v>3.0210412360797174</v>
      </c>
      <c r="R333" s="335">
        <f t="shared" ref="R333:R396" si="149">((F333+L333+H333)-(D333+J333+P333+N333))*radconv</f>
        <v>-106.90549151171314</v>
      </c>
      <c r="S333" s="337">
        <f t="shared" ref="S333:S396" si="150">IF(R333&gt;0,R333,R333+180)</f>
        <v>73.094508488286863</v>
      </c>
      <c r="U333" s="310">
        <f t="shared" si="129"/>
        <v>1000000000</v>
      </c>
      <c r="V333" s="310">
        <f t="shared" si="130"/>
        <v>602555209</v>
      </c>
      <c r="X333" s="336">
        <f t="shared" ref="X333:X396" si="151">20*LOG10((K333/(I333*M333))*AEA*Afb_Ch2)</f>
        <v>1.3206577926437775</v>
      </c>
      <c r="Y333" s="337">
        <f t="shared" si="131"/>
        <v>-14.563947541525984</v>
      </c>
      <c r="AA333" s="336">
        <f t="shared" ref="AA333:AA396" si="152">20*LOG10((E333*G333/(C333*O333))*Am_Ch2)</f>
        <v>1.7003834434359419</v>
      </c>
      <c r="AB333" s="337">
        <f t="shared" ref="AB333:AB396" si="153">(F333+H333-(D333+P333))*radconv</f>
        <v>-92.341543970187161</v>
      </c>
      <c r="AD333">
        <f t="shared" si="132"/>
        <v>0</v>
      </c>
      <c r="AE333">
        <f t="shared" si="135"/>
        <v>0</v>
      </c>
    </row>
    <row r="334" spans="1:31" x14ac:dyDescent="0.25">
      <c r="A334" s="338">
        <v>24690</v>
      </c>
      <c r="B334" s="355">
        <f t="shared" ref="B334:B397" si="154">A334/1000</f>
        <v>24.69</v>
      </c>
      <c r="C334" s="328">
        <f t="shared" si="136"/>
        <v>8.3401333258785488</v>
      </c>
      <c r="D334" s="329">
        <f t="shared" si="137"/>
        <v>1.4506049960174372</v>
      </c>
      <c r="E334" s="329">
        <f t="shared" si="138"/>
        <v>1.0000524141333853</v>
      </c>
      <c r="F334" s="330">
        <f t="shared" si="139"/>
        <v>1.0238344018434339E-2</v>
      </c>
      <c r="G334" s="329">
        <f t="shared" si="140"/>
        <v>1</v>
      </c>
      <c r="H334" s="330">
        <f t="shared" si="141"/>
        <v>0</v>
      </c>
      <c r="I334" s="328">
        <f t="shared" si="142"/>
        <v>44778.371166384568</v>
      </c>
      <c r="J334" s="331">
        <f t="shared" si="143"/>
        <v>1.5707739945846344</v>
      </c>
      <c r="K334" s="339">
        <f t="shared" si="133"/>
        <v>7.3886558411055869</v>
      </c>
      <c r="L334" s="340">
        <f t="shared" si="134"/>
        <v>1.4350370761552604</v>
      </c>
      <c r="M334" s="328">
        <f t="shared" si="144"/>
        <v>1.0070444767923865</v>
      </c>
      <c r="N334" s="331">
        <f t="shared" si="145"/>
        <v>0.11835007384578762</v>
      </c>
      <c r="O334" s="332">
        <f t="shared" si="146"/>
        <v>1.0023567737343455</v>
      </c>
      <c r="P334" s="333">
        <f t="shared" si="147"/>
        <v>0.17293820720100925</v>
      </c>
      <c r="Q334" s="334">
        <f t="shared" si="148"/>
        <v>2.969450364681232</v>
      </c>
      <c r="R334" s="335">
        <f t="shared" si="149"/>
        <v>-106.99367190890621</v>
      </c>
      <c r="S334" s="337">
        <f t="shared" si="150"/>
        <v>73.006328091093792</v>
      </c>
      <c r="U334" s="310">
        <f t="shared" ref="U334:U397" si="155">IF(Q334&lt;0,A334,1000000000)</f>
        <v>1000000000</v>
      </c>
      <c r="V334" s="310">
        <f t="shared" ref="V334:V397" si="156">A334^2</f>
        <v>609596100</v>
      </c>
      <c r="X334" s="336">
        <f t="shared" si="151"/>
        <v>1.3190289377021227</v>
      </c>
      <c r="Y334" s="337">
        <f t="shared" ref="Y334:Y397" si="157">(L334-(J334+N334))*radconv</f>
        <v>-14.55811230317498</v>
      </c>
      <c r="AA334" s="336">
        <f t="shared" si="152"/>
        <v>1.6504214269791073</v>
      </c>
      <c r="AB334" s="337">
        <f t="shared" si="153"/>
        <v>-92.435559605731228</v>
      </c>
      <c r="AD334">
        <f t="shared" ref="AD334:AD397" si="158">SUM((Q335&lt;0)*(Q334&gt;0))*A334</f>
        <v>0</v>
      </c>
      <c r="AE334">
        <f t="shared" si="135"/>
        <v>0</v>
      </c>
    </row>
    <row r="335" spans="1:31" x14ac:dyDescent="0.25">
      <c r="A335" s="338">
        <v>24833</v>
      </c>
      <c r="B335" s="355">
        <f t="shared" si="154"/>
        <v>24.832999999999998</v>
      </c>
      <c r="C335" s="328">
        <f t="shared" si="136"/>
        <v>8.3877453841361209</v>
      </c>
      <c r="D335" s="329">
        <f t="shared" si="137"/>
        <v>1.4512905241177889</v>
      </c>
      <c r="E335" s="329">
        <f t="shared" si="138"/>
        <v>1.0000530230217839</v>
      </c>
      <c r="F335" s="330">
        <f t="shared" si="139"/>
        <v>1.0297638469327481E-2</v>
      </c>
      <c r="G335" s="329">
        <f t="shared" si="140"/>
        <v>1</v>
      </c>
      <c r="H335" s="330">
        <f t="shared" si="141"/>
        <v>0</v>
      </c>
      <c r="I335" s="328">
        <f t="shared" si="142"/>
        <v>45037.719367016754</v>
      </c>
      <c r="J335" s="331">
        <f t="shared" si="143"/>
        <v>1.5707741231839203</v>
      </c>
      <c r="K335" s="339">
        <f t="shared" si="133"/>
        <v>7.4306679310639199</v>
      </c>
      <c r="L335" s="340">
        <f t="shared" si="134"/>
        <v>1.4358093523258222</v>
      </c>
      <c r="M335" s="328">
        <f t="shared" si="144"/>
        <v>1.0071260242285327</v>
      </c>
      <c r="N335" s="331">
        <f t="shared" si="145"/>
        <v>0.11902909824571233</v>
      </c>
      <c r="O335" s="332">
        <f t="shared" si="146"/>
        <v>1.002385050165495</v>
      </c>
      <c r="P335" s="333">
        <f t="shared" si="147"/>
        <v>0.17394507277420193</v>
      </c>
      <c r="Q335" s="334">
        <f t="shared" si="148"/>
        <v>2.9181487346331165</v>
      </c>
      <c r="R335" s="335">
        <f t="shared" si="149"/>
        <v>-107.08190603729777</v>
      </c>
      <c r="S335" s="337">
        <f t="shared" si="150"/>
        <v>72.91809396270223</v>
      </c>
      <c r="U335" s="310">
        <f t="shared" si="155"/>
        <v>1000000000</v>
      </c>
      <c r="V335" s="310">
        <f t="shared" si="156"/>
        <v>616677889</v>
      </c>
      <c r="X335" s="336">
        <f t="shared" si="151"/>
        <v>1.3174119508255089</v>
      </c>
      <c r="Y335" s="337">
        <f t="shared" si="157"/>
        <v>-14.552776738475583</v>
      </c>
      <c r="AA335" s="336">
        <f t="shared" si="152"/>
        <v>1.6007367838076072</v>
      </c>
      <c r="AB335" s="337">
        <f t="shared" si="153"/>
        <v>-92.52912929882217</v>
      </c>
      <c r="AD335">
        <f t="shared" si="158"/>
        <v>0</v>
      </c>
      <c r="AE335">
        <f t="shared" si="135"/>
        <v>0</v>
      </c>
    </row>
    <row r="336" spans="1:31" x14ac:dyDescent="0.25">
      <c r="A336" s="338">
        <v>24976</v>
      </c>
      <c r="B336" s="355">
        <f t="shared" si="154"/>
        <v>24.975999999999999</v>
      </c>
      <c r="C336" s="328">
        <f t="shared" si="136"/>
        <v>8.4353613397054499</v>
      </c>
      <c r="D336" s="329">
        <f t="shared" si="137"/>
        <v>1.4519683131911039</v>
      </c>
      <c r="E336" s="329">
        <f t="shared" si="138"/>
        <v>1.0000536354261964</v>
      </c>
      <c r="F336" s="330">
        <f t="shared" si="139"/>
        <v>1.0356932847808618E-2</v>
      </c>
      <c r="G336" s="329">
        <f t="shared" si="140"/>
        <v>1</v>
      </c>
      <c r="H336" s="330">
        <f t="shared" si="141"/>
        <v>0</v>
      </c>
      <c r="I336" s="328">
        <f t="shared" si="142"/>
        <v>45297.067567649668</v>
      </c>
      <c r="J336" s="331">
        <f t="shared" si="143"/>
        <v>1.5707742503106168</v>
      </c>
      <c r="K336" s="339">
        <f t="shared" si="133"/>
        <v>7.4726844029178414</v>
      </c>
      <c r="L336" s="340">
        <f t="shared" si="134"/>
        <v>1.4365729444325162</v>
      </c>
      <c r="M336" s="328">
        <f t="shared" si="144"/>
        <v>1.0072080359491222</v>
      </c>
      <c r="N336" s="331">
        <f t="shared" si="145"/>
        <v>0.1197080123797621</v>
      </c>
      <c r="O336" s="332">
        <f t="shared" si="146"/>
        <v>1.0024135106339143</v>
      </c>
      <c r="P336" s="333">
        <f t="shared" si="147"/>
        <v>0.17495202724994732</v>
      </c>
      <c r="Q336" s="334">
        <f t="shared" si="148"/>
        <v>2.8671329239077625</v>
      </c>
      <c r="R336" s="335">
        <f t="shared" si="149"/>
        <v>-107.17019300805883</v>
      </c>
      <c r="S336" s="337">
        <f t="shared" si="150"/>
        <v>72.829806991941169</v>
      </c>
      <c r="U336" s="310">
        <f t="shared" si="155"/>
        <v>1000000000</v>
      </c>
      <c r="V336" s="310">
        <f t="shared" si="156"/>
        <v>623800576</v>
      </c>
      <c r="X336" s="336">
        <f t="shared" si="151"/>
        <v>1.3158064781580645</v>
      </c>
      <c r="Y336" s="337">
        <f t="shared" si="157"/>
        <v>-14.547932331842983</v>
      </c>
      <c r="AA336" s="336">
        <f t="shared" si="152"/>
        <v>1.5513264457496954</v>
      </c>
      <c r="AB336" s="337">
        <f t="shared" si="153"/>
        <v>-92.622260676215816</v>
      </c>
      <c r="AD336">
        <f t="shared" si="158"/>
        <v>0</v>
      </c>
      <c r="AE336">
        <f t="shared" si="135"/>
        <v>0</v>
      </c>
    </row>
    <row r="337" spans="1:31" x14ac:dyDescent="0.25">
      <c r="A337" s="338">
        <v>25119</v>
      </c>
      <c r="B337" s="355">
        <f t="shared" si="154"/>
        <v>25.119</v>
      </c>
      <c r="C337" s="328">
        <f t="shared" si="136"/>
        <v>8.4829811269583502</v>
      </c>
      <c r="D337" s="329">
        <f t="shared" si="137"/>
        <v>1.4526384929399814</v>
      </c>
      <c r="E337" s="329">
        <f t="shared" si="138"/>
        <v>1.0000542513466164</v>
      </c>
      <c r="F337" s="330">
        <f t="shared" si="139"/>
        <v>1.0416227153460951E-2</v>
      </c>
      <c r="G337" s="329">
        <f t="shared" si="140"/>
        <v>1</v>
      </c>
      <c r="H337" s="330">
        <f t="shared" si="141"/>
        <v>0</v>
      </c>
      <c r="I337" s="328">
        <f t="shared" si="142"/>
        <v>45556.415768283317</v>
      </c>
      <c r="J337" s="331">
        <f t="shared" si="143"/>
        <v>1.5707743759898736</v>
      </c>
      <c r="K337" s="339">
        <f t="shared" si="133"/>
        <v>7.5147051831667477</v>
      </c>
      <c r="L337" s="340">
        <f t="shared" si="134"/>
        <v>1.4373279972561546</v>
      </c>
      <c r="M337" s="328">
        <f t="shared" si="144"/>
        <v>1.0072905118407518</v>
      </c>
      <c r="N337" s="331">
        <f t="shared" si="145"/>
        <v>0.12038681564909047</v>
      </c>
      <c r="O337" s="332">
        <f t="shared" si="146"/>
        <v>1.0024421554960783</v>
      </c>
      <c r="P337" s="333">
        <f t="shared" si="147"/>
        <v>0.17595907108650494</v>
      </c>
      <c r="Q337" s="334">
        <f t="shared" si="148"/>
        <v>2.8163995698404776</v>
      </c>
      <c r="R337" s="335">
        <f t="shared" si="149"/>
        <v>-107.25853195068119</v>
      </c>
      <c r="S337" s="337">
        <f t="shared" si="150"/>
        <v>72.741468049318811</v>
      </c>
      <c r="U337" s="310">
        <f t="shared" si="155"/>
        <v>1000000000</v>
      </c>
      <c r="V337" s="310">
        <f t="shared" si="156"/>
        <v>630964161</v>
      </c>
      <c r="X337" s="336">
        <f t="shared" si="151"/>
        <v>1.3142121757730088</v>
      </c>
      <c r="Y337" s="337">
        <f t="shared" si="157"/>
        <v>-14.543570755077264</v>
      </c>
      <c r="AA337" s="336">
        <f t="shared" si="152"/>
        <v>1.5021873940674666</v>
      </c>
      <c r="AB337" s="337">
        <f t="shared" si="153"/>
        <v>-92.714961195603934</v>
      </c>
      <c r="AD337">
        <f t="shared" si="158"/>
        <v>0</v>
      </c>
      <c r="AE337">
        <f t="shared" si="135"/>
        <v>0</v>
      </c>
    </row>
    <row r="338" spans="1:31" x14ac:dyDescent="0.25">
      <c r="A338" s="338">
        <v>25265.25</v>
      </c>
      <c r="B338" s="355">
        <f t="shared" si="154"/>
        <v>25.265250000000002</v>
      </c>
      <c r="C338" s="328">
        <f t="shared" si="136"/>
        <v>8.531687078535608</v>
      </c>
      <c r="D338" s="329">
        <f t="shared" si="137"/>
        <v>1.453316165516187</v>
      </c>
      <c r="E338" s="329">
        <f t="shared" si="138"/>
        <v>1.0000548849020008</v>
      </c>
      <c r="F338" s="330">
        <f t="shared" si="139"/>
        <v>1.0476868981204215E-2</v>
      </c>
      <c r="G338" s="329">
        <f t="shared" si="140"/>
        <v>1</v>
      </c>
      <c r="H338" s="330">
        <f t="shared" si="141"/>
        <v>0</v>
      </c>
      <c r="I338" s="328">
        <f t="shared" si="142"/>
        <v>45821.658246204832</v>
      </c>
      <c r="J338" s="331">
        <f t="shared" si="143"/>
        <v>1.5707745030539333</v>
      </c>
      <c r="K338" s="339">
        <f t="shared" si="133"/>
        <v>7.5576853626376215</v>
      </c>
      <c r="L338" s="340">
        <f t="shared" si="134"/>
        <v>1.4380915253254398</v>
      </c>
      <c r="M338" s="328">
        <f t="shared" si="144"/>
        <v>1.0073753421805745</v>
      </c>
      <c r="N338" s="331">
        <f t="shared" si="145"/>
        <v>0.12108093096914051</v>
      </c>
      <c r="O338" s="332">
        <f t="shared" si="146"/>
        <v>1.0024716424789561</v>
      </c>
      <c r="P338" s="333">
        <f t="shared" si="147"/>
        <v>0.17698909518988595</v>
      </c>
      <c r="Q338" s="334">
        <f t="shared" si="148"/>
        <v>2.764801900068623</v>
      </c>
      <c r="R338" s="335">
        <f t="shared" si="149"/>
        <v>-107.34893146508044</v>
      </c>
      <c r="S338" s="337">
        <f t="shared" si="150"/>
        <v>72.65106853491956</v>
      </c>
      <c r="U338" s="310">
        <f t="shared" si="155"/>
        <v>1000000000</v>
      </c>
      <c r="V338" s="310">
        <f t="shared" si="156"/>
        <v>638332857.5625</v>
      </c>
      <c r="X338" s="336">
        <f t="shared" si="151"/>
        <v>1.3125928448401729</v>
      </c>
      <c r="Y338" s="337">
        <f t="shared" si="157"/>
        <v>-14.539600977731507</v>
      </c>
      <c r="AA338" s="336">
        <f t="shared" si="152"/>
        <v>1.4522090552284486</v>
      </c>
      <c r="AB338" s="337">
        <f t="shared" si="153"/>
        <v>-92.809330487348944</v>
      </c>
      <c r="AD338">
        <f t="shared" si="158"/>
        <v>0</v>
      </c>
      <c r="AE338">
        <f t="shared" si="135"/>
        <v>0</v>
      </c>
    </row>
    <row r="339" spans="1:31" x14ac:dyDescent="0.25">
      <c r="A339" s="338">
        <v>25411.5</v>
      </c>
      <c r="B339" s="355">
        <f t="shared" si="154"/>
        <v>25.4115</v>
      </c>
      <c r="C339" s="328">
        <f t="shared" si="136"/>
        <v>8.5803969037233312</v>
      </c>
      <c r="D339" s="329">
        <f t="shared" si="137"/>
        <v>1.4539861442746034</v>
      </c>
      <c r="E339" s="329">
        <f t="shared" si="138"/>
        <v>1.0000555221350136</v>
      </c>
      <c r="F339" s="330">
        <f t="shared" si="139"/>
        <v>1.0537510731888831E-2</v>
      </c>
      <c r="G339" s="329">
        <f t="shared" si="140"/>
        <v>1</v>
      </c>
      <c r="H339" s="330">
        <f t="shared" si="141"/>
        <v>0</v>
      </c>
      <c r="I339" s="328">
        <f t="shared" si="142"/>
        <v>46086.900724127074</v>
      </c>
      <c r="J339" s="331">
        <f t="shared" si="143"/>
        <v>1.5707746286554174</v>
      </c>
      <c r="K339" s="339">
        <f t="shared" si="133"/>
        <v>7.6006698982201364</v>
      </c>
      <c r="L339" s="340">
        <f t="shared" si="134"/>
        <v>1.438846417776243</v>
      </c>
      <c r="M339" s="328">
        <f t="shared" si="144"/>
        <v>1.0074606577880143</v>
      </c>
      <c r="N339" s="331">
        <f t="shared" si="145"/>
        <v>0.12177492906284854</v>
      </c>
      <c r="O339" s="332">
        <f t="shared" si="146"/>
        <v>1.0025013230929389</v>
      </c>
      <c r="P339" s="333">
        <f t="shared" si="147"/>
        <v>0.17801921372866342</v>
      </c>
      <c r="Q339" s="334">
        <f t="shared" si="148"/>
        <v>2.7134927415703358</v>
      </c>
      <c r="R339" s="335">
        <f t="shared" si="149"/>
        <v>-107.43938355547535</v>
      </c>
      <c r="S339" s="337">
        <f t="shared" si="150"/>
        <v>72.560616444524655</v>
      </c>
      <c r="U339" s="310">
        <f t="shared" si="155"/>
        <v>1000000000</v>
      </c>
      <c r="V339" s="310">
        <f t="shared" si="156"/>
        <v>645744332.25</v>
      </c>
      <c r="X339" s="336">
        <f t="shared" si="151"/>
        <v>1.3109845004371714</v>
      </c>
      <c r="Y339" s="337">
        <f t="shared" si="157"/>
        <v>-14.536119184504749</v>
      </c>
      <c r="AA339" s="336">
        <f t="shared" si="152"/>
        <v>1.4025082411331651</v>
      </c>
      <c r="AB339" s="337">
        <f t="shared" si="153"/>
        <v>-92.903264370970561</v>
      </c>
      <c r="AD339">
        <f t="shared" si="158"/>
        <v>0</v>
      </c>
      <c r="AE339">
        <f t="shared" si="135"/>
        <v>0</v>
      </c>
    </row>
    <row r="340" spans="1:31" x14ac:dyDescent="0.25">
      <c r="A340" s="338">
        <v>25557.75</v>
      </c>
      <c r="B340" s="355">
        <f t="shared" si="154"/>
        <v>25.557749999999999</v>
      </c>
      <c r="C340" s="328">
        <f t="shared" si="136"/>
        <v>8.6291105369239478</v>
      </c>
      <c r="D340" s="329">
        <f t="shared" si="137"/>
        <v>1.4546485589095781</v>
      </c>
      <c r="E340" s="329">
        <f t="shared" si="138"/>
        <v>1.0000561630456477</v>
      </c>
      <c r="F340" s="330">
        <f t="shared" si="139"/>
        <v>1.0598152405068928E-2</v>
      </c>
      <c r="G340" s="329">
        <f t="shared" si="140"/>
        <v>1</v>
      </c>
      <c r="H340" s="330">
        <f t="shared" si="141"/>
        <v>0</v>
      </c>
      <c r="I340" s="328">
        <f t="shared" si="142"/>
        <v>46352.143202050029</v>
      </c>
      <c r="J340" s="331">
        <f t="shared" si="143"/>
        <v>1.570774752819434</v>
      </c>
      <c r="K340" s="339">
        <f t="shared" si="133"/>
        <v>7.6436587164237935</v>
      </c>
      <c r="L340" s="340">
        <f t="shared" si="134"/>
        <v>1.4395928194439966</v>
      </c>
      <c r="M340" s="328">
        <f t="shared" si="144"/>
        <v>1.0075464585397986</v>
      </c>
      <c r="N340" s="331">
        <f t="shared" si="145"/>
        <v>0.12246880929157362</v>
      </c>
      <c r="O340" s="332">
        <f t="shared" si="146"/>
        <v>1.0025311977258324</v>
      </c>
      <c r="P340" s="333">
        <f t="shared" si="147"/>
        <v>0.17904942719003031</v>
      </c>
      <c r="Q340" s="334">
        <f t="shared" si="148"/>
        <v>2.6624686810383458</v>
      </c>
      <c r="R340" s="335">
        <f t="shared" si="149"/>
        <v>-107.5298873471324</v>
      </c>
      <c r="S340" s="337">
        <f t="shared" si="150"/>
        <v>72.470112652867599</v>
      </c>
      <c r="U340" s="310">
        <f t="shared" si="155"/>
        <v>1000000000</v>
      </c>
      <c r="V340" s="310">
        <f t="shared" si="156"/>
        <v>653198585.0625</v>
      </c>
      <c r="X340" s="336">
        <f t="shared" si="151"/>
        <v>1.3093868047769897</v>
      </c>
      <c r="Y340" s="337">
        <f t="shared" si="157"/>
        <v>-14.533117041785147</v>
      </c>
      <c r="AA340" s="336">
        <f t="shared" si="152"/>
        <v>1.3530818762613552</v>
      </c>
      <c r="AB340" s="337">
        <f t="shared" si="153"/>
        <v>-92.996770305347212</v>
      </c>
      <c r="AD340">
        <f t="shared" si="158"/>
        <v>0</v>
      </c>
      <c r="AE340">
        <f t="shared" si="135"/>
        <v>0</v>
      </c>
    </row>
    <row r="341" spans="1:31" x14ac:dyDescent="0.25">
      <c r="A341" s="338">
        <v>25704</v>
      </c>
      <c r="B341" s="355">
        <f t="shared" si="154"/>
        <v>25.704000000000001</v>
      </c>
      <c r="C341" s="328">
        <f t="shared" si="136"/>
        <v>8.6778279140077696</v>
      </c>
      <c r="D341" s="329">
        <f t="shared" si="137"/>
        <v>1.4553035362299349</v>
      </c>
      <c r="E341" s="329">
        <f t="shared" si="138"/>
        <v>1.000056807633896</v>
      </c>
      <c r="F341" s="330">
        <f t="shared" si="139"/>
        <v>1.0658794000298651E-2</v>
      </c>
      <c r="G341" s="329">
        <f t="shared" si="140"/>
        <v>1</v>
      </c>
      <c r="H341" s="330">
        <f t="shared" si="141"/>
        <v>0</v>
      </c>
      <c r="I341" s="328">
        <f t="shared" si="142"/>
        <v>46617.385679973697</v>
      </c>
      <c r="J341" s="331">
        <f t="shared" si="143"/>
        <v>1.57077487557052</v>
      </c>
      <c r="K341" s="339">
        <f t="shared" si="133"/>
        <v>7.6866517453948804</v>
      </c>
      <c r="L341" s="340">
        <f t="shared" si="134"/>
        <v>1.4403308719620853</v>
      </c>
      <c r="M341" s="328">
        <f t="shared" si="144"/>
        <v>1.0076327443119966</v>
      </c>
      <c r="N341" s="331">
        <f t="shared" si="145"/>
        <v>0.12316257101734567</v>
      </c>
      <c r="O341" s="332">
        <f t="shared" si="146"/>
        <v>1.0025612667676216</v>
      </c>
      <c r="P341" s="333">
        <f t="shared" si="147"/>
        <v>0.18007973606014716</v>
      </c>
      <c r="Q341" s="334">
        <f t="shared" si="148"/>
        <v>2.6117263643136637</v>
      </c>
      <c r="R341" s="335">
        <f t="shared" si="149"/>
        <v>-107.62044198340018</v>
      </c>
      <c r="S341" s="337">
        <f t="shared" si="150"/>
        <v>72.379558016599816</v>
      </c>
      <c r="U341" s="310">
        <f t="shared" si="155"/>
        <v>1000000000</v>
      </c>
      <c r="V341" s="310">
        <f t="shared" si="156"/>
        <v>660695616</v>
      </c>
      <c r="X341" s="336">
        <f t="shared" si="151"/>
        <v>1.3077994295619342</v>
      </c>
      <c r="Y341" s="337">
        <f t="shared" si="157"/>
        <v>-14.53058639943038</v>
      </c>
      <c r="AA341" s="336">
        <f t="shared" si="152"/>
        <v>1.303926934751731</v>
      </c>
      <c r="AB341" s="337">
        <f t="shared" si="153"/>
        <v>-93.089855583969793</v>
      </c>
      <c r="AD341">
        <f t="shared" si="158"/>
        <v>0</v>
      </c>
      <c r="AE341">
        <f t="shared" si="135"/>
        <v>0</v>
      </c>
    </row>
    <row r="342" spans="1:31" x14ac:dyDescent="0.25">
      <c r="A342" s="338">
        <v>25853.75</v>
      </c>
      <c r="B342" s="355">
        <f t="shared" si="154"/>
        <v>25.853750000000002</v>
      </c>
      <c r="C342" s="328">
        <f t="shared" si="136"/>
        <v>8.7277149909091154</v>
      </c>
      <c r="D342" s="329">
        <f t="shared" si="137"/>
        <v>1.4559666112937761</v>
      </c>
      <c r="E342" s="329">
        <f t="shared" si="138"/>
        <v>1.000057471458865</v>
      </c>
      <c r="F342" s="330">
        <f t="shared" si="139"/>
        <v>1.0720886766143438E-2</v>
      </c>
      <c r="G342" s="329">
        <f t="shared" si="140"/>
        <v>1</v>
      </c>
      <c r="H342" s="330">
        <f t="shared" si="141"/>
        <v>0</v>
      </c>
      <c r="I342" s="328">
        <f t="shared" si="142"/>
        <v>46888.97584113045</v>
      </c>
      <c r="J342" s="331">
        <f t="shared" si="143"/>
        <v>1.5707749998202265</v>
      </c>
      <c r="K342" s="339">
        <f t="shared" si="133"/>
        <v>7.7306779571205269</v>
      </c>
      <c r="L342" s="340">
        <f t="shared" si="134"/>
        <v>1.4410780806787704</v>
      </c>
      <c r="M342" s="328">
        <f t="shared" si="144"/>
        <v>1.0077215974830076</v>
      </c>
      <c r="N342" s="331">
        <f t="shared" si="145"/>
        <v>0.12387281213137792</v>
      </c>
      <c r="O342" s="332">
        <f t="shared" si="146"/>
        <v>1.0025922572633659</v>
      </c>
      <c r="P342" s="333">
        <f t="shared" si="147"/>
        <v>0.18113480126235731</v>
      </c>
      <c r="Q342" s="334">
        <f t="shared" si="148"/>
        <v>2.5600581973748464</v>
      </c>
      <c r="R342" s="335">
        <f t="shared" si="149"/>
        <v>-107.71321554731429</v>
      </c>
      <c r="S342" s="337">
        <f t="shared" si="150"/>
        <v>72.286784452685708</v>
      </c>
      <c r="U342" s="310">
        <f t="shared" si="155"/>
        <v>1000000000</v>
      </c>
      <c r="V342" s="310">
        <f t="shared" si="156"/>
        <v>668416389.0625</v>
      </c>
      <c r="X342" s="336">
        <f t="shared" si="151"/>
        <v>1.3061844265062192</v>
      </c>
      <c r="Y342" s="337">
        <f t="shared" si="157"/>
        <v>-14.528475430801034</v>
      </c>
      <c r="AA342" s="336">
        <f t="shared" si="152"/>
        <v>1.2538737708686263</v>
      </c>
      <c r="AB342" s="337">
        <f t="shared" si="153"/>
        <v>-93.18474011651324</v>
      </c>
      <c r="AD342">
        <f t="shared" si="158"/>
        <v>0</v>
      </c>
      <c r="AE342">
        <f t="shared" si="135"/>
        <v>0</v>
      </c>
    </row>
    <row r="343" spans="1:31" x14ac:dyDescent="0.25">
      <c r="A343" s="338">
        <v>26003.5</v>
      </c>
      <c r="B343" s="355">
        <f t="shared" si="154"/>
        <v>26.003499999999999</v>
      </c>
      <c r="C343" s="328">
        <f t="shared" si="136"/>
        <v>8.7776058614929759</v>
      </c>
      <c r="D343" s="329">
        <f t="shared" si="137"/>
        <v>1.4566221489630848</v>
      </c>
      <c r="E343" s="329">
        <f t="shared" si="138"/>
        <v>1.000058139139562</v>
      </c>
      <c r="F343" s="330">
        <f t="shared" si="139"/>
        <v>1.0782979449316159E-2</v>
      </c>
      <c r="G343" s="329">
        <f t="shared" si="140"/>
        <v>1</v>
      </c>
      <c r="H343" s="330">
        <f t="shared" si="141"/>
        <v>0</v>
      </c>
      <c r="I343" s="328">
        <f t="shared" si="142"/>
        <v>47160.566002287916</v>
      </c>
      <c r="J343" s="331">
        <f t="shared" si="143"/>
        <v>1.5707751226388644</v>
      </c>
      <c r="K343" s="339">
        <f t="shared" ref="K343:K406" si="159">SQRT(1+(A343/Zero2)^2)</f>
        <v>7.7747084361605019</v>
      </c>
      <c r="L343" s="340">
        <f t="shared" ref="L343:L406" si="160">ATAN(A343/Zero2)</f>
        <v>1.4418168264750153</v>
      </c>
      <c r="M343" s="328">
        <f t="shared" si="144"/>
        <v>1.0078109589017759</v>
      </c>
      <c r="N343" s="331">
        <f t="shared" si="145"/>
        <v>0.12458292765107234</v>
      </c>
      <c r="O343" s="332">
        <f t="shared" si="146"/>
        <v>1.0026234524189175</v>
      </c>
      <c r="P343" s="333">
        <f t="shared" si="147"/>
        <v>0.18218996752280553</v>
      </c>
      <c r="Q343" s="334">
        <f t="shared" si="148"/>
        <v>2.5086784875600903</v>
      </c>
      <c r="R343" s="335">
        <f t="shared" si="149"/>
        <v>-107.80604065688439</v>
      </c>
      <c r="S343" s="337">
        <f t="shared" si="150"/>
        <v>72.193959343115608</v>
      </c>
      <c r="U343" s="310">
        <f t="shared" si="155"/>
        <v>1000000000</v>
      </c>
      <c r="V343" s="310">
        <f t="shared" si="156"/>
        <v>676182012.25</v>
      </c>
      <c r="X343" s="336">
        <f t="shared" si="151"/>
        <v>1.3045795762818924</v>
      </c>
      <c r="Y343" s="337">
        <f t="shared" si="157"/>
        <v>-14.526842073776136</v>
      </c>
      <c r="AA343" s="336">
        <f t="shared" si="152"/>
        <v>1.2040989112781957</v>
      </c>
      <c r="AB343" s="337">
        <f t="shared" si="153"/>
        <v>-93.279198583108268</v>
      </c>
      <c r="AD343">
        <f t="shared" si="158"/>
        <v>0</v>
      </c>
      <c r="AE343">
        <f t="shared" si="135"/>
        <v>0</v>
      </c>
    </row>
    <row r="344" spans="1:31" x14ac:dyDescent="0.25">
      <c r="A344" s="338">
        <v>26153.25</v>
      </c>
      <c r="B344" s="355">
        <f t="shared" si="154"/>
        <v>26.15325</v>
      </c>
      <c r="C344" s="328">
        <f t="shared" si="136"/>
        <v>8.8275004614364576</v>
      </c>
      <c r="D344" s="329">
        <f t="shared" si="137"/>
        <v>1.4572702764776979</v>
      </c>
      <c r="E344" s="329">
        <f t="shared" si="138"/>
        <v>1.0000588106759793</v>
      </c>
      <c r="F344" s="330">
        <f t="shared" si="139"/>
        <v>1.0845072049338187E-2</v>
      </c>
      <c r="G344" s="329">
        <f t="shared" si="140"/>
        <v>1</v>
      </c>
      <c r="H344" s="330">
        <f t="shared" si="141"/>
        <v>0</v>
      </c>
      <c r="I344" s="328">
        <f t="shared" si="142"/>
        <v>47432.156163446074</v>
      </c>
      <c r="J344" s="331">
        <f t="shared" si="143"/>
        <v>1.5707752440510165</v>
      </c>
      <c r="K344" s="339">
        <f t="shared" si="159"/>
        <v>7.8187431104219298</v>
      </c>
      <c r="L344" s="340">
        <f t="shared" si="160"/>
        <v>1.4425472515255198</v>
      </c>
      <c r="M344" s="328">
        <f t="shared" si="144"/>
        <v>1.0079008284331166</v>
      </c>
      <c r="N344" s="331">
        <f t="shared" si="145"/>
        <v>0.12529291689375907</v>
      </c>
      <c r="O344" s="332">
        <f t="shared" si="146"/>
        <v>1.0026548526600298</v>
      </c>
      <c r="P344" s="333">
        <f t="shared" si="147"/>
        <v>0.18324523535999446</v>
      </c>
      <c r="Q344" s="334">
        <f t="shared" si="148"/>
        <v>2.4575838180676284</v>
      </c>
      <c r="R344" s="335">
        <f t="shared" si="149"/>
        <v>-107.89891644843571</v>
      </c>
      <c r="S344" s="337">
        <f t="shared" si="150"/>
        <v>72.101083551564287</v>
      </c>
      <c r="U344" s="310">
        <f t="shared" si="155"/>
        <v>1000000000</v>
      </c>
      <c r="V344" s="310">
        <f t="shared" si="156"/>
        <v>683992485.5625</v>
      </c>
      <c r="X344" s="336">
        <f t="shared" si="151"/>
        <v>1.3029845553622352</v>
      </c>
      <c r="Y344" s="337">
        <f t="shared" si="157"/>
        <v>-14.525678144639805</v>
      </c>
      <c r="AA344" s="336">
        <f t="shared" si="152"/>
        <v>1.1545992627053911</v>
      </c>
      <c r="AB344" s="337">
        <f t="shared" si="153"/>
        <v>-93.373238303795915</v>
      </c>
      <c r="AD344">
        <f t="shared" si="158"/>
        <v>0</v>
      </c>
      <c r="AE344">
        <f t="shared" si="135"/>
        <v>0</v>
      </c>
    </row>
    <row r="345" spans="1:31" x14ac:dyDescent="0.25">
      <c r="A345" s="338">
        <v>26303</v>
      </c>
      <c r="B345" s="355">
        <f t="shared" si="154"/>
        <v>26.303000000000001</v>
      </c>
      <c r="C345" s="328">
        <f t="shared" si="136"/>
        <v>8.8773987278579973</v>
      </c>
      <c r="D345" s="329">
        <f t="shared" si="137"/>
        <v>1.4579111182419084</v>
      </c>
      <c r="E345" s="329">
        <f t="shared" si="138"/>
        <v>1.0000594860681093</v>
      </c>
      <c r="F345" s="330">
        <f t="shared" si="139"/>
        <v>1.0907164565730895E-2</v>
      </c>
      <c r="G345" s="329">
        <f t="shared" si="140"/>
        <v>1</v>
      </c>
      <c r="H345" s="330">
        <f t="shared" si="141"/>
        <v>0</v>
      </c>
      <c r="I345" s="328">
        <f t="shared" si="142"/>
        <v>47703.746324604937</v>
      </c>
      <c r="J345" s="331">
        <f t="shared" si="143"/>
        <v>1.5707753640807049</v>
      </c>
      <c r="K345" s="339">
        <f t="shared" si="159"/>
        <v>7.8627819094201339</v>
      </c>
      <c r="L345" s="340">
        <f t="shared" si="160"/>
        <v>1.443269494855719</v>
      </c>
      <c r="M345" s="328">
        <f t="shared" si="144"/>
        <v>1.0079912059411236</v>
      </c>
      <c r="N345" s="331">
        <f t="shared" si="145"/>
        <v>0.12600277917752023</v>
      </c>
      <c r="O345" s="332">
        <f t="shared" si="146"/>
        <v>1.0026864584148456</v>
      </c>
      <c r="P345" s="333">
        <f t="shared" si="147"/>
        <v>0.18430060529126546</v>
      </c>
      <c r="Q345" s="334">
        <f t="shared" si="148"/>
        <v>2.4067708313107516</v>
      </c>
      <c r="R345" s="335">
        <f t="shared" si="149"/>
        <v>-107.99184207621281</v>
      </c>
      <c r="S345" s="337">
        <f t="shared" si="150"/>
        <v>72.008157923787195</v>
      </c>
      <c r="U345" s="310">
        <f t="shared" si="155"/>
        <v>1000000000</v>
      </c>
      <c r="V345" s="310">
        <f t="shared" si="156"/>
        <v>691847809</v>
      </c>
      <c r="X345" s="336">
        <f t="shared" si="151"/>
        <v>1.3013990493313663</v>
      </c>
      <c r="Y345" s="337">
        <f t="shared" si="157"/>
        <v>-14.524975640126708</v>
      </c>
      <c r="AA345" s="336">
        <f t="shared" si="152"/>
        <v>1.1053717819793867</v>
      </c>
      <c r="AB345" s="337">
        <f t="shared" si="153"/>
        <v>-93.466866436086079</v>
      </c>
      <c r="AD345">
        <f t="shared" si="158"/>
        <v>0</v>
      </c>
      <c r="AE345">
        <f t="shared" si="135"/>
        <v>0</v>
      </c>
    </row>
    <row r="346" spans="1:31" x14ac:dyDescent="0.25">
      <c r="A346" s="338">
        <v>26456</v>
      </c>
      <c r="B346" s="355">
        <f t="shared" si="154"/>
        <v>26.456</v>
      </c>
      <c r="C346" s="328">
        <f t="shared" si="136"/>
        <v>8.9283836510285397</v>
      </c>
      <c r="D346" s="329">
        <f t="shared" si="137"/>
        <v>1.4585584699721101</v>
      </c>
      <c r="E346" s="329">
        <f t="shared" si="138"/>
        <v>1.0000601801002973</v>
      </c>
      <c r="F346" s="330">
        <f t="shared" si="139"/>
        <v>1.0970604579082424E-2</v>
      </c>
      <c r="G346" s="329">
        <f t="shared" si="140"/>
        <v>1</v>
      </c>
      <c r="H346" s="330">
        <f t="shared" si="141"/>
        <v>0</v>
      </c>
      <c r="I346" s="328">
        <f t="shared" si="142"/>
        <v>47981.230763051746</v>
      </c>
      <c r="J346" s="331">
        <f t="shared" si="143"/>
        <v>1.5707754853120048</v>
      </c>
      <c r="K346" s="339">
        <f t="shared" si="159"/>
        <v>7.9077806636403301</v>
      </c>
      <c r="L346" s="340">
        <f t="shared" si="160"/>
        <v>1.4439991043384839</v>
      </c>
      <c r="M346" s="328">
        <f t="shared" si="144"/>
        <v>1.0080840693885236</v>
      </c>
      <c r="N346" s="331">
        <f t="shared" si="145"/>
        <v>0.12672791565701216</v>
      </c>
      <c r="O346" s="332">
        <f t="shared" si="146"/>
        <v>1.0027189628045692</v>
      </c>
      <c r="P346" s="333">
        <f t="shared" si="147"/>
        <v>0.18537898572392311</v>
      </c>
      <c r="Q346" s="334">
        <f t="shared" si="148"/>
        <v>2.3551425453101911</v>
      </c>
      <c r="R346" s="335">
        <f t="shared" si="149"/>
        <v>-108.0868350626384</v>
      </c>
      <c r="S346" s="337">
        <f t="shared" si="150"/>
        <v>71.9131649373616</v>
      </c>
      <c r="U346" s="310">
        <f t="shared" si="155"/>
        <v>1000000000</v>
      </c>
      <c r="V346" s="310">
        <f t="shared" si="156"/>
        <v>699919936</v>
      </c>
      <c r="X346" s="336">
        <f t="shared" si="151"/>
        <v>1.2997886423364045</v>
      </c>
      <c r="Y346" s="337">
        <f t="shared" si="157"/>
        <v>-14.524726301958967</v>
      </c>
      <c r="AA346" s="336">
        <f t="shared" si="152"/>
        <v>1.0553539029737871</v>
      </c>
      <c r="AB346" s="337">
        <f t="shared" si="153"/>
        <v>-93.562108760679436</v>
      </c>
      <c r="AD346">
        <f t="shared" si="158"/>
        <v>0</v>
      </c>
      <c r="AE346">
        <f t="shared" ref="AE346:AE409" si="161">IF(AD346&gt;0,S346,0)</f>
        <v>0</v>
      </c>
    </row>
    <row r="347" spans="1:31" x14ac:dyDescent="0.25">
      <c r="A347" s="338">
        <v>26609</v>
      </c>
      <c r="B347" s="355">
        <f t="shared" si="154"/>
        <v>26.609000000000002</v>
      </c>
      <c r="C347" s="328">
        <f t="shared" si="136"/>
        <v>8.979372273275418</v>
      </c>
      <c r="D347" s="329">
        <f t="shared" si="137"/>
        <v>1.4591984701015412</v>
      </c>
      <c r="E347" s="329">
        <f t="shared" si="138"/>
        <v>1.0000608781573574</v>
      </c>
      <c r="F347" s="330">
        <f t="shared" si="139"/>
        <v>1.1034044504125168E-2</v>
      </c>
      <c r="G347" s="329">
        <f t="shared" si="140"/>
        <v>1</v>
      </c>
      <c r="H347" s="330">
        <f t="shared" si="141"/>
        <v>0</v>
      </c>
      <c r="I347" s="328">
        <f t="shared" si="142"/>
        <v>48258.715201499261</v>
      </c>
      <c r="J347" s="331">
        <f t="shared" si="143"/>
        <v>1.5707756051491608</v>
      </c>
      <c r="K347" s="339">
        <f t="shared" si="159"/>
        <v>7.9527835797708155</v>
      </c>
      <c r="L347" s="340">
        <f t="shared" si="160"/>
        <v>1.4447204568275878</v>
      </c>
      <c r="M347" s="328">
        <f t="shared" si="144"/>
        <v>1.0081774628118136</v>
      </c>
      <c r="N347" s="331">
        <f t="shared" si="145"/>
        <v>0.1274529181703323</v>
      </c>
      <c r="O347" s="332">
        <f t="shared" si="146"/>
        <v>1.0027516826364393</v>
      </c>
      <c r="P347" s="333">
        <f t="shared" si="147"/>
        <v>0.18645747381827824</v>
      </c>
      <c r="Q347" s="334">
        <f t="shared" si="148"/>
        <v>2.3038013987034622</v>
      </c>
      <c r="R347" s="335">
        <f t="shared" si="149"/>
        <v>-108.18187834230126</v>
      </c>
      <c r="S347" s="337">
        <f t="shared" si="150"/>
        <v>71.81812165769874</v>
      </c>
      <c r="U347" s="310">
        <f t="shared" si="155"/>
        <v>1000000000</v>
      </c>
      <c r="V347" s="310">
        <f t="shared" si="156"/>
        <v>708038881</v>
      </c>
      <c r="X347" s="336">
        <f t="shared" si="151"/>
        <v>1.2981875319676317</v>
      </c>
      <c r="Y347" s="337">
        <f t="shared" si="157"/>
        <v>-14.52494229910519</v>
      </c>
      <c r="AA347" s="336">
        <f t="shared" si="152"/>
        <v>1.0056138667358285</v>
      </c>
      <c r="AB347" s="337">
        <f t="shared" si="153"/>
        <v>-93.656936043196097</v>
      </c>
      <c r="AD347">
        <f t="shared" si="158"/>
        <v>0</v>
      </c>
      <c r="AE347">
        <f t="shared" si="161"/>
        <v>0</v>
      </c>
    </row>
    <row r="348" spans="1:31" x14ac:dyDescent="0.25">
      <c r="A348" s="338">
        <v>26762</v>
      </c>
      <c r="B348" s="355">
        <f t="shared" si="154"/>
        <v>26.762</v>
      </c>
      <c r="C348" s="328">
        <f t="shared" si="136"/>
        <v>9.0303645319397639</v>
      </c>
      <c r="D348" s="329">
        <f t="shared" si="137"/>
        <v>1.4598312426394933</v>
      </c>
      <c r="E348" s="329">
        <f t="shared" si="138"/>
        <v>1.0000615802392809</v>
      </c>
      <c r="F348" s="330">
        <f t="shared" si="139"/>
        <v>1.1097484340348671E-2</v>
      </c>
      <c r="G348" s="329">
        <f t="shared" si="140"/>
        <v>1</v>
      </c>
      <c r="H348" s="330">
        <f t="shared" si="141"/>
        <v>0</v>
      </c>
      <c r="I348" s="328">
        <f t="shared" si="142"/>
        <v>48536.199639947459</v>
      </c>
      <c r="J348" s="331">
        <f t="shared" si="143"/>
        <v>1.570775723616084</v>
      </c>
      <c r="K348" s="339">
        <f t="shared" si="159"/>
        <v>7.997790587555401</v>
      </c>
      <c r="L348" s="340">
        <f t="shared" si="160"/>
        <v>1.4454336909628758</v>
      </c>
      <c r="M348" s="328">
        <f t="shared" si="144"/>
        <v>1.0082713860637227</v>
      </c>
      <c r="N348" s="331">
        <f t="shared" si="145"/>
        <v>0.12817778599264967</v>
      </c>
      <c r="O348" s="332">
        <f t="shared" si="146"/>
        <v>1.002784618374807</v>
      </c>
      <c r="P348" s="333">
        <f t="shared" si="147"/>
        <v>0.18753607012229129</v>
      </c>
      <c r="Q348" s="334">
        <f t="shared" si="148"/>
        <v>2.252743993307738</v>
      </c>
      <c r="R348" s="335">
        <f t="shared" si="149"/>
        <v>-108.2769710681978</v>
      </c>
      <c r="S348" s="337">
        <f t="shared" si="150"/>
        <v>71.723028931802205</v>
      </c>
      <c r="U348" s="310">
        <f t="shared" si="155"/>
        <v>1000000000</v>
      </c>
      <c r="V348" s="310">
        <f t="shared" si="156"/>
        <v>716204644</v>
      </c>
      <c r="X348" s="336">
        <f t="shared" si="151"/>
        <v>1.296595410434997</v>
      </c>
      <c r="Y348" s="337">
        <f t="shared" si="157"/>
        <v>-14.525615647927621</v>
      </c>
      <c r="AA348" s="336">
        <f t="shared" si="152"/>
        <v>0.95614858287273963</v>
      </c>
      <c r="AB348" s="337">
        <f t="shared" si="153"/>
        <v>-93.751355420270173</v>
      </c>
      <c r="AD348">
        <f t="shared" si="158"/>
        <v>0</v>
      </c>
      <c r="AE348">
        <f t="shared" si="161"/>
        <v>0</v>
      </c>
    </row>
    <row r="349" spans="1:31" x14ac:dyDescent="0.25">
      <c r="A349" s="338">
        <v>26915</v>
      </c>
      <c r="B349" s="355">
        <f t="shared" si="154"/>
        <v>26.914999999999999</v>
      </c>
      <c r="C349" s="328">
        <f t="shared" si="136"/>
        <v>9.081360365765617</v>
      </c>
      <c r="D349" s="329">
        <f t="shared" si="137"/>
        <v>1.460456908833242</v>
      </c>
      <c r="E349" s="329">
        <f t="shared" si="138"/>
        <v>1.0000622863460595</v>
      </c>
      <c r="F349" s="330">
        <f t="shared" si="139"/>
        <v>1.1160924087242478E-2</v>
      </c>
      <c r="G349" s="329">
        <f t="shared" si="140"/>
        <v>1</v>
      </c>
      <c r="H349" s="330">
        <f t="shared" si="141"/>
        <v>0</v>
      </c>
      <c r="I349" s="328">
        <f t="shared" si="142"/>
        <v>48813.68407839632</v>
      </c>
      <c r="J349" s="331">
        <f t="shared" si="143"/>
        <v>1.5707758407361418</v>
      </c>
      <c r="K349" s="339">
        <f t="shared" si="159"/>
        <v>8.0428016183041748</v>
      </c>
      <c r="L349" s="340">
        <f t="shared" si="160"/>
        <v>1.4461389423141011</v>
      </c>
      <c r="M349" s="328">
        <f t="shared" si="144"/>
        <v>1.0083658389961998</v>
      </c>
      <c r="N349" s="331">
        <f t="shared" si="145"/>
        <v>0.12890251839996864</v>
      </c>
      <c r="O349" s="332">
        <f t="shared" si="146"/>
        <v>1.0028177704866219</v>
      </c>
      <c r="P349" s="333">
        <f t="shared" si="147"/>
        <v>0.18861477518262773</v>
      </c>
      <c r="Q349" s="334">
        <f t="shared" si="148"/>
        <v>2.2019669897127918</v>
      </c>
      <c r="R349" s="335">
        <f t="shared" si="149"/>
        <v>-108.37211241091823</v>
      </c>
      <c r="S349" s="337">
        <f t="shared" si="150"/>
        <v>71.627887589081766</v>
      </c>
      <c r="U349" s="310">
        <f t="shared" si="155"/>
        <v>1000000000</v>
      </c>
      <c r="V349" s="310">
        <f t="shared" si="156"/>
        <v>724417225</v>
      </c>
      <c r="X349" s="336">
        <f t="shared" si="151"/>
        <v>1.2950119786196546</v>
      </c>
      <c r="Y349" s="337">
        <f t="shared" si="157"/>
        <v>-14.526738540708539</v>
      </c>
      <c r="AA349" s="336">
        <f t="shared" si="152"/>
        <v>0.90695501109313548</v>
      </c>
      <c r="AB349" s="337">
        <f t="shared" si="153"/>
        <v>-93.845373870209698</v>
      </c>
      <c r="AD349">
        <f t="shared" si="158"/>
        <v>0</v>
      </c>
      <c r="AE349">
        <f t="shared" si="161"/>
        <v>0</v>
      </c>
    </row>
    <row r="350" spans="1:31" x14ac:dyDescent="0.25">
      <c r="A350" s="338">
        <v>27071.75</v>
      </c>
      <c r="B350" s="355">
        <f t="shared" si="154"/>
        <v>27.071750000000002</v>
      </c>
      <c r="C350" s="328">
        <f t="shared" si="136"/>
        <v>9.1336097425437046</v>
      </c>
      <c r="D350" s="329">
        <f t="shared" si="137"/>
        <v>1.4610906641849779</v>
      </c>
      <c r="E350" s="329">
        <f t="shared" si="138"/>
        <v>1.0000630139334044</v>
      </c>
      <c r="F350" s="330">
        <f t="shared" si="139"/>
        <v>1.1225918636719083E-2</v>
      </c>
      <c r="G350" s="329">
        <f t="shared" si="140"/>
        <v>1</v>
      </c>
      <c r="H350" s="330">
        <f t="shared" si="141"/>
        <v>0</v>
      </c>
      <c r="I350" s="328">
        <f t="shared" si="142"/>
        <v>49097.969606023551</v>
      </c>
      <c r="J350" s="331">
        <f t="shared" si="143"/>
        <v>1.5707759593538784</v>
      </c>
      <c r="K350" s="339">
        <f t="shared" si="159"/>
        <v>8.0889199624505963</v>
      </c>
      <c r="L350" s="340">
        <f t="shared" si="160"/>
        <v>1.4468533391737233</v>
      </c>
      <c r="M350" s="328">
        <f t="shared" si="144"/>
        <v>1.0084631561091348</v>
      </c>
      <c r="N350" s="331">
        <f t="shared" si="145"/>
        <v>0.12964487266624</v>
      </c>
      <c r="O350" s="332">
        <f t="shared" si="146"/>
        <v>1.0028519600344872</v>
      </c>
      <c r="P350" s="333">
        <f t="shared" si="147"/>
        <v>0.189720032450055</v>
      </c>
      <c r="Q350" s="334">
        <f t="shared" si="148"/>
        <v>2.1502328155473411</v>
      </c>
      <c r="R350" s="335">
        <f t="shared" si="149"/>
        <v>-108.46963521895415</v>
      </c>
      <c r="S350" s="337">
        <f t="shared" si="150"/>
        <v>71.530364781045847</v>
      </c>
      <c r="U350" s="310">
        <f t="shared" si="155"/>
        <v>1000000000</v>
      </c>
      <c r="V350" s="310">
        <f t="shared" si="156"/>
        <v>732879648.0625</v>
      </c>
      <c r="X350" s="336">
        <f t="shared" si="151"/>
        <v>1.2933984450809166</v>
      </c>
      <c r="Y350" s="337">
        <f t="shared" si="157"/>
        <v>-14.52834717841319</v>
      </c>
      <c r="AA350" s="336">
        <f t="shared" si="152"/>
        <v>0.85683437046642474</v>
      </c>
      <c r="AB350" s="337">
        <f t="shared" si="153"/>
        <v>-93.941288040540982</v>
      </c>
      <c r="AD350">
        <f t="shared" si="158"/>
        <v>0</v>
      </c>
      <c r="AE350">
        <f t="shared" si="161"/>
        <v>0</v>
      </c>
    </row>
    <row r="351" spans="1:31" x14ac:dyDescent="0.25">
      <c r="A351" s="338">
        <v>27228.5</v>
      </c>
      <c r="B351" s="355">
        <f t="shared" si="154"/>
        <v>27.2285</v>
      </c>
      <c r="C351" s="328">
        <f t="shared" si="136"/>
        <v>9.1858627460646129</v>
      </c>
      <c r="D351" s="329">
        <f t="shared" si="137"/>
        <v>1.4617172096585205</v>
      </c>
      <c r="E351" s="329">
        <f t="shared" si="138"/>
        <v>1.0000637457453008</v>
      </c>
      <c r="F351" s="330">
        <f t="shared" si="139"/>
        <v>1.1290913091348737E-2</v>
      </c>
      <c r="G351" s="329">
        <f t="shared" si="140"/>
        <v>1</v>
      </c>
      <c r="H351" s="330">
        <f t="shared" si="141"/>
        <v>0</v>
      </c>
      <c r="I351" s="328">
        <f t="shared" si="142"/>
        <v>49382.255133651452</v>
      </c>
      <c r="J351" s="331">
        <f t="shared" si="143"/>
        <v>1.5707760766058891</v>
      </c>
      <c r="K351" s="339">
        <f t="shared" si="159"/>
        <v>8.1350423880729359</v>
      </c>
      <c r="L351" s="340">
        <f t="shared" si="160"/>
        <v>1.4475596357034233</v>
      </c>
      <c r="M351" s="328">
        <f t="shared" si="144"/>
        <v>1.008561028868457</v>
      </c>
      <c r="N351" s="331">
        <f t="shared" si="145"/>
        <v>0.13038708326241419</v>
      </c>
      <c r="O351" s="332">
        <f t="shared" si="146"/>
        <v>1.0028863776929329</v>
      </c>
      <c r="P351" s="333">
        <f t="shared" si="147"/>
        <v>0.19082540502777606</v>
      </c>
      <c r="Q351" s="334">
        <f t="shared" si="148"/>
        <v>2.0987860440013653</v>
      </c>
      <c r="R351" s="335">
        <f t="shared" si="149"/>
        <v>-108.56720734840303</v>
      </c>
      <c r="S351" s="337">
        <f t="shared" si="150"/>
        <v>71.432792651596969</v>
      </c>
      <c r="U351" s="310">
        <f t="shared" si="155"/>
        <v>1000000000</v>
      </c>
      <c r="V351" s="310">
        <f t="shared" si="156"/>
        <v>741391212.25</v>
      </c>
      <c r="X351" s="336">
        <f t="shared" si="151"/>
        <v>1.2917934235000095</v>
      </c>
      <c r="Y351" s="337">
        <f t="shared" si="157"/>
        <v>-14.530411620895022</v>
      </c>
      <c r="AA351" s="336">
        <f t="shared" si="152"/>
        <v>0.80699262050135423</v>
      </c>
      <c r="AB351" s="337">
        <f t="shared" si="153"/>
        <v>-94.036795727508007</v>
      </c>
      <c r="AD351">
        <f t="shared" si="158"/>
        <v>0</v>
      </c>
      <c r="AE351">
        <f t="shared" si="161"/>
        <v>0</v>
      </c>
    </row>
    <row r="352" spans="1:31" x14ac:dyDescent="0.25">
      <c r="A352" s="338">
        <v>27385.25</v>
      </c>
      <c r="B352" s="355">
        <f t="shared" si="154"/>
        <v>27.385249999999999</v>
      </c>
      <c r="C352" s="328">
        <f t="shared" si="136"/>
        <v>9.2381193147871734</v>
      </c>
      <c r="D352" s="329">
        <f t="shared" si="137"/>
        <v>1.4623366671084488</v>
      </c>
      <c r="E352" s="329">
        <f t="shared" si="138"/>
        <v>1.0000644817817392</v>
      </c>
      <c r="F352" s="330">
        <f t="shared" si="139"/>
        <v>1.135590745058254E-2</v>
      </c>
      <c r="G352" s="329">
        <f t="shared" si="140"/>
        <v>1</v>
      </c>
      <c r="H352" s="330">
        <f t="shared" si="141"/>
        <v>0</v>
      </c>
      <c r="I352" s="328">
        <f t="shared" si="142"/>
        <v>49666.540661280029</v>
      </c>
      <c r="J352" s="331">
        <f t="shared" si="143"/>
        <v>1.5707761925156263</v>
      </c>
      <c r="K352" s="339">
        <f t="shared" si="159"/>
        <v>8.1811688261416116</v>
      </c>
      <c r="L352" s="340">
        <f t="shared" si="160"/>
        <v>1.4482579682044705</v>
      </c>
      <c r="M352" s="328">
        <f t="shared" si="144"/>
        <v>1.0086594571124188</v>
      </c>
      <c r="N352" s="331">
        <f t="shared" si="145"/>
        <v>0.13112914941269993</v>
      </c>
      <c r="O352" s="332">
        <f t="shared" si="146"/>
        <v>1.0029210239725688</v>
      </c>
      <c r="P352" s="333">
        <f t="shared" si="147"/>
        <v>0.19193089349936587</v>
      </c>
      <c r="Q352" s="334">
        <f t="shared" si="148"/>
        <v>2.0476232672373644</v>
      </c>
      <c r="R352" s="335">
        <f t="shared" si="149"/>
        <v>-108.66482796189244</v>
      </c>
      <c r="S352" s="337">
        <f t="shared" si="150"/>
        <v>71.335172038107558</v>
      </c>
      <c r="U352" s="310">
        <f t="shared" si="155"/>
        <v>1000000000</v>
      </c>
      <c r="V352" s="310">
        <f t="shared" si="156"/>
        <v>749951917.5625</v>
      </c>
      <c r="X352" s="336">
        <f t="shared" si="151"/>
        <v>1.2901966186888389</v>
      </c>
      <c r="Y352" s="337">
        <f t="shared" si="157"/>
        <v>-14.532924015560706</v>
      </c>
      <c r="AA352" s="336">
        <f t="shared" si="152"/>
        <v>0.75742664854852437</v>
      </c>
      <c r="AB352" s="337">
        <f t="shared" si="153"/>
        <v>-94.131903946331732</v>
      </c>
      <c r="AD352">
        <f t="shared" si="158"/>
        <v>0</v>
      </c>
      <c r="AE352">
        <f t="shared" si="161"/>
        <v>0</v>
      </c>
    </row>
    <row r="353" spans="1:31" x14ac:dyDescent="0.25">
      <c r="A353" s="338">
        <v>27542</v>
      </c>
      <c r="B353" s="355">
        <f t="shared" si="154"/>
        <v>27.542000000000002</v>
      </c>
      <c r="C353" s="328">
        <f t="shared" si="136"/>
        <v>9.2903793885506989</v>
      </c>
      <c r="D353" s="329">
        <f t="shared" si="137"/>
        <v>1.4629491556695662</v>
      </c>
      <c r="E353" s="329">
        <f t="shared" si="138"/>
        <v>1.0000652220427106</v>
      </c>
      <c r="F353" s="330">
        <f t="shared" si="139"/>
        <v>1.1420901713871598E-2</v>
      </c>
      <c r="G353" s="329">
        <f t="shared" si="140"/>
        <v>1</v>
      </c>
      <c r="H353" s="330">
        <f t="shared" si="141"/>
        <v>0</v>
      </c>
      <c r="I353" s="328">
        <f t="shared" si="142"/>
        <v>49950.826188909268</v>
      </c>
      <c r="J353" s="331">
        <f t="shared" si="143"/>
        <v>1.5707763071060072</v>
      </c>
      <c r="K353" s="339">
        <f t="shared" si="159"/>
        <v>8.227299209169157</v>
      </c>
      <c r="L353" s="340">
        <f t="shared" si="160"/>
        <v>1.4489484699526456</v>
      </c>
      <c r="M353" s="328">
        <f t="shared" si="144"/>
        <v>1.0087584406784182</v>
      </c>
      <c r="N353" s="331">
        <f t="shared" si="145"/>
        <v>0.13187107034224424</v>
      </c>
      <c r="O353" s="332">
        <f t="shared" si="146"/>
        <v>1.0029558993868619</v>
      </c>
      <c r="P353" s="333">
        <f t="shared" si="147"/>
        <v>0.19303649844693874</v>
      </c>
      <c r="Q353" s="334">
        <f t="shared" si="148"/>
        <v>1.9967411363984597</v>
      </c>
      <c r="R353" s="335">
        <f t="shared" si="149"/>
        <v>-108.76249623950547</v>
      </c>
      <c r="S353" s="337">
        <f t="shared" si="150"/>
        <v>71.237503760494533</v>
      </c>
      <c r="U353" s="310">
        <f t="shared" si="155"/>
        <v>1000000000</v>
      </c>
      <c r="V353" s="310">
        <f t="shared" si="156"/>
        <v>758561764</v>
      </c>
      <c r="X353" s="336">
        <f t="shared" si="151"/>
        <v>1.2886077438026375</v>
      </c>
      <c r="Y353" s="337">
        <f t="shared" si="157"/>
        <v>-14.535876683187768</v>
      </c>
      <c r="AA353" s="336">
        <f t="shared" si="152"/>
        <v>0.70813339259581887</v>
      </c>
      <c r="AB353" s="337">
        <f t="shared" si="153"/>
        <v>-94.226619556317715</v>
      </c>
      <c r="AD353">
        <f t="shared" si="158"/>
        <v>0</v>
      </c>
      <c r="AE353">
        <f t="shared" si="161"/>
        <v>0</v>
      </c>
    </row>
    <row r="354" spans="1:31" x14ac:dyDescent="0.25">
      <c r="A354" s="338">
        <v>27702.5</v>
      </c>
      <c r="B354" s="355">
        <f t="shared" si="154"/>
        <v>27.702500000000001</v>
      </c>
      <c r="C354" s="328">
        <f t="shared" si="136"/>
        <v>9.3438932737123679</v>
      </c>
      <c r="D354" s="329">
        <f t="shared" si="137"/>
        <v>1.4635691977544547</v>
      </c>
      <c r="E354" s="329">
        <f t="shared" si="138"/>
        <v>1.0000659843906048</v>
      </c>
      <c r="F354" s="330">
        <f t="shared" si="139"/>
        <v>1.1487450763853732E-2</v>
      </c>
      <c r="G354" s="329">
        <f t="shared" si="140"/>
        <v>1</v>
      </c>
      <c r="H354" s="330">
        <f t="shared" si="141"/>
        <v>0</v>
      </c>
      <c r="I354" s="328">
        <f t="shared" si="142"/>
        <v>50241.912805716915</v>
      </c>
      <c r="J354" s="331">
        <f t="shared" si="143"/>
        <v>1.5707764230940975</v>
      </c>
      <c r="K354" s="339">
        <f t="shared" si="159"/>
        <v>8.2745372086190976</v>
      </c>
      <c r="L354" s="340">
        <f t="shared" si="160"/>
        <v>1.4496475129863955</v>
      </c>
      <c r="M354" s="328">
        <f t="shared" si="144"/>
        <v>1.0088603675103647</v>
      </c>
      <c r="N354" s="331">
        <f t="shared" si="145"/>
        <v>0.13263058929446125</v>
      </c>
      <c r="O354" s="332">
        <f t="shared" si="146"/>
        <v>1.002991847103256</v>
      </c>
      <c r="P354" s="333">
        <f t="shared" si="147"/>
        <v>0.19416867456915135</v>
      </c>
      <c r="Q354" s="334">
        <f t="shared" si="148"/>
        <v>1.9449290898412843</v>
      </c>
      <c r="R354" s="335">
        <f t="shared" si="149"/>
        <v>-108.8625496284965</v>
      </c>
      <c r="S354" s="337">
        <f t="shared" si="150"/>
        <v>71.137450371503505</v>
      </c>
      <c r="U354" s="310">
        <f t="shared" si="155"/>
        <v>1000000000</v>
      </c>
      <c r="V354" s="310">
        <f t="shared" si="156"/>
        <v>767428506.25</v>
      </c>
      <c r="X354" s="336">
        <f t="shared" si="151"/>
        <v>1.286988783199515</v>
      </c>
      <c r="Y354" s="337">
        <f t="shared" si="157"/>
        <v>-14.539348343710117</v>
      </c>
      <c r="AA354" s="336">
        <f t="shared" si="152"/>
        <v>0.65794030664176872</v>
      </c>
      <c r="AB354" s="337">
        <f t="shared" si="153"/>
        <v>-94.32320128478635</v>
      </c>
      <c r="AD354">
        <f t="shared" si="158"/>
        <v>0</v>
      </c>
      <c r="AE354">
        <f t="shared" si="161"/>
        <v>0</v>
      </c>
    </row>
    <row r="355" spans="1:31" x14ac:dyDescent="0.25">
      <c r="A355" s="338">
        <v>27863</v>
      </c>
      <c r="B355" s="355">
        <f t="shared" si="154"/>
        <v>27.863</v>
      </c>
      <c r="C355" s="328">
        <f t="shared" si="136"/>
        <v>9.3974107102407096</v>
      </c>
      <c r="D355" s="329">
        <f t="shared" si="137"/>
        <v>1.4641821779012991</v>
      </c>
      <c r="E355" s="329">
        <f t="shared" si="138"/>
        <v>1.0000667511675605</v>
      </c>
      <c r="F355" s="330">
        <f t="shared" si="139"/>
        <v>1.1553999712080855E-2</v>
      </c>
      <c r="G355" s="329">
        <f t="shared" si="140"/>
        <v>1</v>
      </c>
      <c r="H355" s="330">
        <f t="shared" si="141"/>
        <v>0</v>
      </c>
      <c r="I355" s="328">
        <f t="shared" si="142"/>
        <v>50532.999422525223</v>
      </c>
      <c r="J355" s="331">
        <f t="shared" si="143"/>
        <v>1.5707765377459288</v>
      </c>
      <c r="K355" s="339">
        <f t="shared" si="159"/>
        <v>8.3217792056082018</v>
      </c>
      <c r="L355" s="340">
        <f t="shared" si="160"/>
        <v>1.4503386195449899</v>
      </c>
      <c r="M355" s="328">
        <f t="shared" si="144"/>
        <v>1.008962876204841</v>
      </c>
      <c r="N355" s="331">
        <f t="shared" si="145"/>
        <v>0.13338995435331877</v>
      </c>
      <c r="O355" s="332">
        <f t="shared" si="146"/>
        <v>1.003028036147535</v>
      </c>
      <c r="P355" s="333">
        <f t="shared" si="147"/>
        <v>0.19530097403749486</v>
      </c>
      <c r="Q355" s="334">
        <f t="shared" si="148"/>
        <v>1.8934043555214688</v>
      </c>
      <c r="R355" s="335">
        <f t="shared" si="149"/>
        <v>-108.96265130381393</v>
      </c>
      <c r="S355" s="337">
        <f t="shared" si="150"/>
        <v>71.037348696186072</v>
      </c>
      <c r="U355" s="310">
        <f t="shared" si="155"/>
        <v>1000000000</v>
      </c>
      <c r="V355" s="310">
        <f t="shared" si="156"/>
        <v>776346769</v>
      </c>
      <c r="X355" s="336">
        <f t="shared" si="151"/>
        <v>1.2853775534387688</v>
      </c>
      <c r="Y355" s="337">
        <f t="shared" si="157"/>
        <v>-14.543265836761616</v>
      </c>
      <c r="AA355" s="336">
        <f t="shared" si="152"/>
        <v>0.60802680208269977</v>
      </c>
      <c r="AB355" s="337">
        <f t="shared" si="153"/>
        <v>-94.419385467052308</v>
      </c>
      <c r="AD355">
        <f t="shared" si="158"/>
        <v>0</v>
      </c>
      <c r="AE355">
        <f t="shared" si="161"/>
        <v>0</v>
      </c>
    </row>
    <row r="356" spans="1:31" x14ac:dyDescent="0.25">
      <c r="A356" s="338">
        <v>28023.5</v>
      </c>
      <c r="B356" s="355">
        <f t="shared" si="154"/>
        <v>28.023499999999999</v>
      </c>
      <c r="C356" s="328">
        <f t="shared" si="136"/>
        <v>9.4509316378051516</v>
      </c>
      <c r="D356" s="329">
        <f t="shared" si="137"/>
        <v>1.4647882156214358</v>
      </c>
      <c r="E356" s="329">
        <f t="shared" si="138"/>
        <v>1.0000675223735676</v>
      </c>
      <c r="F356" s="330">
        <f t="shared" si="139"/>
        <v>1.1620548557963741E-2</v>
      </c>
      <c r="G356" s="329">
        <f t="shared" si="140"/>
        <v>1</v>
      </c>
      <c r="H356" s="330">
        <f t="shared" si="141"/>
        <v>0</v>
      </c>
      <c r="I356" s="328">
        <f t="shared" si="142"/>
        <v>50824.086039334186</v>
      </c>
      <c r="J356" s="331">
        <f t="shared" si="143"/>
        <v>1.570776651084461</v>
      </c>
      <c r="K356" s="339">
        <f t="shared" si="159"/>
        <v>8.3690251324397931</v>
      </c>
      <c r="L356" s="340">
        <f t="shared" si="160"/>
        <v>1.4510219233747061</v>
      </c>
      <c r="M356" s="328">
        <f t="shared" si="144"/>
        <v>1.0090659665845167</v>
      </c>
      <c r="N356" s="331">
        <f t="shared" si="145"/>
        <v>0.13414916469009844</v>
      </c>
      <c r="O356" s="332">
        <f t="shared" si="146"/>
        <v>1.0030644670802065</v>
      </c>
      <c r="P356" s="333">
        <f t="shared" si="147"/>
        <v>0.19643339747205341</v>
      </c>
      <c r="Q356" s="334">
        <f t="shared" si="148"/>
        <v>1.8421635218982817</v>
      </c>
      <c r="R356" s="335">
        <f t="shared" si="149"/>
        <v>-109.06280043925112</v>
      </c>
      <c r="S356" s="337">
        <f t="shared" si="150"/>
        <v>70.93719956074888</v>
      </c>
      <c r="U356" s="310">
        <f t="shared" si="155"/>
        <v>1000000000</v>
      </c>
      <c r="V356" s="310">
        <f t="shared" si="156"/>
        <v>785316552.25</v>
      </c>
      <c r="X356" s="336">
        <f t="shared" si="151"/>
        <v>1.2837737720058549</v>
      </c>
      <c r="Y356" s="337">
        <f t="shared" si="157"/>
        <v>-14.547621453078456</v>
      </c>
      <c r="AA356" s="336">
        <f t="shared" si="152"/>
        <v>0.55838974989242851</v>
      </c>
      <c r="AB356" s="337">
        <f t="shared" si="153"/>
        <v>-94.515178986172685</v>
      </c>
      <c r="AD356">
        <f t="shared" si="158"/>
        <v>0</v>
      </c>
      <c r="AE356">
        <f t="shared" si="161"/>
        <v>0</v>
      </c>
    </row>
    <row r="357" spans="1:31" x14ac:dyDescent="0.25">
      <c r="A357" s="338">
        <v>28184</v>
      </c>
      <c r="B357" s="355">
        <f t="shared" si="154"/>
        <v>28.184000000000001</v>
      </c>
      <c r="C357" s="328">
        <f t="shared" si="136"/>
        <v>9.5044559974301492</v>
      </c>
      <c r="D357" s="329">
        <f t="shared" si="137"/>
        <v>1.4653874277547501</v>
      </c>
      <c r="E357" s="329">
        <f t="shared" si="138"/>
        <v>1.0000682980086157</v>
      </c>
      <c r="F357" s="330">
        <f t="shared" si="139"/>
        <v>1.1687097300913168E-2</v>
      </c>
      <c r="G357" s="329">
        <f t="shared" si="140"/>
        <v>1</v>
      </c>
      <c r="H357" s="330">
        <f t="shared" si="141"/>
        <v>0</v>
      </c>
      <c r="I357" s="328">
        <f t="shared" si="142"/>
        <v>51115.172656143797</v>
      </c>
      <c r="J357" s="331">
        <f t="shared" si="143"/>
        <v>1.5707767631321308</v>
      </c>
      <c r="K357" s="339">
        <f t="shared" si="159"/>
        <v>8.4162749229317253</v>
      </c>
      <c r="L357" s="340">
        <f t="shared" si="160"/>
        <v>1.4516975552478846</v>
      </c>
      <c r="M357" s="328">
        <f t="shared" si="144"/>
        <v>1.0091696384711282</v>
      </c>
      <c r="N357" s="331">
        <f t="shared" si="145"/>
        <v>0.13490821947713302</v>
      </c>
      <c r="O357" s="332">
        <f t="shared" si="146"/>
        <v>1.0031011404649091</v>
      </c>
      <c r="P357" s="333">
        <f t="shared" si="147"/>
        <v>0.1975659454912681</v>
      </c>
      <c r="Q357" s="334">
        <f t="shared" si="148"/>
        <v>1.7912032364825361</v>
      </c>
      <c r="R357" s="335">
        <f t="shared" si="149"/>
        <v>-109.16299622586878</v>
      </c>
      <c r="S357" s="337">
        <f t="shared" si="150"/>
        <v>70.837003774131219</v>
      </c>
      <c r="U357" s="310">
        <f t="shared" si="155"/>
        <v>1000000000</v>
      </c>
      <c r="V357" s="310">
        <f t="shared" si="156"/>
        <v>794337856</v>
      </c>
      <c r="X357" s="336">
        <f t="shared" si="151"/>
        <v>1.2821771643940405</v>
      </c>
      <c r="Y357" s="337">
        <f t="shared" si="157"/>
        <v>-14.55240765382114</v>
      </c>
      <c r="AA357" s="336">
        <f t="shared" si="152"/>
        <v>0.50902607208849604</v>
      </c>
      <c r="AB357" s="337">
        <f t="shared" si="153"/>
        <v>-94.610588572047646</v>
      </c>
      <c r="AD357">
        <f t="shared" si="158"/>
        <v>0</v>
      </c>
      <c r="AE357">
        <f t="shared" si="161"/>
        <v>0</v>
      </c>
    </row>
    <row r="358" spans="1:31" x14ac:dyDescent="0.25">
      <c r="A358" s="338">
        <v>28348</v>
      </c>
      <c r="B358" s="355">
        <f t="shared" si="154"/>
        <v>28.347999999999999</v>
      </c>
      <c r="C358" s="328">
        <f t="shared" si="136"/>
        <v>9.5591510400852595</v>
      </c>
      <c r="D358" s="329">
        <f t="shared" si="137"/>
        <v>1.4659927751925481</v>
      </c>
      <c r="E358" s="329">
        <f t="shared" si="138"/>
        <v>1.0000690951327822</v>
      </c>
      <c r="F358" s="330">
        <f t="shared" si="139"/>
        <v>1.1755097155618233E-2</v>
      </c>
      <c r="G358" s="329">
        <f t="shared" si="140"/>
        <v>1</v>
      </c>
      <c r="H358" s="330">
        <f t="shared" si="141"/>
        <v>0</v>
      </c>
      <c r="I358" s="328">
        <f t="shared" si="142"/>
        <v>51412.606956186675</v>
      </c>
      <c r="J358" s="331">
        <f t="shared" si="143"/>
        <v>1.5707768763126264</v>
      </c>
      <c r="K358" s="339">
        <f t="shared" si="159"/>
        <v>8.4645590063277876</v>
      </c>
      <c r="L358" s="340">
        <f t="shared" si="160"/>
        <v>1.4523801288315994</v>
      </c>
      <c r="M358" s="328">
        <f t="shared" si="144"/>
        <v>1.0092761715953957</v>
      </c>
      <c r="N358" s="331">
        <f t="shared" si="145"/>
        <v>0.13568366532591697</v>
      </c>
      <c r="O358" s="332">
        <f t="shared" si="146"/>
        <v>1.0031388646108128</v>
      </c>
      <c r="P358" s="333">
        <f t="shared" si="147"/>
        <v>0.19872332015052246</v>
      </c>
      <c r="Q358" s="334">
        <f t="shared" si="148"/>
        <v>1.7394180315369963</v>
      </c>
      <c r="R358" s="335">
        <f t="shared" si="149"/>
        <v>-109.26542433150628</v>
      </c>
      <c r="S358" s="337">
        <f t="shared" si="150"/>
        <v>70.734575668493719</v>
      </c>
      <c r="U358" s="310">
        <f t="shared" si="155"/>
        <v>1000000000</v>
      </c>
      <c r="V358" s="310">
        <f t="shared" si="156"/>
        <v>803609104</v>
      </c>
      <c r="X358" s="336">
        <f t="shared" si="151"/>
        <v>1.2805528724633966</v>
      </c>
      <c r="Y358" s="337">
        <f t="shared" si="157"/>
        <v>-14.557735327414241</v>
      </c>
      <c r="AA358" s="336">
        <f t="shared" si="152"/>
        <v>0.45886515907359837</v>
      </c>
      <c r="AB358" s="337">
        <f t="shared" si="153"/>
        <v>-94.707689004092046</v>
      </c>
      <c r="AD358">
        <f t="shared" si="158"/>
        <v>0</v>
      </c>
      <c r="AE358">
        <f t="shared" si="161"/>
        <v>0</v>
      </c>
    </row>
    <row r="359" spans="1:31" x14ac:dyDescent="0.25">
      <c r="A359" s="338">
        <v>28512</v>
      </c>
      <c r="B359" s="355">
        <f t="shared" si="154"/>
        <v>28.512</v>
      </c>
      <c r="C359" s="328">
        <f t="shared" si="136"/>
        <v>9.6138495457902646</v>
      </c>
      <c r="D359" s="329">
        <f t="shared" si="137"/>
        <v>1.4665912345350161</v>
      </c>
      <c r="E359" s="329">
        <f t="shared" si="138"/>
        <v>1.0000698968812411</v>
      </c>
      <c r="F359" s="330">
        <f t="shared" si="139"/>
        <v>1.182309690160779E-2</v>
      </c>
      <c r="G359" s="329">
        <f t="shared" si="140"/>
        <v>1</v>
      </c>
      <c r="H359" s="330">
        <f t="shared" si="141"/>
        <v>0</v>
      </c>
      <c r="I359" s="328">
        <f t="shared" si="142"/>
        <v>51710.041256230208</v>
      </c>
      <c r="J359" s="331">
        <f t="shared" si="143"/>
        <v>1.570776988191102</v>
      </c>
      <c r="K359" s="339">
        <f t="shared" si="159"/>
        <v>8.5128469886809714</v>
      </c>
      <c r="L359" s="340">
        <f t="shared" si="160"/>
        <v>1.4530549591126145</v>
      </c>
      <c r="M359" s="328">
        <f t="shared" si="144"/>
        <v>1.0093833114855213</v>
      </c>
      <c r="N359" s="331">
        <f t="shared" si="145"/>
        <v>0.13645894702310127</v>
      </c>
      <c r="O359" s="332">
        <f t="shared" si="146"/>
        <v>1.0031768430980832</v>
      </c>
      <c r="P359" s="333">
        <f t="shared" si="147"/>
        <v>0.19988082618748429</v>
      </c>
      <c r="Q359" s="334">
        <f t="shared" si="148"/>
        <v>1.6879188498174402</v>
      </c>
      <c r="R359" s="335">
        <f t="shared" si="149"/>
        <v>-109.36789949073975</v>
      </c>
      <c r="S359" s="337">
        <f t="shared" si="150"/>
        <v>70.632100509260255</v>
      </c>
      <c r="U359" s="310">
        <f t="shared" si="155"/>
        <v>1000000000</v>
      </c>
      <c r="V359" s="310">
        <f t="shared" si="156"/>
        <v>812934144</v>
      </c>
      <c r="X359" s="336">
        <f t="shared" si="151"/>
        <v>1.2789355156136331</v>
      </c>
      <c r="Y359" s="337">
        <f t="shared" si="157"/>
        <v>-14.563497179777896</v>
      </c>
      <c r="AA359" s="336">
        <f t="shared" si="152"/>
        <v>0.40898333420380745</v>
      </c>
      <c r="AB359" s="337">
        <f t="shared" si="153"/>
        <v>-94.804402310961805</v>
      </c>
      <c r="AD359">
        <f t="shared" si="158"/>
        <v>0</v>
      </c>
      <c r="AE359">
        <f t="shared" si="161"/>
        <v>0</v>
      </c>
    </row>
    <row r="360" spans="1:31" x14ac:dyDescent="0.25">
      <c r="A360" s="338">
        <v>28676</v>
      </c>
      <c r="B360" s="355">
        <f t="shared" si="154"/>
        <v>28.675999999999998</v>
      </c>
      <c r="C360" s="328">
        <f t="shared" si="136"/>
        <v>9.6685514557699754</v>
      </c>
      <c r="D360" s="329">
        <f t="shared" si="137"/>
        <v>1.4671829222624369</v>
      </c>
      <c r="E360" s="329">
        <f t="shared" si="138"/>
        <v>1.0000707032539815</v>
      </c>
      <c r="F360" s="330">
        <f t="shared" si="139"/>
        <v>1.1891096538253243E-2</v>
      </c>
      <c r="G360" s="329">
        <f t="shared" si="140"/>
        <v>1</v>
      </c>
      <c r="H360" s="330">
        <f t="shared" si="141"/>
        <v>0</v>
      </c>
      <c r="I360" s="328">
        <f t="shared" si="142"/>
        <v>52007.475556274367</v>
      </c>
      <c r="J360" s="331">
        <f t="shared" si="143"/>
        <v>1.5707770987898961</v>
      </c>
      <c r="K360" s="339">
        <f t="shared" si="159"/>
        <v>8.5611388040166023</v>
      </c>
      <c r="L360" s="340">
        <f t="shared" si="160"/>
        <v>1.4537221765066957</v>
      </c>
      <c r="M360" s="328">
        <f t="shared" si="144"/>
        <v>1.0094910579483116</v>
      </c>
      <c r="N360" s="331">
        <f t="shared" si="145"/>
        <v>0.1372340636891162</v>
      </c>
      <c r="O360" s="332">
        <f t="shared" si="146"/>
        <v>1.003215076538166</v>
      </c>
      <c r="P360" s="333">
        <f t="shared" si="147"/>
        <v>0.20103846425656283</v>
      </c>
      <c r="Q360" s="334">
        <f t="shared" si="148"/>
        <v>1.6367022970549459</v>
      </c>
      <c r="R360" s="335">
        <f t="shared" si="149"/>
        <v>-109.4704208935399</v>
      </c>
      <c r="S360" s="337">
        <f t="shared" si="150"/>
        <v>70.529579106460105</v>
      </c>
      <c r="U360" s="310">
        <f t="shared" si="155"/>
        <v>1000000000</v>
      </c>
      <c r="V360" s="310">
        <f t="shared" si="156"/>
        <v>822312976</v>
      </c>
      <c r="X360" s="336">
        <f t="shared" si="151"/>
        <v>1.2773248252000482</v>
      </c>
      <c r="Y360" s="337">
        <f t="shared" si="157"/>
        <v>-14.569685689523435</v>
      </c>
      <c r="AA360" s="336">
        <f t="shared" si="152"/>
        <v>0.35937747185489677</v>
      </c>
      <c r="AB360" s="337">
        <f t="shared" si="153"/>
        <v>-94.900735204016442</v>
      </c>
      <c r="AD360">
        <f t="shared" si="158"/>
        <v>0</v>
      </c>
      <c r="AE360">
        <f t="shared" si="161"/>
        <v>0</v>
      </c>
    </row>
    <row r="361" spans="1:31" x14ac:dyDescent="0.25">
      <c r="A361" s="338">
        <v>28840</v>
      </c>
      <c r="B361" s="355">
        <f t="shared" si="154"/>
        <v>28.84</v>
      </c>
      <c r="C361" s="328">
        <f t="shared" si="136"/>
        <v>9.7232567125682312</v>
      </c>
      <c r="D361" s="329">
        <f t="shared" si="137"/>
        <v>1.467767952252927</v>
      </c>
      <c r="E361" s="329">
        <f t="shared" si="138"/>
        <v>1.0000715142509917</v>
      </c>
      <c r="F361" s="330">
        <f t="shared" si="139"/>
        <v>1.1959096064926008E-2</v>
      </c>
      <c r="G361" s="329">
        <f t="shared" si="140"/>
        <v>1</v>
      </c>
      <c r="H361" s="330">
        <f t="shared" si="141"/>
        <v>0</v>
      </c>
      <c r="I361" s="328">
        <f t="shared" si="142"/>
        <v>52304.909856319173</v>
      </c>
      <c r="J361" s="331">
        <f t="shared" si="143"/>
        <v>1.57077720813084</v>
      </c>
      <c r="K361" s="339">
        <f t="shared" si="159"/>
        <v>8.6094343878350834</v>
      </c>
      <c r="L361" s="340">
        <f t="shared" si="160"/>
        <v>1.4543819085307439</v>
      </c>
      <c r="M361" s="328">
        <f t="shared" si="144"/>
        <v>1.0095994107895629</v>
      </c>
      <c r="N361" s="331">
        <f t="shared" si="145"/>
        <v>0.13800901444555969</v>
      </c>
      <c r="O361" s="332">
        <f t="shared" si="146"/>
        <v>1.0032535655459136</v>
      </c>
      <c r="P361" s="333">
        <f t="shared" si="147"/>
        <v>0.20219623501033387</v>
      </c>
      <c r="Q361" s="334">
        <f t="shared" si="148"/>
        <v>1.5857650376205443</v>
      </c>
      <c r="R361" s="335">
        <f t="shared" si="149"/>
        <v>-109.57298774680994</v>
      </c>
      <c r="S361" s="337">
        <f t="shared" si="150"/>
        <v>70.427012253190057</v>
      </c>
      <c r="U361" s="310">
        <f t="shared" si="155"/>
        <v>1000000000</v>
      </c>
      <c r="V361" s="310">
        <f t="shared" si="156"/>
        <v>831745600</v>
      </c>
      <c r="X361" s="336">
        <f t="shared" si="151"/>
        <v>1.2757205402002689</v>
      </c>
      <c r="Y361" s="337">
        <f t="shared" si="157"/>
        <v>-14.576293501392689</v>
      </c>
      <c r="AA361" s="336">
        <f t="shared" si="152"/>
        <v>0.31004449742027429</v>
      </c>
      <c r="AB361" s="337">
        <f t="shared" si="153"/>
        <v>-94.996694245417288</v>
      </c>
      <c r="AD361">
        <f t="shared" si="158"/>
        <v>0</v>
      </c>
      <c r="AE361">
        <f t="shared" si="161"/>
        <v>0</v>
      </c>
    </row>
    <row r="362" spans="1:31" x14ac:dyDescent="0.25">
      <c r="A362" s="338">
        <v>29008</v>
      </c>
      <c r="B362" s="355">
        <f t="shared" si="154"/>
        <v>29.007999999999999</v>
      </c>
      <c r="C362" s="328">
        <f t="shared" si="136"/>
        <v>9.779299655469929</v>
      </c>
      <c r="D362" s="329">
        <f t="shared" si="137"/>
        <v>1.4683604643522765</v>
      </c>
      <c r="E362" s="329">
        <f t="shared" si="138"/>
        <v>1.0000723498232311</v>
      </c>
      <c r="F362" s="330">
        <f t="shared" si="139"/>
        <v>1.2028754001953712E-2</v>
      </c>
      <c r="G362" s="329">
        <f t="shared" si="140"/>
        <v>1</v>
      </c>
      <c r="H362" s="330">
        <f t="shared" si="141"/>
        <v>0</v>
      </c>
      <c r="I362" s="328">
        <f t="shared" si="142"/>
        <v>52609.598651487649</v>
      </c>
      <c r="J362" s="331">
        <f t="shared" si="143"/>
        <v>1.5707773188566934</v>
      </c>
      <c r="K362" s="339">
        <f t="shared" si="159"/>
        <v>8.6589117542832881</v>
      </c>
      <c r="L362" s="340">
        <f t="shared" si="160"/>
        <v>1.455050100458861</v>
      </c>
      <c r="M362" s="328">
        <f t="shared" si="144"/>
        <v>1.0097110349223757</v>
      </c>
      <c r="N362" s="331">
        <f t="shared" si="145"/>
        <v>0.13880269349421165</v>
      </c>
      <c r="O362" s="332">
        <f t="shared" si="146"/>
        <v>1.0032932589499586</v>
      </c>
      <c r="P362" s="333">
        <f t="shared" si="147"/>
        <v>0.20338238233385542</v>
      </c>
      <c r="Q362" s="334">
        <f t="shared" si="148"/>
        <v>1.533871573927549</v>
      </c>
      <c r="R362" s="335">
        <f t="shared" si="149"/>
        <v>-109.67810254576447</v>
      </c>
      <c r="S362" s="337">
        <f t="shared" si="150"/>
        <v>70.321897454235526</v>
      </c>
      <c r="U362" s="310">
        <f t="shared" si="155"/>
        <v>1000000000</v>
      </c>
      <c r="V362" s="310">
        <f t="shared" si="156"/>
        <v>841464064</v>
      </c>
      <c r="X362" s="336">
        <f t="shared" si="151"/>
        <v>1.2740835028601671</v>
      </c>
      <c r="Y362" s="337">
        <f t="shared" si="157"/>
        <v>-14.583489727914895</v>
      </c>
      <c r="AA362" s="336">
        <f t="shared" si="152"/>
        <v>0.25978807106738266</v>
      </c>
      <c r="AB362" s="337">
        <f t="shared" si="153"/>
        <v>-95.09461281784958</v>
      </c>
      <c r="AD362">
        <f t="shared" si="158"/>
        <v>0</v>
      </c>
      <c r="AE362">
        <f t="shared" si="161"/>
        <v>0</v>
      </c>
    </row>
    <row r="363" spans="1:31" x14ac:dyDescent="0.25">
      <c r="A363" s="338">
        <v>29176</v>
      </c>
      <c r="B363" s="355">
        <f t="shared" si="154"/>
        <v>29.175999999999998</v>
      </c>
      <c r="C363" s="328">
        <f t="shared" si="136"/>
        <v>9.8353459924695841</v>
      </c>
      <c r="D363" s="329">
        <f t="shared" si="137"/>
        <v>1.4689462238409663</v>
      </c>
      <c r="E363" s="329">
        <f t="shared" si="138"/>
        <v>1.0000731902480418</v>
      </c>
      <c r="F363" s="330">
        <f t="shared" si="139"/>
        <v>1.2098411822243464E-2</v>
      </c>
      <c r="G363" s="329">
        <f t="shared" si="140"/>
        <v>1</v>
      </c>
      <c r="H363" s="330">
        <f t="shared" si="141"/>
        <v>0</v>
      </c>
      <c r="I363" s="328">
        <f t="shared" si="142"/>
        <v>52914.287446656766</v>
      </c>
      <c r="J363" s="331">
        <f t="shared" si="143"/>
        <v>1.5707774283073932</v>
      </c>
      <c r="K363" s="339">
        <f t="shared" si="159"/>
        <v>8.7083929428350171</v>
      </c>
      <c r="L363" s="340">
        <f t="shared" si="160"/>
        <v>1.4557106993307416</v>
      </c>
      <c r="M363" s="328">
        <f t="shared" si="144"/>
        <v>1.0098232949580104</v>
      </c>
      <c r="N363" s="331">
        <f t="shared" si="145"/>
        <v>0.13959619657919556</v>
      </c>
      <c r="O363" s="332">
        <f t="shared" si="146"/>
        <v>1.0033332218575228</v>
      </c>
      <c r="P363" s="333">
        <f t="shared" si="147"/>
        <v>0.2045686702737779</v>
      </c>
      <c r="Q363" s="334">
        <f t="shared" si="148"/>
        <v>1.4822642905991432</v>
      </c>
      <c r="R363" s="335">
        <f t="shared" si="149"/>
        <v>-109.78326340708196</v>
      </c>
      <c r="S363" s="337">
        <f t="shared" si="150"/>
        <v>70.216736592918039</v>
      </c>
      <c r="U363" s="310">
        <f t="shared" si="155"/>
        <v>1000000000</v>
      </c>
      <c r="V363" s="310">
        <f t="shared" si="156"/>
        <v>851238976</v>
      </c>
      <c r="X363" s="336">
        <f t="shared" si="151"/>
        <v>1.2724526561370311</v>
      </c>
      <c r="Y363" s="337">
        <f t="shared" si="157"/>
        <v>-14.591110849477095</v>
      </c>
      <c r="AA363" s="336">
        <f t="shared" si="152"/>
        <v>0.20981163446210968</v>
      </c>
      <c r="AB363" s="337">
        <f t="shared" si="153"/>
        <v>-95.192152557604857</v>
      </c>
      <c r="AD363">
        <f t="shared" si="158"/>
        <v>0</v>
      </c>
      <c r="AE363">
        <f t="shared" si="161"/>
        <v>0</v>
      </c>
    </row>
    <row r="364" spans="1:31" x14ac:dyDescent="0.25">
      <c r="A364" s="338">
        <v>29344</v>
      </c>
      <c r="B364" s="355">
        <f t="shared" si="154"/>
        <v>29.344000000000001</v>
      </c>
      <c r="C364" s="328">
        <f t="shared" si="136"/>
        <v>9.8913956658725812</v>
      </c>
      <c r="D364" s="329">
        <f t="shared" si="137"/>
        <v>1.4695253451047448</v>
      </c>
      <c r="E364" s="329">
        <f t="shared" si="138"/>
        <v>1.0000740355254114</v>
      </c>
      <c r="F364" s="330">
        <f t="shared" si="139"/>
        <v>1.2168069525119568E-2</v>
      </c>
      <c r="G364" s="329">
        <f t="shared" si="140"/>
        <v>1</v>
      </c>
      <c r="H364" s="330">
        <f t="shared" si="141"/>
        <v>0</v>
      </c>
      <c r="I364" s="328">
        <f t="shared" si="142"/>
        <v>53218.976241826516</v>
      </c>
      <c r="J364" s="331">
        <f t="shared" si="143"/>
        <v>1.5707775365048409</v>
      </c>
      <c r="K364" s="339">
        <f t="shared" si="159"/>
        <v>8.7578778887066928</v>
      </c>
      <c r="L364" s="340">
        <f t="shared" si="160"/>
        <v>1.4563638332748241</v>
      </c>
      <c r="M364" s="328">
        <f t="shared" si="144"/>
        <v>1.0099361906844146</v>
      </c>
      <c r="N364" s="331">
        <f t="shared" si="145"/>
        <v>0.1403895227601028</v>
      </c>
      <c r="O364" s="332">
        <f t="shared" si="146"/>
        <v>1.003373454940659</v>
      </c>
      <c r="P364" s="333">
        <f t="shared" si="147"/>
        <v>0.20575509952554558</v>
      </c>
      <c r="Q364" s="334">
        <f t="shared" si="148"/>
        <v>1.430939784640276</v>
      </c>
      <c r="R364" s="335">
        <f t="shared" si="149"/>
        <v>-109.88846953062237</v>
      </c>
      <c r="S364" s="337">
        <f t="shared" si="150"/>
        <v>70.111530469377627</v>
      </c>
      <c r="U364" s="310">
        <f t="shared" si="155"/>
        <v>1000000000</v>
      </c>
      <c r="V364" s="310">
        <f t="shared" si="156"/>
        <v>861070336</v>
      </c>
      <c r="X364" s="336">
        <f t="shared" si="151"/>
        <v>1.2708277426936534</v>
      </c>
      <c r="Y364" s="337">
        <f t="shared" si="157"/>
        <v>-14.59914947223394</v>
      </c>
      <c r="AA364" s="336">
        <f t="shared" si="152"/>
        <v>0.16011204194662471</v>
      </c>
      <c r="AB364" s="337">
        <f t="shared" si="153"/>
        <v>-95.289320058388441</v>
      </c>
      <c r="AD364">
        <f t="shared" si="158"/>
        <v>0</v>
      </c>
      <c r="AE364">
        <f t="shared" si="161"/>
        <v>0</v>
      </c>
    </row>
    <row r="365" spans="1:31" x14ac:dyDescent="0.25">
      <c r="A365" s="338">
        <v>29512</v>
      </c>
      <c r="B365" s="355">
        <f t="shared" si="154"/>
        <v>29.512</v>
      </c>
      <c r="C365" s="328">
        <f t="shared" si="136"/>
        <v>9.9474486192812481</v>
      </c>
      <c r="D365" s="329">
        <f t="shared" si="137"/>
        <v>1.4700979399691885</v>
      </c>
      <c r="E365" s="329">
        <f t="shared" si="138"/>
        <v>1.0000748856553274</v>
      </c>
      <c r="F365" s="330">
        <f t="shared" si="139"/>
        <v>1.223772710990634E-2</v>
      </c>
      <c r="G365" s="329">
        <f t="shared" si="140"/>
        <v>1</v>
      </c>
      <c r="H365" s="330">
        <f t="shared" si="141"/>
        <v>0</v>
      </c>
      <c r="I365" s="328">
        <f t="shared" si="142"/>
        <v>53523.66503699687</v>
      </c>
      <c r="J365" s="331">
        <f t="shared" si="143"/>
        <v>1.5707776434704388</v>
      </c>
      <c r="K365" s="339">
        <f t="shared" si="159"/>
        <v>8.80736652856584</v>
      </c>
      <c r="L365" s="340">
        <f t="shared" si="160"/>
        <v>1.457009627565534</v>
      </c>
      <c r="M365" s="328">
        <f t="shared" si="144"/>
        <v>1.0100497218884299</v>
      </c>
      <c r="N365" s="331">
        <f t="shared" si="145"/>
        <v>0.14118267109783489</v>
      </c>
      <c r="O365" s="332">
        <f t="shared" si="146"/>
        <v>1.0034139588751603</v>
      </c>
      <c r="P365" s="333">
        <f t="shared" si="147"/>
        <v>0.20694167078253611</v>
      </c>
      <c r="Q365" s="334">
        <f t="shared" si="148"/>
        <v>1.3798947118816902</v>
      </c>
      <c r="R365" s="335">
        <f t="shared" si="149"/>
        <v>-109.99372013300972</v>
      </c>
      <c r="S365" s="337">
        <f t="shared" si="150"/>
        <v>70.006279866990283</v>
      </c>
      <c r="U365" s="310">
        <f t="shared" si="155"/>
        <v>1000000000</v>
      </c>
      <c r="V365" s="310">
        <f t="shared" si="156"/>
        <v>870958144</v>
      </c>
      <c r="X365" s="336">
        <f t="shared" si="151"/>
        <v>1.2692085125215848</v>
      </c>
      <c r="Y365" s="337">
        <f t="shared" si="157"/>
        <v>-14.607598365909444</v>
      </c>
      <c r="AA365" s="336">
        <f t="shared" si="152"/>
        <v>0.11068619936010603</v>
      </c>
      <c r="AB365" s="337">
        <f t="shared" si="153"/>
        <v>-95.386121767100278</v>
      </c>
      <c r="AD365">
        <f t="shared" si="158"/>
        <v>0</v>
      </c>
      <c r="AE365">
        <f t="shared" si="161"/>
        <v>0</v>
      </c>
    </row>
    <row r="366" spans="1:31" x14ac:dyDescent="0.25">
      <c r="A366" s="338">
        <v>29684</v>
      </c>
      <c r="B366" s="355">
        <f t="shared" si="154"/>
        <v>29.684000000000001</v>
      </c>
      <c r="C366" s="328">
        <f t="shared" si="136"/>
        <v>10.004839507329763</v>
      </c>
      <c r="D366" s="329">
        <f t="shared" si="137"/>
        <v>1.47067752086589</v>
      </c>
      <c r="E366" s="329">
        <f t="shared" si="138"/>
        <v>1.0000757610536464</v>
      </c>
      <c r="F366" s="330">
        <f t="shared" si="139"/>
        <v>1.2309043085570764E-2</v>
      </c>
      <c r="G366" s="329">
        <f t="shared" si="140"/>
        <v>1</v>
      </c>
      <c r="H366" s="330">
        <f t="shared" si="141"/>
        <v>0</v>
      </c>
      <c r="I366" s="328">
        <f t="shared" si="142"/>
        <v>53835.608327290967</v>
      </c>
      <c r="J366" s="331">
        <f t="shared" si="143"/>
        <v>1.5707777517284838</v>
      </c>
      <c r="K366" s="339">
        <f t="shared" si="159"/>
        <v>8.858037231685417</v>
      </c>
      <c r="L366" s="340">
        <f t="shared" si="160"/>
        <v>1.4576633219456541</v>
      </c>
      <c r="M366" s="328">
        <f t="shared" si="144"/>
        <v>1.0101666143459713</v>
      </c>
      <c r="N366" s="331">
        <f t="shared" si="145"/>
        <v>0.14199451869542942</v>
      </c>
      <c r="O366" s="332">
        <f t="shared" si="146"/>
        <v>1.0034557085000584</v>
      </c>
      <c r="P366" s="333">
        <f t="shared" si="147"/>
        <v>0.20815664157506586</v>
      </c>
      <c r="Q366" s="334">
        <f t="shared" si="148"/>
        <v>1.3279203407277085</v>
      </c>
      <c r="R366" s="335">
        <f t="shared" si="149"/>
        <v>-110.10152198123326</v>
      </c>
      <c r="S366" s="337">
        <f t="shared" si="150"/>
        <v>69.898478018766738</v>
      </c>
      <c r="U366" s="310">
        <f t="shared" si="155"/>
        <v>1000000000</v>
      </c>
      <c r="V366" s="310">
        <f t="shared" si="156"/>
        <v>881139856</v>
      </c>
      <c r="X366" s="336">
        <f t="shared" si="151"/>
        <v>1.2675563634835394</v>
      </c>
      <c r="Y366" s="337">
        <f t="shared" si="157"/>
        <v>-14.61666608052659</v>
      </c>
      <c r="AA366" s="336">
        <f t="shared" si="152"/>
        <v>6.0363977244167887E-2</v>
      </c>
      <c r="AB366" s="337">
        <f t="shared" si="153"/>
        <v>-95.484855900706691</v>
      </c>
      <c r="AD366">
        <f t="shared" si="158"/>
        <v>0</v>
      </c>
      <c r="AE366">
        <f t="shared" si="161"/>
        <v>0</v>
      </c>
    </row>
    <row r="367" spans="1:31" x14ac:dyDescent="0.25">
      <c r="A367" s="338">
        <v>29856</v>
      </c>
      <c r="B367" s="355">
        <f t="shared" si="154"/>
        <v>29.856000000000002</v>
      </c>
      <c r="C367" s="328">
        <f t="shared" si="136"/>
        <v>10.062233717806556</v>
      </c>
      <c r="D367" s="329">
        <f t="shared" si="137"/>
        <v>1.4712504901831431</v>
      </c>
      <c r="E367" s="329">
        <f t="shared" si="138"/>
        <v>1.00007664153831</v>
      </c>
      <c r="F367" s="330">
        <f t="shared" si="139"/>
        <v>1.2380358936022278E-2</v>
      </c>
      <c r="G367" s="329">
        <f t="shared" si="140"/>
        <v>1</v>
      </c>
      <c r="H367" s="330">
        <f t="shared" si="141"/>
        <v>0</v>
      </c>
      <c r="I367" s="328">
        <f t="shared" si="142"/>
        <v>54147.551617585683</v>
      </c>
      <c r="J367" s="331">
        <f t="shared" si="143"/>
        <v>1.5707778587391825</v>
      </c>
      <c r="K367" s="339">
        <f t="shared" si="159"/>
        <v>8.9087116769296166</v>
      </c>
      <c r="L367" s="340">
        <f t="shared" si="160"/>
        <v>1.4583095799235628</v>
      </c>
      <c r="M367" s="328">
        <f t="shared" si="144"/>
        <v>1.0102841724464895</v>
      </c>
      <c r="N367" s="331">
        <f t="shared" si="145"/>
        <v>0.14280617789240435</v>
      </c>
      <c r="O367" s="332">
        <f t="shared" si="146"/>
        <v>1.0034977434731323</v>
      </c>
      <c r="P367" s="333">
        <f t="shared" si="147"/>
        <v>0.20937176267966739</v>
      </c>
      <c r="Q367" s="334">
        <f t="shared" si="148"/>
        <v>1.2762319565708955</v>
      </c>
      <c r="R367" s="335">
        <f t="shared" si="149"/>
        <v>-110.20936884171353</v>
      </c>
      <c r="S367" s="337">
        <f t="shared" si="150"/>
        <v>69.790631158286473</v>
      </c>
      <c r="U367" s="310">
        <f t="shared" si="155"/>
        <v>1000000000</v>
      </c>
      <c r="V367" s="310">
        <f t="shared" si="156"/>
        <v>891380736</v>
      </c>
      <c r="X367" s="336">
        <f t="shared" si="151"/>
        <v>1.2659096637145688</v>
      </c>
      <c r="Y367" s="337">
        <f t="shared" si="157"/>
        <v>-14.626149003577636</v>
      </c>
      <c r="AA367" s="336">
        <f t="shared" si="152"/>
        <v>1.0322292856326068E-2</v>
      </c>
      <c r="AB367" s="337">
        <f t="shared" si="153"/>
        <v>-95.583219838135875</v>
      </c>
      <c r="AD367">
        <f t="shared" si="158"/>
        <v>0</v>
      </c>
      <c r="AE367">
        <f t="shared" si="161"/>
        <v>0</v>
      </c>
    </row>
    <row r="368" spans="1:31" x14ac:dyDescent="0.25">
      <c r="A368" s="338">
        <v>30028</v>
      </c>
      <c r="B368" s="355">
        <f t="shared" si="154"/>
        <v>30.027999999999999</v>
      </c>
      <c r="C368" s="328">
        <f t="shared" si="136"/>
        <v>10.119631194181464</v>
      </c>
      <c r="D368" s="329">
        <f t="shared" si="137"/>
        <v>1.471816960042041</v>
      </c>
      <c r="E368" s="329">
        <f t="shared" si="138"/>
        <v>1.0000775271093052</v>
      </c>
      <c r="F368" s="330">
        <f t="shared" si="139"/>
        <v>1.2451674660535792E-2</v>
      </c>
      <c r="G368" s="329">
        <f t="shared" si="140"/>
        <v>1</v>
      </c>
      <c r="H368" s="330">
        <f t="shared" si="141"/>
        <v>0</v>
      </c>
      <c r="I368" s="328">
        <f t="shared" si="142"/>
        <v>54459.494907881002</v>
      </c>
      <c r="J368" s="331">
        <f t="shared" si="143"/>
        <v>1.5707779645239694</v>
      </c>
      <c r="K368" s="339">
        <f t="shared" si="159"/>
        <v>8.9593898008018975</v>
      </c>
      <c r="L368" s="340">
        <f t="shared" si="160"/>
        <v>1.4589485271451819</v>
      </c>
      <c r="M368" s="328">
        <f t="shared" si="144"/>
        <v>1.0104023959576467</v>
      </c>
      <c r="N368" s="331">
        <f t="shared" si="145"/>
        <v>0.14361764768528007</v>
      </c>
      <c r="O368" s="332">
        <f t="shared" si="146"/>
        <v>1.0035400645317754</v>
      </c>
      <c r="P368" s="333">
        <f t="shared" si="147"/>
        <v>0.21058703483362273</v>
      </c>
      <c r="Q368" s="334">
        <f t="shared" si="148"/>
        <v>1.2248261535572844</v>
      </c>
      <c r="R368" s="335">
        <f t="shared" si="149"/>
        <v>-110.31725992555245</v>
      </c>
      <c r="S368" s="337">
        <f t="shared" si="150"/>
        <v>69.682740074447551</v>
      </c>
      <c r="U368" s="310">
        <f t="shared" si="155"/>
        <v>1000000000</v>
      </c>
      <c r="V368" s="310">
        <f t="shared" si="156"/>
        <v>901680784</v>
      </c>
      <c r="X368" s="336">
        <f t="shared" si="151"/>
        <v>1.2642681672319283</v>
      </c>
      <c r="Y368" s="337">
        <f t="shared" si="157"/>
        <v>-14.636039879814524</v>
      </c>
      <c r="AA368" s="336">
        <f t="shared" si="152"/>
        <v>-3.9442013674641778E-2</v>
      </c>
      <c r="AB368" s="337">
        <f t="shared" si="153"/>
        <v>-95.681220045737945</v>
      </c>
      <c r="AD368">
        <f t="shared" si="158"/>
        <v>0</v>
      </c>
      <c r="AE368">
        <f t="shared" si="161"/>
        <v>0</v>
      </c>
    </row>
    <row r="369" spans="1:31" x14ac:dyDescent="0.25">
      <c r="A369" s="338">
        <v>30200</v>
      </c>
      <c r="B369" s="355">
        <f t="shared" si="154"/>
        <v>30.2</v>
      </c>
      <c r="C369" s="328">
        <f t="shared" si="136"/>
        <v>10.177031881196436</v>
      </c>
      <c r="D369" s="329">
        <f t="shared" si="137"/>
        <v>1.4723770400510283</v>
      </c>
      <c r="E369" s="329">
        <f t="shared" si="138"/>
        <v>1.000078417766618</v>
      </c>
      <c r="F369" s="330">
        <f t="shared" si="139"/>
        <v>1.252299025838623E-2</v>
      </c>
      <c r="G369" s="329">
        <f t="shared" si="140"/>
        <v>1</v>
      </c>
      <c r="H369" s="330">
        <f t="shared" si="141"/>
        <v>0</v>
      </c>
      <c r="I369" s="328">
        <f t="shared" si="142"/>
        <v>54771.43819817694</v>
      </c>
      <c r="J369" s="331">
        <f t="shared" si="143"/>
        <v>1.5707780691037905</v>
      </c>
      <c r="K369" s="339">
        <f t="shared" si="159"/>
        <v>9.010071541229733</v>
      </c>
      <c r="L369" s="340">
        <f t="shared" si="160"/>
        <v>1.459580286453581</v>
      </c>
      <c r="M369" s="328">
        <f t="shared" si="144"/>
        <v>1.0105212846458982</v>
      </c>
      <c r="N369" s="331">
        <f t="shared" si="145"/>
        <v>0.14442892707204316</v>
      </c>
      <c r="O369" s="332">
        <f t="shared" si="146"/>
        <v>1.0035826724174797</v>
      </c>
      <c r="P369" s="333">
        <f t="shared" si="147"/>
        <v>0.21180245877189008</v>
      </c>
      <c r="Q369" s="334">
        <f t="shared" si="148"/>
        <v>1.1736995847093847</v>
      </c>
      <c r="R369" s="335">
        <f t="shared" si="149"/>
        <v>-110.42519446040252</v>
      </c>
      <c r="S369" s="337">
        <f t="shared" si="150"/>
        <v>69.574805539597477</v>
      </c>
      <c r="U369" s="310">
        <f t="shared" si="155"/>
        <v>1000000000</v>
      </c>
      <c r="V369" s="310">
        <f t="shared" si="156"/>
        <v>912040000</v>
      </c>
      <c r="X369" s="336">
        <f t="shared" si="151"/>
        <v>1.26263163508225</v>
      </c>
      <c r="Y369" s="337">
        <f t="shared" si="157"/>
        <v>-14.646331614636757</v>
      </c>
      <c r="AA369" s="336">
        <f t="shared" si="152"/>
        <v>-8.8932050372865099E-2</v>
      </c>
      <c r="AB369" s="337">
        <f t="shared" si="153"/>
        <v>-95.778862845765744</v>
      </c>
      <c r="AD369">
        <f t="shared" si="158"/>
        <v>0</v>
      </c>
      <c r="AE369">
        <f t="shared" si="161"/>
        <v>0</v>
      </c>
    </row>
    <row r="370" spans="1:31" x14ac:dyDescent="0.25">
      <c r="A370" s="338">
        <v>30375.75</v>
      </c>
      <c r="B370" s="355">
        <f t="shared" si="154"/>
        <v>30.37575</v>
      </c>
      <c r="C370" s="328">
        <f t="shared" si="136"/>
        <v>10.23568729688094</v>
      </c>
      <c r="D370" s="329">
        <f t="shared" si="137"/>
        <v>1.4729428422543982</v>
      </c>
      <c r="E370" s="329">
        <f t="shared" si="138"/>
        <v>1.0000793330961846</v>
      </c>
      <c r="F370" s="330">
        <f t="shared" si="139"/>
        <v>1.2595860570530132E-2</v>
      </c>
      <c r="G370" s="329">
        <f t="shared" si="140"/>
        <v>1</v>
      </c>
      <c r="H370" s="330">
        <f t="shared" si="141"/>
        <v>0</v>
      </c>
      <c r="I370" s="328">
        <f t="shared" si="142"/>
        <v>55090.182577651452</v>
      </c>
      <c r="J370" s="331">
        <f t="shared" si="143"/>
        <v>1.5707781747403333</v>
      </c>
      <c r="K370" s="339">
        <f t="shared" si="159"/>
        <v>9.0618619340173723</v>
      </c>
      <c r="L370" s="340">
        <f t="shared" si="160"/>
        <v>1.4602185198537132</v>
      </c>
      <c r="M370" s="328">
        <f t="shared" si="144"/>
        <v>1.0106434522285876</v>
      </c>
      <c r="N370" s="331">
        <f t="shared" si="145"/>
        <v>0.14525769651682099</v>
      </c>
      <c r="O370" s="332">
        <f t="shared" si="146"/>
        <v>1.0036265063054259</v>
      </c>
      <c r="P370" s="333">
        <f t="shared" si="147"/>
        <v>0.21304453932508269</v>
      </c>
      <c r="Q370" s="334">
        <f t="shared" si="148"/>
        <v>1.1217433480387409</v>
      </c>
      <c r="R370" s="335">
        <f t="shared" si="149"/>
        <v>-110.53552631472783</v>
      </c>
      <c r="S370" s="337">
        <f t="shared" si="150"/>
        <v>69.464473685272168</v>
      </c>
      <c r="U370" s="310">
        <f t="shared" si="155"/>
        <v>1000000000</v>
      </c>
      <c r="V370" s="310">
        <f t="shared" si="156"/>
        <v>922686188.0625</v>
      </c>
      <c r="X370" s="336">
        <f t="shared" si="151"/>
        <v>1.260964309078688</v>
      </c>
      <c r="Y370" s="337">
        <f t="shared" si="157"/>
        <v>-14.657254578380622</v>
      </c>
      <c r="AA370" s="336">
        <f t="shared" si="152"/>
        <v>-0.13922096103994691</v>
      </c>
      <c r="AB370" s="337">
        <f t="shared" si="153"/>
        <v>-95.878271736347202</v>
      </c>
      <c r="AD370">
        <f t="shared" si="158"/>
        <v>0</v>
      </c>
      <c r="AE370">
        <f t="shared" si="161"/>
        <v>0</v>
      </c>
    </row>
    <row r="371" spans="1:31" x14ac:dyDescent="0.25">
      <c r="A371" s="338">
        <v>30551.5</v>
      </c>
      <c r="B371" s="355">
        <f t="shared" si="154"/>
        <v>30.551500000000001</v>
      </c>
      <c r="C371" s="328">
        <f t="shared" si="136"/>
        <v>10.294345951996275</v>
      </c>
      <c r="D371" s="329">
        <f t="shared" si="137"/>
        <v>1.4735021965914328</v>
      </c>
      <c r="E371" s="329">
        <f t="shared" si="138"/>
        <v>1.000080253736245</v>
      </c>
      <c r="F371" s="330">
        <f t="shared" si="139"/>
        <v>1.2668730748897093E-2</v>
      </c>
      <c r="G371" s="329">
        <f t="shared" si="140"/>
        <v>1</v>
      </c>
      <c r="H371" s="330">
        <f t="shared" si="141"/>
        <v>0</v>
      </c>
      <c r="I371" s="328">
        <f t="shared" si="142"/>
        <v>55408.926957126561</v>
      </c>
      <c r="J371" s="331">
        <f t="shared" si="143"/>
        <v>1.5707782791615104</v>
      </c>
      <c r="K371" s="339">
        <f t="shared" si="159"/>
        <v>9.1136559761269496</v>
      </c>
      <c r="L371" s="340">
        <f t="shared" si="160"/>
        <v>1.4608494991886181</v>
      </c>
      <c r="M371" s="328">
        <f t="shared" si="144"/>
        <v>1.0107663138125369</v>
      </c>
      <c r="N371" s="331">
        <f t="shared" si="145"/>
        <v>0.1460862650519226</v>
      </c>
      <c r="O371" s="332">
        <f t="shared" si="146"/>
        <v>1.0036706412420762</v>
      </c>
      <c r="P371" s="333">
        <f t="shared" si="147"/>
        <v>0.21428677989720052</v>
      </c>
      <c r="Q371" s="334">
        <f t="shared" si="148"/>
        <v>1.0700717712090382</v>
      </c>
      <c r="R371" s="335">
        <f t="shared" si="149"/>
        <v>-110.64590195600923</v>
      </c>
      <c r="S371" s="337">
        <f t="shared" si="150"/>
        <v>69.354098043990774</v>
      </c>
      <c r="U371" s="310">
        <f t="shared" si="155"/>
        <v>1000000000</v>
      </c>
      <c r="V371" s="310">
        <f t="shared" si="156"/>
        <v>933394152.25</v>
      </c>
      <c r="X371" s="336">
        <f t="shared" si="151"/>
        <v>1.2593016832761355</v>
      </c>
      <c r="Y371" s="337">
        <f t="shared" si="157"/>
        <v>-14.668581588534932</v>
      </c>
      <c r="AA371" s="336">
        <f t="shared" si="152"/>
        <v>-0.18922991206709971</v>
      </c>
      <c r="AB371" s="337">
        <f t="shared" si="153"/>
        <v>-95.977320367474277</v>
      </c>
      <c r="AD371">
        <f t="shared" si="158"/>
        <v>0</v>
      </c>
      <c r="AE371">
        <f t="shared" si="161"/>
        <v>0</v>
      </c>
    </row>
    <row r="372" spans="1:31" x14ac:dyDescent="0.25">
      <c r="A372" s="338">
        <v>30727.25</v>
      </c>
      <c r="B372" s="355">
        <f t="shared" si="154"/>
        <v>30.727250000000002</v>
      </c>
      <c r="C372" s="328">
        <f t="shared" si="136"/>
        <v>10.353007791479989</v>
      </c>
      <c r="D372" s="329">
        <f t="shared" si="137"/>
        <v>1.4740552123131077</v>
      </c>
      <c r="E372" s="329">
        <f t="shared" si="138"/>
        <v>1.0000811796867846</v>
      </c>
      <c r="F372" s="330">
        <f t="shared" si="139"/>
        <v>1.2741600792713586E-2</v>
      </c>
      <c r="G372" s="329">
        <f t="shared" si="140"/>
        <v>1</v>
      </c>
      <c r="H372" s="330">
        <f t="shared" si="141"/>
        <v>0</v>
      </c>
      <c r="I372" s="328">
        <f t="shared" si="142"/>
        <v>55727.671336602274</v>
      </c>
      <c r="J372" s="331">
        <f t="shared" si="143"/>
        <v>1.570778382388176</v>
      </c>
      <c r="K372" s="339">
        <f t="shared" si="159"/>
        <v>9.1654536056914342</v>
      </c>
      <c r="L372" s="340">
        <f t="shared" si="160"/>
        <v>1.4614733469383951</v>
      </c>
      <c r="M372" s="328">
        <f t="shared" si="144"/>
        <v>1.0108898691447035</v>
      </c>
      <c r="N372" s="331">
        <f t="shared" si="145"/>
        <v>0.14691463161314339</v>
      </c>
      <c r="O372" s="332">
        <f t="shared" si="146"/>
        <v>1.0037150780317277</v>
      </c>
      <c r="P372" s="333">
        <f t="shared" si="147"/>
        <v>0.21552918126472201</v>
      </c>
      <c r="Q372" s="334">
        <f t="shared" si="148"/>
        <v>1.0186814653453022</v>
      </c>
      <c r="R372" s="335">
        <f t="shared" si="149"/>
        <v>-110.75632061102739</v>
      </c>
      <c r="S372" s="337">
        <f t="shared" si="150"/>
        <v>69.243679388972609</v>
      </c>
      <c r="U372" s="310">
        <f t="shared" si="155"/>
        <v>1000000000</v>
      </c>
      <c r="V372" s="310">
        <f t="shared" si="156"/>
        <v>944163892.5625</v>
      </c>
      <c r="X372" s="336">
        <f t="shared" si="151"/>
        <v>1.2576435240025441</v>
      </c>
      <c r="Y372" s="337">
        <f t="shared" si="157"/>
        <v>-14.680305567727361</v>
      </c>
      <c r="AA372" s="336">
        <f t="shared" si="152"/>
        <v>-0.23896205865724268</v>
      </c>
      <c r="AB372" s="337">
        <f t="shared" si="153"/>
        <v>-96.076015043300032</v>
      </c>
      <c r="AD372">
        <f t="shared" si="158"/>
        <v>0</v>
      </c>
      <c r="AE372">
        <f t="shared" si="161"/>
        <v>0</v>
      </c>
    </row>
    <row r="373" spans="1:31" x14ac:dyDescent="0.25">
      <c r="A373" s="338">
        <v>30903</v>
      </c>
      <c r="B373" s="355">
        <f t="shared" si="154"/>
        <v>30.902999999999999</v>
      </c>
      <c r="C373" s="328">
        <f t="shared" si="136"/>
        <v>10.411672761507621</v>
      </c>
      <c r="D373" s="329">
        <f t="shared" si="137"/>
        <v>1.4746019962237931</v>
      </c>
      <c r="E373" s="329">
        <f t="shared" si="138"/>
        <v>1.0000821109477889</v>
      </c>
      <c r="F373" s="330">
        <f t="shared" si="139"/>
        <v>1.2814470701206107E-2</v>
      </c>
      <c r="G373" s="329">
        <f t="shared" si="140"/>
        <v>1</v>
      </c>
      <c r="H373" s="330">
        <f t="shared" si="141"/>
        <v>0</v>
      </c>
      <c r="I373" s="328">
        <f t="shared" si="142"/>
        <v>56046.415716078569</v>
      </c>
      <c r="J373" s="331">
        <f t="shared" si="143"/>
        <v>1.5707784844407109</v>
      </c>
      <c r="K373" s="339">
        <f t="shared" si="159"/>
        <v>9.2172547622302368</v>
      </c>
      <c r="L373" s="340">
        <f t="shared" si="160"/>
        <v>1.4620901828522732</v>
      </c>
      <c r="M373" s="328">
        <f t="shared" si="144"/>
        <v>1.0110141179707397</v>
      </c>
      <c r="N373" s="331">
        <f t="shared" si="145"/>
        <v>0.14774279513790636</v>
      </c>
      <c r="O373" s="332">
        <f t="shared" si="146"/>
        <v>1.0037598174831326</v>
      </c>
      <c r="P373" s="333">
        <f t="shared" si="147"/>
        <v>0.21677174420153281</v>
      </c>
      <c r="Q373" s="334">
        <f t="shared" si="148"/>
        <v>0.9675691000439185</v>
      </c>
      <c r="R373" s="335">
        <f t="shared" si="149"/>
        <v>-110.86678152276789</v>
      </c>
      <c r="S373" s="337">
        <f t="shared" si="150"/>
        <v>69.133218477232106</v>
      </c>
      <c r="U373" s="310">
        <f t="shared" si="155"/>
        <v>1000000000</v>
      </c>
      <c r="V373" s="310">
        <f t="shared" si="156"/>
        <v>954995409</v>
      </c>
      <c r="X373" s="336">
        <f t="shared" si="151"/>
        <v>1.2559896042754954</v>
      </c>
      <c r="Y373" s="337">
        <f t="shared" si="157"/>
        <v>-14.692419595119034</v>
      </c>
      <c r="AA373" s="336">
        <f t="shared" si="152"/>
        <v>-0.28842050423157883</v>
      </c>
      <c r="AB373" s="337">
        <f t="shared" si="153"/>
        <v>-96.174361927648874</v>
      </c>
      <c r="AD373">
        <f t="shared" si="158"/>
        <v>0</v>
      </c>
      <c r="AE373">
        <f t="shared" si="161"/>
        <v>0</v>
      </c>
    </row>
    <row r="374" spans="1:31" x14ac:dyDescent="0.25">
      <c r="A374" s="338">
        <v>31083</v>
      </c>
      <c r="B374" s="355">
        <f t="shared" si="154"/>
        <v>31.082999999999998</v>
      </c>
      <c r="C374" s="328">
        <f t="shared" si="136"/>
        <v>10.4717595623832</v>
      </c>
      <c r="D374" s="329">
        <f t="shared" si="137"/>
        <v>1.475155651926586</v>
      </c>
      <c r="E374" s="329">
        <f t="shared" si="138"/>
        <v>1.0000830702332468</v>
      </c>
      <c r="F374" s="330">
        <f t="shared" si="139"/>
        <v>1.2889102614342783E-2</v>
      </c>
      <c r="G374" s="329">
        <f t="shared" si="140"/>
        <v>1</v>
      </c>
      <c r="H374" s="330">
        <f t="shared" si="141"/>
        <v>0</v>
      </c>
      <c r="I374" s="328">
        <f t="shared" si="142"/>
        <v>56372.867996623885</v>
      </c>
      <c r="J374" s="331">
        <f t="shared" si="143"/>
        <v>1.570778587764835</v>
      </c>
      <c r="K374" s="339">
        <f t="shared" si="159"/>
        <v>9.2703121724747835</v>
      </c>
      <c r="L374" s="340">
        <f t="shared" si="160"/>
        <v>1.4627147892497043</v>
      </c>
      <c r="M374" s="328">
        <f t="shared" si="144"/>
        <v>1.0111420899761103</v>
      </c>
      <c r="N374" s="331">
        <f t="shared" si="145"/>
        <v>0.14859077380746133</v>
      </c>
      <c r="O374" s="332">
        <f t="shared" si="146"/>
        <v>1.0038059534058819</v>
      </c>
      <c r="P374" s="333">
        <f t="shared" si="147"/>
        <v>0.21804452317378664</v>
      </c>
      <c r="Q374" s="334">
        <f t="shared" si="148"/>
        <v>0.9155054152393628</v>
      </c>
      <c r="R374" s="335">
        <f t="shared" si="149"/>
        <v>-110.97995663618323</v>
      </c>
      <c r="S374" s="337">
        <f t="shared" si="150"/>
        <v>69.020043363816768</v>
      </c>
      <c r="U374" s="310">
        <f t="shared" si="155"/>
        <v>1000000000</v>
      </c>
      <c r="V374" s="310">
        <f t="shared" si="156"/>
        <v>966152889</v>
      </c>
      <c r="X374" s="336">
        <f t="shared" si="151"/>
        <v>1.2542998535208625</v>
      </c>
      <c r="Y374" s="337">
        <f t="shared" si="157"/>
        <v>-14.705223803622847</v>
      </c>
      <c r="AA374" s="336">
        <f t="shared" si="152"/>
        <v>-0.33879443828149725</v>
      </c>
      <c r="AB374" s="337">
        <f t="shared" si="153"/>
        <v>-96.274732832560375</v>
      </c>
      <c r="AD374">
        <f t="shared" si="158"/>
        <v>0</v>
      </c>
      <c r="AE374">
        <f t="shared" si="161"/>
        <v>0</v>
      </c>
    </row>
    <row r="375" spans="1:31" x14ac:dyDescent="0.25">
      <c r="A375" s="338">
        <v>31263</v>
      </c>
      <c r="B375" s="355">
        <f t="shared" si="154"/>
        <v>31.263000000000002</v>
      </c>
      <c r="C375" s="328">
        <f t="shared" si="136"/>
        <v>10.531849536588036</v>
      </c>
      <c r="D375" s="329">
        <f t="shared" si="137"/>
        <v>1.4757029899770697</v>
      </c>
      <c r="E375" s="329">
        <f t="shared" si="138"/>
        <v>1.0000840350890794</v>
      </c>
      <c r="F375" s="330">
        <f t="shared" si="139"/>
        <v>1.296373438388918E-2</v>
      </c>
      <c r="G375" s="329">
        <f t="shared" si="140"/>
        <v>1</v>
      </c>
      <c r="H375" s="330">
        <f t="shared" si="141"/>
        <v>0</v>
      </c>
      <c r="I375" s="328">
        <f t="shared" si="142"/>
        <v>56699.320277169791</v>
      </c>
      <c r="J375" s="331">
        <f t="shared" si="143"/>
        <v>1.5707786898991603</v>
      </c>
      <c r="K375" s="339">
        <f t="shared" si="159"/>
        <v>9.323373158211318</v>
      </c>
      <c r="L375" s="340">
        <f t="shared" si="160"/>
        <v>1.463332286392109</v>
      </c>
      <c r="M375" s="328">
        <f t="shared" si="144"/>
        <v>1.0112707888769008</v>
      </c>
      <c r="N375" s="331">
        <f t="shared" si="145"/>
        <v>0.14943853725127454</v>
      </c>
      <c r="O375" s="332">
        <f t="shared" si="146"/>
        <v>1.003852408536853</v>
      </c>
      <c r="P375" s="333">
        <f t="shared" si="147"/>
        <v>0.21931747325873599</v>
      </c>
      <c r="Q375" s="334">
        <f t="shared" si="148"/>
        <v>0.86372638679010305</v>
      </c>
      <c r="R375" s="335">
        <f t="shared" si="149"/>
        <v>-111.09317451765861</v>
      </c>
      <c r="S375" s="337">
        <f t="shared" si="150"/>
        <v>68.906825482341389</v>
      </c>
      <c r="U375" s="310">
        <f t="shared" si="155"/>
        <v>1000000000</v>
      </c>
      <c r="V375" s="310">
        <f t="shared" si="156"/>
        <v>977375169</v>
      </c>
      <c r="X375" s="336">
        <f t="shared" si="151"/>
        <v>1.2526140884447314</v>
      </c>
      <c r="Y375" s="337">
        <f t="shared" si="157"/>
        <v>-14.718422942738499</v>
      </c>
      <c r="AA375" s="336">
        <f t="shared" si="152"/>
        <v>-0.38888770165463027</v>
      </c>
      <c r="AB375" s="337">
        <f t="shared" si="153"/>
        <v>-96.374751574920111</v>
      </c>
      <c r="AD375">
        <f t="shared" si="158"/>
        <v>0</v>
      </c>
      <c r="AE375">
        <f t="shared" si="161"/>
        <v>0</v>
      </c>
    </row>
    <row r="376" spans="1:31" x14ac:dyDescent="0.25">
      <c r="A376" s="338">
        <v>31443</v>
      </c>
      <c r="B376" s="355">
        <f t="shared" si="154"/>
        <v>31.443000000000001</v>
      </c>
      <c r="C376" s="328">
        <f t="shared" si="136"/>
        <v>10.591942630113543</v>
      </c>
      <c r="D376" s="329">
        <f t="shared" si="137"/>
        <v>1.4762441175735557</v>
      </c>
      <c r="E376" s="329">
        <f t="shared" si="138"/>
        <v>1.0000850055152704</v>
      </c>
      <c r="F376" s="330">
        <f t="shared" si="139"/>
        <v>1.3038366009014332E-2</v>
      </c>
      <c r="G376" s="329">
        <f t="shared" si="140"/>
        <v>1</v>
      </c>
      <c r="H376" s="330">
        <f t="shared" si="141"/>
        <v>0</v>
      </c>
      <c r="I376" s="328">
        <f t="shared" si="142"/>
        <v>57025.772557716286</v>
      </c>
      <c r="J376" s="331">
        <f t="shared" si="143"/>
        <v>1.57077879086412</v>
      </c>
      <c r="K376" s="339">
        <f t="shared" si="159"/>
        <v>9.3764376587390252</v>
      </c>
      <c r="L376" s="340">
        <f t="shared" si="160"/>
        <v>1.4639427945057293</v>
      </c>
      <c r="M376" s="328">
        <f t="shared" si="144"/>
        <v>1.0114002143956224</v>
      </c>
      <c r="N376" s="331">
        <f t="shared" si="145"/>
        <v>0.15028608433316087</v>
      </c>
      <c r="O376" s="332">
        <f t="shared" si="146"/>
        <v>1.0038991837594087</v>
      </c>
      <c r="P376" s="333">
        <f t="shared" si="147"/>
        <v>0.22059059527922109</v>
      </c>
      <c r="Q376" s="334">
        <f t="shared" si="148"/>
        <v>0.81222861885529607</v>
      </c>
      <c r="R376" s="335">
        <f t="shared" si="149"/>
        <v>-111.20643440401365</v>
      </c>
      <c r="S376" s="337">
        <f t="shared" si="150"/>
        <v>68.793565595986351</v>
      </c>
      <c r="U376" s="310">
        <f t="shared" si="155"/>
        <v>1000000000</v>
      </c>
      <c r="V376" s="310">
        <f t="shared" si="156"/>
        <v>988662249</v>
      </c>
      <c r="X376" s="336">
        <f t="shared" si="151"/>
        <v>1.2509320855889359</v>
      </c>
      <c r="Y376" s="337">
        <f t="shared" si="157"/>
        <v>-14.732010060081873</v>
      </c>
      <c r="AA376" s="336">
        <f t="shared" si="152"/>
        <v>-0.43870346673364097</v>
      </c>
      <c r="AB376" s="337">
        <f t="shared" si="153"/>
        <v>-96.474424343931801</v>
      </c>
      <c r="AD376">
        <f t="shared" si="158"/>
        <v>0</v>
      </c>
      <c r="AE376">
        <f t="shared" si="161"/>
        <v>0</v>
      </c>
    </row>
    <row r="377" spans="1:31" x14ac:dyDescent="0.25">
      <c r="A377" s="338">
        <v>31623</v>
      </c>
      <c r="B377" s="355">
        <f t="shared" si="154"/>
        <v>31.623000000000001</v>
      </c>
      <c r="C377" s="328">
        <f t="shared" si="136"/>
        <v>10.652038790167113</v>
      </c>
      <c r="D377" s="329">
        <f t="shared" si="137"/>
        <v>1.4767791395099481</v>
      </c>
      <c r="E377" s="329">
        <f t="shared" si="138"/>
        <v>1.0000859815118035</v>
      </c>
      <c r="F377" s="330">
        <f t="shared" si="139"/>
        <v>1.3112997488887281E-2</v>
      </c>
      <c r="G377" s="329">
        <f t="shared" si="140"/>
        <v>1</v>
      </c>
      <c r="H377" s="330">
        <f t="shared" si="141"/>
        <v>0</v>
      </c>
      <c r="I377" s="328">
        <f t="shared" si="142"/>
        <v>57352.224838263348</v>
      </c>
      <c r="J377" s="331">
        <f t="shared" si="143"/>
        <v>1.5707788906796827</v>
      </c>
      <c r="K377" s="339">
        <f t="shared" si="159"/>
        <v>9.4295056147194938</v>
      </c>
      <c r="L377" s="340">
        <f t="shared" si="160"/>
        <v>1.46454643113145</v>
      </c>
      <c r="M377" s="328">
        <f t="shared" si="144"/>
        <v>1.0115303662533626</v>
      </c>
      <c r="N377" s="331">
        <f t="shared" si="145"/>
        <v>0.15113341391875848</v>
      </c>
      <c r="O377" s="332">
        <f t="shared" si="146"/>
        <v>1.0039462799617977</v>
      </c>
      <c r="P377" s="333">
        <f t="shared" si="147"/>
        <v>0.22186389005516244</v>
      </c>
      <c r="Q377" s="334">
        <f t="shared" si="148"/>
        <v>0.76100877420971291</v>
      </c>
      <c r="R377" s="335">
        <f t="shared" si="149"/>
        <v>-111.31973554807577</v>
      </c>
      <c r="S377" s="337">
        <f t="shared" si="150"/>
        <v>68.680264451924231</v>
      </c>
      <c r="U377" s="310">
        <f t="shared" si="155"/>
        <v>1000000000</v>
      </c>
      <c r="V377" s="310">
        <f t="shared" si="156"/>
        <v>1000014129</v>
      </c>
      <c r="X377" s="336">
        <f t="shared" si="151"/>
        <v>1.249253627921127</v>
      </c>
      <c r="Y377" s="337">
        <f t="shared" si="157"/>
        <v>-14.74597835720631</v>
      </c>
      <c r="AA377" s="336">
        <f t="shared" si="152"/>
        <v>-0.48824485371141474</v>
      </c>
      <c r="AB377" s="337">
        <f t="shared" si="153"/>
        <v>-96.573757190869458</v>
      </c>
      <c r="AD377">
        <f t="shared" si="158"/>
        <v>0</v>
      </c>
      <c r="AE377">
        <f t="shared" si="161"/>
        <v>0</v>
      </c>
    </row>
    <row r="378" spans="1:31" x14ac:dyDescent="0.25">
      <c r="A378" s="338">
        <v>31807</v>
      </c>
      <c r="B378" s="355">
        <f t="shared" si="154"/>
        <v>31.806999999999999</v>
      </c>
      <c r="C378" s="328">
        <f t="shared" si="136"/>
        <v>10.713473536214799</v>
      </c>
      <c r="D378" s="329">
        <f t="shared" si="137"/>
        <v>1.4773198468010806</v>
      </c>
      <c r="E378" s="329">
        <f t="shared" si="138"/>
        <v>1.0000869849545269</v>
      </c>
      <c r="F378" s="330">
        <f t="shared" si="139"/>
        <v>1.3189287295095721E-2</v>
      </c>
      <c r="G378" s="329">
        <f t="shared" si="140"/>
        <v>1</v>
      </c>
      <c r="H378" s="330">
        <f t="shared" si="141"/>
        <v>0</v>
      </c>
      <c r="I378" s="328">
        <f t="shared" si="142"/>
        <v>57685.93161393427</v>
      </c>
      <c r="J378" s="331">
        <f t="shared" si="143"/>
        <v>1.5707789915456933</v>
      </c>
      <c r="K378" s="339">
        <f t="shared" si="159"/>
        <v>9.4837563696996412</v>
      </c>
      <c r="L378" s="340">
        <f t="shared" si="160"/>
        <v>1.4651564993245698</v>
      </c>
      <c r="M378" s="328">
        <f t="shared" si="144"/>
        <v>1.011664160812368</v>
      </c>
      <c r="N378" s="331">
        <f t="shared" si="145"/>
        <v>0.1519993470716135</v>
      </c>
      <c r="O378" s="332">
        <f t="shared" si="146"/>
        <v>1.003994755434866</v>
      </c>
      <c r="P378" s="333">
        <f t="shared" si="147"/>
        <v>0.2231656596778524</v>
      </c>
      <c r="Q378" s="334">
        <f t="shared" si="148"/>
        <v>0.70893455193295463</v>
      </c>
      <c r="R378" s="335">
        <f t="shared" si="149"/>
        <v>-111.43559637681969</v>
      </c>
      <c r="S378" s="337">
        <f t="shared" si="150"/>
        <v>68.564403623180311</v>
      </c>
      <c r="U378" s="310">
        <f t="shared" si="155"/>
        <v>1000000000</v>
      </c>
      <c r="V378" s="310">
        <f t="shared" si="156"/>
        <v>1011685249</v>
      </c>
      <c r="X378" s="336">
        <f t="shared" si="151"/>
        <v>1.2475413159511963</v>
      </c>
      <c r="Y378" s="337">
        <f t="shared" si="157"/>
        <v>-14.760644118737879</v>
      </c>
      <c r="AA378" s="336">
        <f t="shared" si="152"/>
        <v>-0.53860676401824314</v>
      </c>
      <c r="AB378" s="337">
        <f t="shared" si="153"/>
        <v>-96.674952258081788</v>
      </c>
      <c r="AD378">
        <f t="shared" si="158"/>
        <v>0</v>
      </c>
      <c r="AE378">
        <f t="shared" si="161"/>
        <v>0</v>
      </c>
    </row>
    <row r="379" spans="1:31" x14ac:dyDescent="0.25">
      <c r="A379" s="338">
        <v>31991</v>
      </c>
      <c r="B379" s="355">
        <f t="shared" si="154"/>
        <v>31.991</v>
      </c>
      <c r="C379" s="328">
        <f t="shared" si="136"/>
        <v>10.774911378782111</v>
      </c>
      <c r="D379" s="329">
        <f t="shared" si="137"/>
        <v>1.4778543880915311</v>
      </c>
      <c r="E379" s="329">
        <f t="shared" si="138"/>
        <v>1.0000879942178795</v>
      </c>
      <c r="F379" s="330">
        <f t="shared" si="139"/>
        <v>1.3265576947768714E-2</v>
      </c>
      <c r="G379" s="329">
        <f t="shared" si="140"/>
        <v>1</v>
      </c>
      <c r="H379" s="330">
        <f t="shared" si="141"/>
        <v>0</v>
      </c>
      <c r="I379" s="328">
        <f t="shared" si="142"/>
        <v>58019.638389605774</v>
      </c>
      <c r="J379" s="331">
        <f t="shared" si="143"/>
        <v>1.5707790912514186</v>
      </c>
      <c r="K379" s="339">
        <f t="shared" si="159"/>
        <v>9.5380106142210899</v>
      </c>
      <c r="L379" s="340">
        <f t="shared" si="160"/>
        <v>1.4657596273432927</v>
      </c>
      <c r="M379" s="328">
        <f t="shared" si="144"/>
        <v>1.0117987137569016</v>
      </c>
      <c r="N379" s="331">
        <f t="shared" si="145"/>
        <v>0.15286505056311922</v>
      </c>
      <c r="O379" s="332">
        <f t="shared" si="146"/>
        <v>1.0040435682046072</v>
      </c>
      <c r="P379" s="333">
        <f t="shared" si="147"/>
        <v>0.22446761154249453</v>
      </c>
      <c r="Q379" s="334">
        <f t="shared" si="148"/>
        <v>0.65714387211966541</v>
      </c>
      <c r="R379" s="335">
        <f t="shared" si="149"/>
        <v>-111.55149878783628</v>
      </c>
      <c r="S379" s="337">
        <f t="shared" si="150"/>
        <v>68.44850121216372</v>
      </c>
      <c r="U379" s="310">
        <f t="shared" si="155"/>
        <v>1000000000</v>
      </c>
      <c r="V379" s="310">
        <f t="shared" si="156"/>
        <v>1023424081</v>
      </c>
      <c r="X379" s="336">
        <f t="shared" si="151"/>
        <v>1.2458322695071984</v>
      </c>
      <c r="Y379" s="337">
        <f t="shared" si="157"/>
        <v>-14.775694297866442</v>
      </c>
      <c r="AA379" s="336">
        <f t="shared" si="152"/>
        <v>-0.58868839738753365</v>
      </c>
      <c r="AB379" s="337">
        <f t="shared" si="153"/>
        <v>-96.775804489969829</v>
      </c>
      <c r="AD379">
        <f t="shared" si="158"/>
        <v>0</v>
      </c>
      <c r="AE379">
        <f t="shared" si="161"/>
        <v>0</v>
      </c>
    </row>
    <row r="380" spans="1:31" x14ac:dyDescent="0.25">
      <c r="A380" s="338">
        <v>32175</v>
      </c>
      <c r="B380" s="355">
        <f t="shared" si="154"/>
        <v>32.174999999999997</v>
      </c>
      <c r="C380" s="328">
        <f t="shared" si="136"/>
        <v>10.836352265200917</v>
      </c>
      <c r="D380" s="329">
        <f t="shared" si="137"/>
        <v>1.4783828679547684</v>
      </c>
      <c r="E380" s="329">
        <f t="shared" si="138"/>
        <v>1.0000890093018435</v>
      </c>
      <c r="F380" s="330">
        <f t="shared" si="139"/>
        <v>1.3341866446018699E-2</v>
      </c>
      <c r="G380" s="329">
        <f t="shared" si="140"/>
        <v>1</v>
      </c>
      <c r="H380" s="330">
        <f t="shared" si="141"/>
        <v>0</v>
      </c>
      <c r="I380" s="328">
        <f t="shared" si="142"/>
        <v>58353.345165277839</v>
      </c>
      <c r="J380" s="331">
        <f t="shared" si="143"/>
        <v>1.5707791898167642</v>
      </c>
      <c r="K380" s="339">
        <f t="shared" si="159"/>
        <v>9.5922682890728908</v>
      </c>
      <c r="L380" s="340">
        <f t="shared" si="160"/>
        <v>1.4663559325142004</v>
      </c>
      <c r="M380" s="328">
        <f t="shared" si="144"/>
        <v>1.0119340247844444</v>
      </c>
      <c r="N380" s="331">
        <f t="shared" si="145"/>
        <v>0.15373052318755703</v>
      </c>
      <c r="O380" s="332">
        <f t="shared" si="146"/>
        <v>1.004092719235617</v>
      </c>
      <c r="P380" s="333">
        <f t="shared" si="147"/>
        <v>0.22576974651532328</v>
      </c>
      <c r="Q380" s="334">
        <f t="shared" si="148"/>
        <v>0.60563335137328178</v>
      </c>
      <c r="R380" s="335">
        <f t="shared" si="149"/>
        <v>-111.66744203216635</v>
      </c>
      <c r="S380" s="337">
        <f t="shared" si="150"/>
        <v>68.332557967833651</v>
      </c>
      <c r="U380" s="310">
        <f t="shared" si="155"/>
        <v>1000000000</v>
      </c>
      <c r="V380" s="310">
        <f t="shared" si="156"/>
        <v>1035230625</v>
      </c>
      <c r="X380" s="336">
        <f t="shared" si="151"/>
        <v>1.2441262762207408</v>
      </c>
      <c r="Y380" s="337">
        <f t="shared" si="157"/>
        <v>-14.791122104331937</v>
      </c>
      <c r="AA380" s="336">
        <f t="shared" si="152"/>
        <v>-0.63849292484745934</v>
      </c>
      <c r="AB380" s="337">
        <f t="shared" si="153"/>
        <v>-96.876319927834402</v>
      </c>
      <c r="AD380">
        <f t="shared" si="158"/>
        <v>0</v>
      </c>
      <c r="AE380">
        <f t="shared" si="161"/>
        <v>0</v>
      </c>
    </row>
    <row r="381" spans="1:31" x14ac:dyDescent="0.25">
      <c r="A381" s="338">
        <v>32359</v>
      </c>
      <c r="B381" s="355">
        <f t="shared" si="154"/>
        <v>32.359000000000002</v>
      </c>
      <c r="C381" s="328">
        <f t="shared" si="136"/>
        <v>10.897796143988256</v>
      </c>
      <c r="D381" s="329">
        <f t="shared" si="137"/>
        <v>1.4789053886195591</v>
      </c>
      <c r="E381" s="329">
        <f t="shared" si="138"/>
        <v>1.0000900302064013</v>
      </c>
      <c r="F381" s="330">
        <f t="shared" si="139"/>
        <v>1.3418155788958122E-2</v>
      </c>
      <c r="G381" s="329">
        <f t="shared" si="140"/>
        <v>1</v>
      </c>
      <c r="H381" s="330">
        <f t="shared" si="141"/>
        <v>0</v>
      </c>
      <c r="I381" s="328">
        <f t="shared" si="142"/>
        <v>58687.05194095047</v>
      </c>
      <c r="J381" s="331">
        <f t="shared" si="143"/>
        <v>1.5707792872611839</v>
      </c>
      <c r="K381" s="339">
        <f t="shared" si="159"/>
        <v>9.6465293363725451</v>
      </c>
      <c r="L381" s="340">
        <f t="shared" si="160"/>
        <v>1.466945529543719</v>
      </c>
      <c r="M381" s="328">
        <f t="shared" si="144"/>
        <v>1.0120700935909355</v>
      </c>
      <c r="N381" s="331">
        <f t="shared" si="145"/>
        <v>0.15459576374123485</v>
      </c>
      <c r="O381" s="332">
        <f t="shared" si="146"/>
        <v>1.0041422094978099</v>
      </c>
      <c r="P381" s="333">
        <f t="shared" si="147"/>
        <v>0.22707206545931014</v>
      </c>
      <c r="Q381" s="334">
        <f t="shared" si="148"/>
        <v>0.55439966461150181</v>
      </c>
      <c r="R381" s="335">
        <f t="shared" si="149"/>
        <v>-111.78342537653629</v>
      </c>
      <c r="S381" s="337">
        <f t="shared" si="150"/>
        <v>68.216574623463714</v>
      </c>
      <c r="U381" s="310">
        <f t="shared" si="155"/>
        <v>1000000000</v>
      </c>
      <c r="V381" s="310">
        <f t="shared" si="156"/>
        <v>1047104881</v>
      </c>
      <c r="X381" s="336">
        <f t="shared" si="151"/>
        <v>1.2424231298486157</v>
      </c>
      <c r="Y381" s="337">
        <f t="shared" si="157"/>
        <v>-14.806920898088412</v>
      </c>
      <c r="AA381" s="336">
        <f t="shared" si="152"/>
        <v>-0.68802346523711599</v>
      </c>
      <c r="AB381" s="337">
        <f t="shared" si="153"/>
        <v>-96.976504478447893</v>
      </c>
      <c r="AD381">
        <f t="shared" si="158"/>
        <v>0</v>
      </c>
      <c r="AE381">
        <f t="shared" si="161"/>
        <v>0</v>
      </c>
    </row>
    <row r="382" spans="1:31" x14ac:dyDescent="0.25">
      <c r="A382" s="338">
        <v>32547.5</v>
      </c>
      <c r="B382" s="355">
        <f t="shared" si="154"/>
        <v>32.547499999999999</v>
      </c>
      <c r="C382" s="328">
        <f t="shared" si="136"/>
        <v>10.960745776760138</v>
      </c>
      <c r="D382" s="329">
        <f t="shared" si="137"/>
        <v>1.4794346132062643</v>
      </c>
      <c r="E382" s="329">
        <f t="shared" si="138"/>
        <v>1.0000910821145765</v>
      </c>
      <c r="F382" s="330">
        <f t="shared" si="139"/>
        <v>1.3496310741889197E-2</v>
      </c>
      <c r="G382" s="329">
        <f t="shared" si="140"/>
        <v>1</v>
      </c>
      <c r="H382" s="330">
        <f t="shared" si="141"/>
        <v>0</v>
      </c>
      <c r="I382" s="328">
        <f t="shared" si="142"/>
        <v>59028.920023637402</v>
      </c>
      <c r="J382" s="331">
        <f t="shared" si="143"/>
        <v>1.5707793859462473</v>
      </c>
      <c r="K382" s="339">
        <f t="shared" si="159"/>
        <v>9.7021208581747196</v>
      </c>
      <c r="L382" s="340">
        <f t="shared" si="160"/>
        <v>1.4675427070706006</v>
      </c>
      <c r="M382" s="328">
        <f t="shared" si="144"/>
        <v>1.0122102756521816</v>
      </c>
      <c r="N382" s="331">
        <f t="shared" si="145"/>
        <v>0.15548192315945059</v>
      </c>
      <c r="O382" s="332">
        <f t="shared" si="146"/>
        <v>1.004193262916504</v>
      </c>
      <c r="P382" s="333">
        <f t="shared" si="147"/>
        <v>0.22840642626871122</v>
      </c>
      <c r="Q382" s="334">
        <f t="shared" si="148"/>
        <v>0.50219663620349475</v>
      </c>
      <c r="R382" s="335">
        <f t="shared" si="149"/>
        <v>-111.90228610264701</v>
      </c>
      <c r="S382" s="337">
        <f t="shared" si="150"/>
        <v>68.097713897352989</v>
      </c>
      <c r="U382" s="310">
        <f t="shared" si="155"/>
        <v>1000000000</v>
      </c>
      <c r="V382" s="310">
        <f t="shared" si="156"/>
        <v>1059339756.25</v>
      </c>
      <c r="X382" s="336">
        <f t="shared" si="151"/>
        <v>1.2406810732572082</v>
      </c>
      <c r="Y382" s="337">
        <f t="shared" si="157"/>
        <v>-14.823483995074128</v>
      </c>
      <c r="AA382" s="336">
        <f t="shared" si="152"/>
        <v>-0.73848443705371447</v>
      </c>
      <c r="AB382" s="337">
        <f t="shared" si="153"/>
        <v>-97.078802107572884</v>
      </c>
      <c r="AD382">
        <f t="shared" si="158"/>
        <v>0</v>
      </c>
      <c r="AE382">
        <f t="shared" si="161"/>
        <v>0</v>
      </c>
    </row>
    <row r="383" spans="1:31" x14ac:dyDescent="0.25">
      <c r="A383" s="338">
        <v>32736</v>
      </c>
      <c r="B383" s="355">
        <f t="shared" si="154"/>
        <v>32.735999999999997</v>
      </c>
      <c r="C383" s="328">
        <f t="shared" si="136"/>
        <v>11.023698444342218</v>
      </c>
      <c r="D383" s="329">
        <f t="shared" si="137"/>
        <v>1.4799577934876649</v>
      </c>
      <c r="E383" s="329">
        <f t="shared" si="138"/>
        <v>1.0000921401314919</v>
      </c>
      <c r="F383" s="330">
        <f t="shared" si="139"/>
        <v>1.357446552993437E-2</v>
      </c>
      <c r="G383" s="329">
        <f t="shared" si="140"/>
        <v>1</v>
      </c>
      <c r="H383" s="330">
        <f t="shared" si="141"/>
        <v>0</v>
      </c>
      <c r="I383" s="328">
        <f t="shared" si="142"/>
        <v>59370.788106324908</v>
      </c>
      <c r="J383" s="331">
        <f t="shared" si="143"/>
        <v>1.5707794834948168</v>
      </c>
      <c r="K383" s="339">
        <f t="shared" si="159"/>
        <v>9.7577158005319085</v>
      </c>
      <c r="L383" s="340">
        <f t="shared" si="160"/>
        <v>1.4681330799244621</v>
      </c>
      <c r="M383" s="328">
        <f t="shared" si="144"/>
        <v>1.0123512523599119</v>
      </c>
      <c r="N383" s="331">
        <f t="shared" si="145"/>
        <v>0.15636783646589858</v>
      </c>
      <c r="O383" s="332">
        <f t="shared" si="146"/>
        <v>1.0042446744399658</v>
      </c>
      <c r="P383" s="333">
        <f t="shared" si="147"/>
        <v>0.22974098198086379</v>
      </c>
      <c r="Q383" s="334">
        <f t="shared" si="148"/>
        <v>0.45027726526705997</v>
      </c>
      <c r="R383" s="335">
        <f t="shared" si="149"/>
        <v>-112.02118740488922</v>
      </c>
      <c r="S383" s="337">
        <f t="shared" si="150"/>
        <v>67.978812595110782</v>
      </c>
      <c r="U383" s="310">
        <f t="shared" si="155"/>
        <v>1000000000</v>
      </c>
      <c r="V383" s="310">
        <f t="shared" si="156"/>
        <v>1071645696</v>
      </c>
      <c r="X383" s="336">
        <f t="shared" si="151"/>
        <v>1.2389415851656689</v>
      </c>
      <c r="Y383" s="337">
        <f t="shared" si="157"/>
        <v>-14.840422804823396</v>
      </c>
      <c r="AA383" s="336">
        <f t="shared" si="152"/>
        <v>-0.78866431989861152</v>
      </c>
      <c r="AB383" s="337">
        <f t="shared" si="153"/>
        <v>-97.180764600065814</v>
      </c>
      <c r="AD383">
        <f t="shared" si="158"/>
        <v>0</v>
      </c>
      <c r="AE383">
        <f t="shared" si="161"/>
        <v>0</v>
      </c>
    </row>
    <row r="384" spans="1:31" x14ac:dyDescent="0.25">
      <c r="A384" s="338">
        <v>32924.5</v>
      </c>
      <c r="B384" s="355">
        <f t="shared" si="154"/>
        <v>32.924500000000002</v>
      </c>
      <c r="C384" s="328">
        <f t="shared" si="136"/>
        <v>11.086654095037364</v>
      </c>
      <c r="D384" s="329">
        <f t="shared" si="137"/>
        <v>1.4804750321427884</v>
      </c>
      <c r="E384" s="329">
        <f t="shared" si="138"/>
        <v>1.0000932042571282</v>
      </c>
      <c r="F384" s="330">
        <f t="shared" si="139"/>
        <v>1.3652620152139397E-2</v>
      </c>
      <c r="G384" s="329">
        <f t="shared" si="140"/>
        <v>1</v>
      </c>
      <c r="H384" s="330">
        <f t="shared" si="141"/>
        <v>0</v>
      </c>
      <c r="I384" s="328">
        <f t="shared" si="142"/>
        <v>59712.656189012974</v>
      </c>
      <c r="J384" s="331">
        <f t="shared" si="143"/>
        <v>1.5707795799264124</v>
      </c>
      <c r="K384" s="339">
        <f t="shared" si="159"/>
        <v>9.8133141053091464</v>
      </c>
      <c r="L384" s="340">
        <f t="shared" si="160"/>
        <v>1.4687167633478788</v>
      </c>
      <c r="M384" s="328">
        <f t="shared" si="144"/>
        <v>1.0124930233821934</v>
      </c>
      <c r="N384" s="331">
        <f t="shared" si="145"/>
        <v>0.15725350237306959</v>
      </c>
      <c r="O384" s="332">
        <f t="shared" si="146"/>
        <v>1.0042964451283569</v>
      </c>
      <c r="P384" s="333">
        <f t="shared" si="147"/>
        <v>0.23107573351283844</v>
      </c>
      <c r="Q384" s="334">
        <f t="shared" si="148"/>
        <v>0.39863815849405015</v>
      </c>
      <c r="R384" s="335">
        <f t="shared" si="149"/>
        <v>-112.14012854337315</v>
      </c>
      <c r="S384" s="337">
        <f t="shared" si="150"/>
        <v>67.859871456626848</v>
      </c>
      <c r="U384" s="310">
        <f t="shared" si="155"/>
        <v>1000000000</v>
      </c>
      <c r="V384" s="310">
        <f t="shared" si="156"/>
        <v>1084022700.25</v>
      </c>
      <c r="X384" s="336">
        <f t="shared" si="151"/>
        <v>1.2372044625146321</v>
      </c>
      <c r="Y384" s="337">
        <f t="shared" si="157"/>
        <v>-14.857730651772622</v>
      </c>
      <c r="AA384" s="336">
        <f t="shared" si="152"/>
        <v>-0.83856630402058485</v>
      </c>
      <c r="AB384" s="337">
        <f t="shared" si="153"/>
        <v>-97.282397891600525</v>
      </c>
      <c r="AD384">
        <f t="shared" si="158"/>
        <v>0</v>
      </c>
      <c r="AE384">
        <f t="shared" si="161"/>
        <v>0</v>
      </c>
    </row>
    <row r="385" spans="1:31" x14ac:dyDescent="0.25">
      <c r="A385" s="338">
        <v>33113</v>
      </c>
      <c r="B385" s="355">
        <f t="shared" si="154"/>
        <v>33.113</v>
      </c>
      <c r="C385" s="328">
        <f t="shared" si="136"/>
        <v>11.149612678313643</v>
      </c>
      <c r="D385" s="329">
        <f t="shared" si="137"/>
        <v>1.480986429544352</v>
      </c>
      <c r="E385" s="329">
        <f t="shared" si="138"/>
        <v>1.0000942744914656</v>
      </c>
      <c r="F385" s="330">
        <f t="shared" si="139"/>
        <v>1.3730774607550051E-2</v>
      </c>
      <c r="G385" s="329">
        <f t="shared" si="140"/>
        <v>1</v>
      </c>
      <c r="H385" s="330">
        <f t="shared" si="141"/>
        <v>0</v>
      </c>
      <c r="I385" s="328">
        <f t="shared" si="142"/>
        <v>60054.524271701586</v>
      </c>
      <c r="J385" s="331">
        <f t="shared" si="143"/>
        <v>1.5707796752601093</v>
      </c>
      <c r="K385" s="339">
        <f t="shared" si="159"/>
        <v>9.868915715678046</v>
      </c>
      <c r="L385" s="340">
        <f t="shared" si="160"/>
        <v>1.4692938700047822</v>
      </c>
      <c r="M385" s="328">
        <f t="shared" si="144"/>
        <v>1.0126355883854092</v>
      </c>
      <c r="N385" s="331">
        <f t="shared" si="145"/>
        <v>0.15813891959572601</v>
      </c>
      <c r="O385" s="332">
        <f t="shared" si="146"/>
        <v>1.0043485760476747</v>
      </c>
      <c r="P385" s="333">
        <f t="shared" si="147"/>
        <v>0.23241068177802737</v>
      </c>
      <c r="Q385" s="334">
        <f t="shared" si="148"/>
        <v>0.3472759811013677</v>
      </c>
      <c r="R385" s="335">
        <f t="shared" si="149"/>
        <v>-112.2591087937065</v>
      </c>
      <c r="S385" s="337">
        <f t="shared" si="150"/>
        <v>67.740891206293497</v>
      </c>
      <c r="U385" s="310">
        <f t="shared" si="155"/>
        <v>1000000000</v>
      </c>
      <c r="V385" s="310">
        <f t="shared" si="156"/>
        <v>1096470769</v>
      </c>
      <c r="X385" s="336">
        <f t="shared" si="151"/>
        <v>1.23546950813441</v>
      </c>
      <c r="Y385" s="337">
        <f t="shared" si="157"/>
        <v>-14.875401008208234</v>
      </c>
      <c r="AA385" s="336">
        <f t="shared" si="152"/>
        <v>-0.88819352703304266</v>
      </c>
      <c r="AB385" s="337">
        <f t="shared" si="153"/>
        <v>-97.383707785498302</v>
      </c>
      <c r="AD385">
        <f t="shared" si="158"/>
        <v>0</v>
      </c>
      <c r="AE385">
        <f t="shared" si="161"/>
        <v>0</v>
      </c>
    </row>
    <row r="386" spans="1:31" x14ac:dyDescent="0.25">
      <c r="A386" s="338">
        <v>33305.75</v>
      </c>
      <c r="B386" s="355">
        <f t="shared" si="154"/>
        <v>33.305750000000003</v>
      </c>
      <c r="C386" s="328">
        <f t="shared" si="136"/>
        <v>11.213993733239668</v>
      </c>
      <c r="D386" s="329">
        <f t="shared" si="137"/>
        <v>1.4815034190628578</v>
      </c>
      <c r="E386" s="329">
        <f t="shared" si="138"/>
        <v>1.0000953751725825</v>
      </c>
      <c r="F386" s="330">
        <f t="shared" si="139"/>
        <v>1.3810690992594944E-2</v>
      </c>
      <c r="G386" s="329">
        <f t="shared" si="140"/>
        <v>1</v>
      </c>
      <c r="H386" s="330">
        <f t="shared" si="141"/>
        <v>0</v>
      </c>
      <c r="I386" s="328">
        <f t="shared" si="142"/>
        <v>60404.100255459321</v>
      </c>
      <c r="J386" s="331">
        <f t="shared" si="143"/>
        <v>1.570779771627353</v>
      </c>
      <c r="K386" s="339">
        <f t="shared" si="159"/>
        <v>9.9257743036068042</v>
      </c>
      <c r="L386" s="340">
        <f t="shared" si="160"/>
        <v>1.4698773022402127</v>
      </c>
      <c r="M386" s="328">
        <f t="shared" si="144"/>
        <v>1.0127821884044801</v>
      </c>
      <c r="N386" s="331">
        <f t="shared" si="145"/>
        <v>0.15904404131139166</v>
      </c>
      <c r="O386" s="332">
        <f t="shared" si="146"/>
        <v>1.0044022559546244</v>
      </c>
      <c r="P386" s="333">
        <f t="shared" si="147"/>
        <v>0.23377593273067721</v>
      </c>
      <c r="Q386" s="334">
        <f t="shared" si="148"/>
        <v>0.29503872152479355</v>
      </c>
      <c r="R386" s="335">
        <f t="shared" si="149"/>
        <v>-112.3808113282621</v>
      </c>
      <c r="S386" s="337">
        <f t="shared" si="150"/>
        <v>67.619188671737902</v>
      </c>
      <c r="U386" s="310">
        <f t="shared" si="155"/>
        <v>1000000000</v>
      </c>
      <c r="V386" s="310">
        <f t="shared" si="156"/>
        <v>1109272983.0625</v>
      </c>
      <c r="X386" s="336">
        <f t="shared" si="151"/>
        <v>1.2336974794415387</v>
      </c>
      <c r="Y386" s="337">
        <f t="shared" si="157"/>
        <v>-14.893837979196871</v>
      </c>
      <c r="AA386" s="336">
        <f t="shared" si="152"/>
        <v>-0.93865875791674447</v>
      </c>
      <c r="AB386" s="337">
        <f t="shared" si="153"/>
        <v>-97.48697334906521</v>
      </c>
      <c r="AD386">
        <f t="shared" si="158"/>
        <v>0</v>
      </c>
      <c r="AE386">
        <f t="shared" si="161"/>
        <v>0</v>
      </c>
    </row>
    <row r="387" spans="1:31" x14ac:dyDescent="0.25">
      <c r="A387" s="338">
        <v>33498.5</v>
      </c>
      <c r="B387" s="355">
        <f t="shared" si="154"/>
        <v>33.4985</v>
      </c>
      <c r="C387" s="328">
        <f t="shared" si="136"/>
        <v>11.278377751202028</v>
      </c>
      <c r="D387" s="329">
        <f t="shared" si="137"/>
        <v>1.4820145061191183</v>
      </c>
      <c r="E387" s="329">
        <f t="shared" si="138"/>
        <v>1.0000964822409231</v>
      </c>
      <c r="F387" s="330">
        <f t="shared" si="139"/>
        <v>1.3890607201221502E-2</v>
      </c>
      <c r="G387" s="329">
        <f t="shared" si="140"/>
        <v>1</v>
      </c>
      <c r="H387" s="330">
        <f t="shared" si="141"/>
        <v>0</v>
      </c>
      <c r="I387" s="328">
        <f t="shared" si="142"/>
        <v>60753.676239217632</v>
      </c>
      <c r="J387" s="331">
        <f t="shared" si="143"/>
        <v>1.5707798668856048</v>
      </c>
      <c r="K387" s="339">
        <f t="shared" si="159"/>
        <v>9.9826362317126467</v>
      </c>
      <c r="L387" s="340">
        <f t="shared" si="160"/>
        <v>1.4704540881128245</v>
      </c>
      <c r="M387" s="328">
        <f t="shared" si="144"/>
        <v>1.0129296179000549</v>
      </c>
      <c r="N387" s="331">
        <f t="shared" si="145"/>
        <v>0.15994890029155553</v>
      </c>
      <c r="O387" s="332">
        <f t="shared" si="146"/>
        <v>1.0044563147924566</v>
      </c>
      <c r="P387" s="333">
        <f t="shared" si="147"/>
        <v>0.23514139130756698</v>
      </c>
      <c r="Q387" s="334">
        <f t="shared" si="148"/>
        <v>0.24308414886571522</v>
      </c>
      <c r="R387" s="335">
        <f t="shared" si="149"/>
        <v>-112.50255327410568</v>
      </c>
      <c r="S387" s="337">
        <f t="shared" si="150"/>
        <v>67.497446725894321</v>
      </c>
      <c r="U387" s="310">
        <f t="shared" si="155"/>
        <v>1000000000</v>
      </c>
      <c r="V387" s="310">
        <f t="shared" si="156"/>
        <v>1122149502.25</v>
      </c>
      <c r="X387" s="336">
        <f t="shared" si="151"/>
        <v>1.2319273189371835</v>
      </c>
      <c r="Y387" s="337">
        <f t="shared" si="157"/>
        <v>-14.912640641548622</v>
      </c>
      <c r="AA387" s="336">
        <f t="shared" si="152"/>
        <v>-0.9888431700714666</v>
      </c>
      <c r="AB387" s="337">
        <f t="shared" si="153"/>
        <v>-97.589912632557073</v>
      </c>
      <c r="AD387">
        <f t="shared" si="158"/>
        <v>0</v>
      </c>
      <c r="AE387">
        <f t="shared" si="161"/>
        <v>0</v>
      </c>
    </row>
    <row r="388" spans="1:31" x14ac:dyDescent="0.25">
      <c r="A388" s="338">
        <v>33691.25</v>
      </c>
      <c r="B388" s="355">
        <f t="shared" si="154"/>
        <v>33.691249999999997</v>
      </c>
      <c r="C388" s="328">
        <f t="shared" si="136"/>
        <v>11.342764681744196</v>
      </c>
      <c r="D388" s="329">
        <f t="shared" si="137"/>
        <v>1.4825197909593864</v>
      </c>
      <c r="E388" s="329">
        <f t="shared" si="138"/>
        <v>1.0000975956964659</v>
      </c>
      <c r="F388" s="330">
        <f t="shared" si="139"/>
        <v>1.3970523232409526E-2</v>
      </c>
      <c r="G388" s="329">
        <f t="shared" si="140"/>
        <v>1</v>
      </c>
      <c r="H388" s="330">
        <f t="shared" si="141"/>
        <v>0</v>
      </c>
      <c r="I388" s="328">
        <f t="shared" si="142"/>
        <v>61103.252222976465</v>
      </c>
      <c r="J388" s="331">
        <f t="shared" si="143"/>
        <v>1.5707799610538982</v>
      </c>
      <c r="K388" s="339">
        <f t="shared" si="159"/>
        <v>10.03950144324109</v>
      </c>
      <c r="L388" s="340">
        <f t="shared" si="160"/>
        <v>1.4710243401734739</v>
      </c>
      <c r="M388" s="328">
        <f t="shared" si="144"/>
        <v>1.0130778765100015</v>
      </c>
      <c r="N388" s="331">
        <f t="shared" si="145"/>
        <v>0.16085349516950501</v>
      </c>
      <c r="O388" s="332">
        <f t="shared" si="146"/>
        <v>1.0045107537198061</v>
      </c>
      <c r="P388" s="333">
        <f t="shared" si="147"/>
        <v>0.23650705847320289</v>
      </c>
      <c r="Q388" s="334">
        <f t="shared" si="148"/>
        <v>0.19140887887143962</v>
      </c>
      <c r="R388" s="335">
        <f t="shared" si="149"/>
        <v>-112.62433390433974</v>
      </c>
      <c r="S388" s="337">
        <f t="shared" si="150"/>
        <v>67.375666095660264</v>
      </c>
      <c r="U388" s="310">
        <f t="shared" si="155"/>
        <v>1000000000</v>
      </c>
      <c r="V388" s="310">
        <f t="shared" si="156"/>
        <v>1135100326.5625</v>
      </c>
      <c r="X388" s="336">
        <f t="shared" si="151"/>
        <v>1.2301588336649449</v>
      </c>
      <c r="Y388" s="337">
        <f t="shared" si="157"/>
        <v>-14.931802469358104</v>
      </c>
      <c r="AA388" s="336">
        <f t="shared" si="152"/>
        <v>-1.0387499547935048</v>
      </c>
      <c r="AB388" s="337">
        <f t="shared" si="153"/>
        <v>-97.69253143498166</v>
      </c>
      <c r="AD388">
        <f t="shared" si="158"/>
        <v>0</v>
      </c>
      <c r="AE388">
        <f t="shared" si="161"/>
        <v>0</v>
      </c>
    </row>
    <row r="389" spans="1:31" x14ac:dyDescent="0.25">
      <c r="A389" s="338">
        <v>33884</v>
      </c>
      <c r="B389" s="355">
        <f t="shared" si="154"/>
        <v>33.884</v>
      </c>
      <c r="C389" s="328">
        <f t="shared" si="136"/>
        <v>11.407154475546575</v>
      </c>
      <c r="D389" s="329">
        <f t="shared" si="137"/>
        <v>1.4830193715784854</v>
      </c>
      <c r="E389" s="329">
        <f t="shared" si="138"/>
        <v>1.0000987155391901</v>
      </c>
      <c r="F389" s="330">
        <f t="shared" si="139"/>
        <v>1.4050439085138833E-2</v>
      </c>
      <c r="G389" s="329">
        <f t="shared" si="140"/>
        <v>1</v>
      </c>
      <c r="H389" s="330">
        <f t="shared" si="141"/>
        <v>0</v>
      </c>
      <c r="I389" s="328">
        <f t="shared" si="142"/>
        <v>61452.828206735852</v>
      </c>
      <c r="J389" s="331">
        <f t="shared" si="143"/>
        <v>1.5707800541508341</v>
      </c>
      <c r="K389" s="339">
        <f t="shared" si="159"/>
        <v>10.096369882713027</v>
      </c>
      <c r="L389" s="340">
        <f t="shared" si="160"/>
        <v>1.471588168454437</v>
      </c>
      <c r="M389" s="328">
        <f t="shared" si="144"/>
        <v>1.0132269638703644</v>
      </c>
      <c r="N389" s="331">
        <f t="shared" si="145"/>
        <v>0.16175782458105387</v>
      </c>
      <c r="O389" s="332">
        <f t="shared" si="146"/>
        <v>1.0045655739016655</v>
      </c>
      <c r="P389" s="333">
        <f t="shared" si="147"/>
        <v>0.23787293518797575</v>
      </c>
      <c r="Q389" s="334">
        <f t="shared" si="148"/>
        <v>0.14000958558986912</v>
      </c>
      <c r="R389" s="335">
        <f t="shared" si="149"/>
        <v>-112.74615250725748</v>
      </c>
      <c r="S389" s="337">
        <f t="shared" si="150"/>
        <v>67.253847492742523</v>
      </c>
      <c r="U389" s="310">
        <f t="shared" si="155"/>
        <v>1000000000</v>
      </c>
      <c r="V389" s="310">
        <f t="shared" si="156"/>
        <v>1148125456</v>
      </c>
      <c r="X389" s="336">
        <f t="shared" si="151"/>
        <v>1.2283918362893129</v>
      </c>
      <c r="Y389" s="337">
        <f t="shared" si="157"/>
        <v>-14.951317081143911</v>
      </c>
      <c r="AA389" s="336">
        <f t="shared" si="152"/>
        <v>-1.0883822506994469</v>
      </c>
      <c r="AB389" s="337">
        <f t="shared" si="153"/>
        <v>-97.794835426113565</v>
      </c>
      <c r="AD389">
        <f t="shared" si="158"/>
        <v>0</v>
      </c>
      <c r="AE389">
        <f t="shared" si="161"/>
        <v>0</v>
      </c>
    </row>
    <row r="390" spans="1:31" x14ac:dyDescent="0.25">
      <c r="A390" s="338">
        <v>34081.5</v>
      </c>
      <c r="B390" s="355">
        <f t="shared" si="154"/>
        <v>34.081499999999998</v>
      </c>
      <c r="C390" s="328">
        <f t="shared" si="136"/>
        <v>11.473133967220555</v>
      </c>
      <c r="D390" s="329">
        <f t="shared" si="137"/>
        <v>1.4835254468923511</v>
      </c>
      <c r="E390" s="329">
        <f t="shared" si="138"/>
        <v>1.0000998696037571</v>
      </c>
      <c r="F390" s="330">
        <f t="shared" si="139"/>
        <v>1.4132324143652531E-2</v>
      </c>
      <c r="G390" s="329">
        <f t="shared" si="140"/>
        <v>1</v>
      </c>
      <c r="H390" s="330">
        <f t="shared" si="141"/>
        <v>0</v>
      </c>
      <c r="I390" s="328">
        <f t="shared" si="142"/>
        <v>61811.018903454824</v>
      </c>
      <c r="J390" s="331">
        <f t="shared" si="143"/>
        <v>1.5707801484497119</v>
      </c>
      <c r="K390" s="339">
        <f t="shared" si="159"/>
        <v>10.154643040886917</v>
      </c>
      <c r="L390" s="340">
        <f t="shared" si="160"/>
        <v>1.4721593406454772</v>
      </c>
      <c r="M390" s="328">
        <f t="shared" si="144"/>
        <v>1.0133805844925807</v>
      </c>
      <c r="N390" s="331">
        <f t="shared" si="145"/>
        <v>0.16268416288805534</v>
      </c>
      <c r="O390" s="332">
        <f t="shared" si="146"/>
        <v>1.0046221417231886</v>
      </c>
      <c r="P390" s="333">
        <f t="shared" si="147"/>
        <v>0.23927268999896356</v>
      </c>
      <c r="Q390" s="334">
        <f t="shared" si="148"/>
        <v>8.7626486732201456E-2</v>
      </c>
      <c r="R390" s="335">
        <f t="shared" si="149"/>
        <v>-112.87101178416347</v>
      </c>
      <c r="S390" s="337">
        <f t="shared" si="150"/>
        <v>67.128988215836529</v>
      </c>
      <c r="U390" s="310">
        <f t="shared" si="155"/>
        <v>1000000000</v>
      </c>
      <c r="V390" s="310">
        <f t="shared" si="156"/>
        <v>1161548642.25</v>
      </c>
      <c r="X390" s="336">
        <f t="shared" si="151"/>
        <v>1.2265826473829444</v>
      </c>
      <c r="Y390" s="337">
        <f t="shared" si="157"/>
        <v>-14.971672003565519</v>
      </c>
      <c r="AA390" s="336">
        <f t="shared" si="152"/>
        <v>-1.1389561606507419</v>
      </c>
      <c r="AB390" s="337">
        <f t="shared" si="153"/>
        <v>-97.899339780597955</v>
      </c>
      <c r="AD390">
        <f t="shared" si="158"/>
        <v>0</v>
      </c>
      <c r="AE390">
        <f t="shared" si="161"/>
        <v>0</v>
      </c>
    </row>
    <row r="391" spans="1:31" x14ac:dyDescent="0.25">
      <c r="A391" s="338">
        <v>34279</v>
      </c>
      <c r="B391" s="355">
        <f t="shared" si="154"/>
        <v>34.279000000000003</v>
      </c>
      <c r="C391" s="328">
        <f t="shared" si="136"/>
        <v>11.53911636370089</v>
      </c>
      <c r="D391" s="329">
        <f t="shared" si="137"/>
        <v>1.4840257347041701</v>
      </c>
      <c r="E391" s="329">
        <f t="shared" si="138"/>
        <v>1.0001010303741413</v>
      </c>
      <c r="F391" s="330">
        <f t="shared" si="139"/>
        <v>1.4214209012634982E-2</v>
      </c>
      <c r="G391" s="329">
        <f t="shared" si="140"/>
        <v>1</v>
      </c>
      <c r="H391" s="330">
        <f t="shared" si="141"/>
        <v>0</v>
      </c>
      <c r="I391" s="328">
        <f t="shared" si="142"/>
        <v>62169.209600174341</v>
      </c>
      <c r="J391" s="331">
        <f t="shared" si="143"/>
        <v>1.5707802416619752</v>
      </c>
      <c r="K391" s="339">
        <f t="shared" si="159"/>
        <v>10.212919474082442</v>
      </c>
      <c r="L391" s="340">
        <f t="shared" si="160"/>
        <v>1.4727239946325157</v>
      </c>
      <c r="M391" s="328">
        <f t="shared" si="144"/>
        <v>1.013535074435332</v>
      </c>
      <c r="N391" s="331">
        <f t="shared" si="145"/>
        <v>0.16361021959187613</v>
      </c>
      <c r="O391" s="332">
        <f t="shared" si="146"/>
        <v>1.0046791123183232</v>
      </c>
      <c r="P391" s="333">
        <f t="shared" si="147"/>
        <v>0.24067266684243296</v>
      </c>
      <c r="Q391" s="334">
        <f t="shared" si="148"/>
        <v>3.5526246242364112E-2</v>
      </c>
      <c r="R391" s="335">
        <f t="shared" si="149"/>
        <v>-112.99590946265889</v>
      </c>
      <c r="S391" s="337">
        <f t="shared" si="150"/>
        <v>67.004090537341114</v>
      </c>
      <c r="U391" s="310">
        <f t="shared" si="155"/>
        <v>1000000000</v>
      </c>
      <c r="V391" s="310">
        <f t="shared" si="156"/>
        <v>1175049841</v>
      </c>
      <c r="X391" s="336">
        <f t="shared" si="151"/>
        <v>1.2247746396909425</v>
      </c>
      <c r="Y391" s="337">
        <f t="shared" si="157"/>
        <v>-14.992384194634651</v>
      </c>
      <c r="AA391" s="336">
        <f t="shared" si="152"/>
        <v>-1.1892483934485782</v>
      </c>
      <c r="AB391" s="337">
        <f t="shared" si="153"/>
        <v>-98.003525268024248</v>
      </c>
      <c r="AD391">
        <f t="shared" si="158"/>
        <v>34279</v>
      </c>
      <c r="AE391">
        <f t="shared" si="161"/>
        <v>67.004090537341114</v>
      </c>
    </row>
    <row r="392" spans="1:31" x14ac:dyDescent="0.25">
      <c r="A392" s="338">
        <v>34476.5</v>
      </c>
      <c r="B392" s="355">
        <f t="shared" si="154"/>
        <v>34.476500000000001</v>
      </c>
      <c r="C392" s="328">
        <f t="shared" si="136"/>
        <v>11.605101615440557</v>
      </c>
      <c r="D392" s="329">
        <f t="shared" si="137"/>
        <v>1.4845203334825312</v>
      </c>
      <c r="E392" s="329">
        <f t="shared" si="138"/>
        <v>1.0001021978503191</v>
      </c>
      <c r="F392" s="330">
        <f t="shared" si="139"/>
        <v>1.429609369098875E-2</v>
      </c>
      <c r="G392" s="329">
        <f t="shared" si="140"/>
        <v>1</v>
      </c>
      <c r="H392" s="330">
        <f t="shared" si="141"/>
        <v>0</v>
      </c>
      <c r="I392" s="328">
        <f t="shared" si="142"/>
        <v>62527.400296894397</v>
      </c>
      <c r="J392" s="331">
        <f t="shared" si="143"/>
        <v>1.570780333806298</v>
      </c>
      <c r="K392" s="339">
        <f t="shared" si="159"/>
        <v>10.271199126554434</v>
      </c>
      <c r="L392" s="340">
        <f t="shared" si="160"/>
        <v>1.4732822410069131</v>
      </c>
      <c r="M392" s="328">
        <f t="shared" si="144"/>
        <v>1.0136904333011552</v>
      </c>
      <c r="N392" s="331">
        <f t="shared" si="145"/>
        <v>0.16453599323329551</v>
      </c>
      <c r="O392" s="332">
        <f t="shared" si="146"/>
        <v>1.0047364869610569</v>
      </c>
      <c r="P392" s="333">
        <f t="shared" si="147"/>
        <v>0.2420728667379376</v>
      </c>
      <c r="Q392" s="334">
        <f t="shared" si="148"/>
        <v>-1.6294532004010865E-2</v>
      </c>
      <c r="R392" s="335">
        <f t="shared" si="149"/>
        <v>-113.12084482410184</v>
      </c>
      <c r="S392" s="337">
        <f t="shared" si="150"/>
        <v>66.879155175898163</v>
      </c>
      <c r="U392" s="310">
        <f t="shared" si="155"/>
        <v>34476.5</v>
      </c>
      <c r="V392" s="310">
        <f t="shared" si="156"/>
        <v>1188629052.25</v>
      </c>
      <c r="X392" s="336">
        <f t="shared" si="151"/>
        <v>1.2229676288446329</v>
      </c>
      <c r="Y392" s="337">
        <f t="shared" si="157"/>
        <v>-15.013447235395864</v>
      </c>
      <c r="AA392" s="336">
        <f t="shared" si="152"/>
        <v>-1.239262160848644</v>
      </c>
      <c r="AB392" s="337">
        <f t="shared" si="153"/>
        <v>-98.107397588705965</v>
      </c>
      <c r="AD392">
        <f t="shared" si="158"/>
        <v>0</v>
      </c>
      <c r="AE392">
        <f t="shared" si="161"/>
        <v>0</v>
      </c>
    </row>
    <row r="393" spans="1:31" x14ac:dyDescent="0.25">
      <c r="A393" s="338">
        <v>34674</v>
      </c>
      <c r="B393" s="355">
        <f t="shared" si="154"/>
        <v>34.673999999999999</v>
      </c>
      <c r="C393" s="328">
        <f t="shared" si="136"/>
        <v>11.671089674010915</v>
      </c>
      <c r="D393" s="329">
        <f t="shared" si="137"/>
        <v>1.4850093394803454</v>
      </c>
      <c r="E393" s="329">
        <f t="shared" si="138"/>
        <v>1.0001033720322667</v>
      </c>
      <c r="F393" s="330">
        <f t="shared" si="139"/>
        <v>1.4377978177616412E-2</v>
      </c>
      <c r="G393" s="329">
        <f t="shared" si="140"/>
        <v>1</v>
      </c>
      <c r="H393" s="330">
        <f t="shared" si="141"/>
        <v>0</v>
      </c>
      <c r="I393" s="328">
        <f t="shared" si="142"/>
        <v>62885.590993614976</v>
      </c>
      <c r="J393" s="331">
        <f t="shared" si="143"/>
        <v>1.5707804249009294</v>
      </c>
      <c r="K393" s="339">
        <f t="shared" si="159"/>
        <v>10.32948194381275</v>
      </c>
      <c r="L393" s="340">
        <f t="shared" si="160"/>
        <v>1.4738341878802206</v>
      </c>
      <c r="M393" s="328">
        <f t="shared" si="144"/>
        <v>1.0138466606905969</v>
      </c>
      <c r="N393" s="331">
        <f t="shared" si="145"/>
        <v>0.16546148235592548</v>
      </c>
      <c r="O393" s="332">
        <f t="shared" si="146"/>
        <v>1.0047942669323562</v>
      </c>
      <c r="P393" s="333">
        <f t="shared" si="147"/>
        <v>0.24347329070038851</v>
      </c>
      <c r="Q393" s="334">
        <f t="shared" si="148"/>
        <v>-6.7839185576173119E-2</v>
      </c>
      <c r="R393" s="335">
        <f t="shared" si="149"/>
        <v>-113.24581716485594</v>
      </c>
      <c r="S393" s="337">
        <f t="shared" si="150"/>
        <v>66.754182835144064</v>
      </c>
      <c r="U393" s="310">
        <f t="shared" si="155"/>
        <v>34674</v>
      </c>
      <c r="V393" s="310">
        <f t="shared" si="156"/>
        <v>1202286276</v>
      </c>
      <c r="X393" s="336">
        <f t="shared" si="151"/>
        <v>1.2211614358836855</v>
      </c>
      <c r="Y393" s="337">
        <f t="shared" si="157"/>
        <v>-15.034854849114245</v>
      </c>
      <c r="AA393" s="336">
        <f t="shared" si="152"/>
        <v>-1.2890006214598588</v>
      </c>
      <c r="AB393" s="337">
        <f t="shared" si="153"/>
        <v>-98.21096231574171</v>
      </c>
      <c r="AD393">
        <f t="shared" si="158"/>
        <v>0</v>
      </c>
      <c r="AE393">
        <f t="shared" si="161"/>
        <v>0</v>
      </c>
    </row>
    <row r="394" spans="1:31" x14ac:dyDescent="0.25">
      <c r="A394" s="338">
        <v>34875.75</v>
      </c>
      <c r="B394" s="355">
        <f t="shared" si="154"/>
        <v>34.875749999999996</v>
      </c>
      <c r="C394" s="328">
        <f t="shared" si="136"/>
        <v>11.738500577633824</v>
      </c>
      <c r="D394" s="329">
        <f t="shared" si="137"/>
        <v>1.4855031916334624</v>
      </c>
      <c r="E394" s="329">
        <f t="shared" si="138"/>
        <v>1.0001045784051714</v>
      </c>
      <c r="F394" s="330">
        <f t="shared" si="139"/>
        <v>1.4461624536374973E-2</v>
      </c>
      <c r="G394" s="329">
        <f t="shared" si="140"/>
        <v>1</v>
      </c>
      <c r="H394" s="330">
        <f t="shared" si="141"/>
        <v>0</v>
      </c>
      <c r="I394" s="328">
        <f t="shared" si="142"/>
        <v>63251.489591404752</v>
      </c>
      <c r="J394" s="331">
        <f t="shared" si="143"/>
        <v>1.5707805168905529</v>
      </c>
      <c r="K394" s="339">
        <f t="shared" si="159"/>
        <v>10.389022160561643</v>
      </c>
      <c r="L394" s="340">
        <f t="shared" si="160"/>
        <v>1.4743916176999692</v>
      </c>
      <c r="M394" s="328">
        <f t="shared" si="144"/>
        <v>1.0140071462771139</v>
      </c>
      <c r="N394" s="331">
        <f t="shared" si="145"/>
        <v>0.16640659178722361</v>
      </c>
      <c r="O394" s="332">
        <f t="shared" si="146"/>
        <v>1.0048537101153179</v>
      </c>
      <c r="P394" s="333">
        <f t="shared" si="147"/>
        <v>0.24490408277026676</v>
      </c>
      <c r="Q394" s="334">
        <f t="shared" si="148"/>
        <v>-0.12021133738691291</v>
      </c>
      <c r="R394" s="335">
        <f t="shared" si="149"/>
        <v>-113.37351624887745</v>
      </c>
      <c r="S394" s="337">
        <f t="shared" si="150"/>
        <v>66.626483751122549</v>
      </c>
      <c r="U394" s="310">
        <f t="shared" si="155"/>
        <v>34875.75</v>
      </c>
      <c r="V394" s="310">
        <f t="shared" si="156"/>
        <v>1216317938.0625</v>
      </c>
      <c r="X394" s="336">
        <f t="shared" si="151"/>
        <v>1.2193170393155428</v>
      </c>
      <c r="Y394" s="337">
        <f t="shared" si="157"/>
        <v>-15.057072525301882</v>
      </c>
      <c r="AA394" s="336">
        <f t="shared" si="152"/>
        <v>-1.3395283767024555</v>
      </c>
      <c r="AB394" s="337">
        <f t="shared" si="153"/>
        <v>-98.316443723575588</v>
      </c>
      <c r="AD394">
        <f t="shared" si="158"/>
        <v>0</v>
      </c>
      <c r="AE394">
        <f t="shared" si="161"/>
        <v>0</v>
      </c>
    </row>
    <row r="395" spans="1:31" x14ac:dyDescent="0.25">
      <c r="A395" s="338">
        <v>35077.5</v>
      </c>
      <c r="B395" s="355">
        <f t="shared" si="154"/>
        <v>35.077500000000001</v>
      </c>
      <c r="C395" s="328">
        <f t="shared" si="136"/>
        <v>11.805914311464711</v>
      </c>
      <c r="D395" s="329">
        <f t="shared" si="137"/>
        <v>1.485991403948693</v>
      </c>
      <c r="E395" s="329">
        <f t="shared" si="138"/>
        <v>1.0001057917755041</v>
      </c>
      <c r="F395" s="330">
        <f t="shared" si="139"/>
        <v>1.4545270692752233E-2</v>
      </c>
      <c r="G395" s="329">
        <f t="shared" si="140"/>
        <v>1</v>
      </c>
      <c r="H395" s="330">
        <f t="shared" si="141"/>
        <v>0</v>
      </c>
      <c r="I395" s="328">
        <f t="shared" si="142"/>
        <v>63617.388189195073</v>
      </c>
      <c r="J395" s="331">
        <f t="shared" si="143"/>
        <v>1.5707806078220103</v>
      </c>
      <c r="K395" s="339">
        <f t="shared" si="159"/>
        <v>10.448565568679308</v>
      </c>
      <c r="L395" s="340">
        <f t="shared" si="160"/>
        <v>1.4749426944208288</v>
      </c>
      <c r="M395" s="328">
        <f t="shared" si="144"/>
        <v>1.0141685373199689</v>
      </c>
      <c r="N395" s="331">
        <f t="shared" si="145"/>
        <v>0.16735140125976988</v>
      </c>
      <c r="O395" s="332">
        <f t="shared" si="146"/>
        <v>1.0049135789834436</v>
      </c>
      <c r="P395" s="333">
        <f t="shared" si="147"/>
        <v>0.24633511078022016</v>
      </c>
      <c r="Q395" s="334">
        <f t="shared" si="148"/>
        <v>-0.1723022121518317</v>
      </c>
      <c r="R395" s="335">
        <f t="shared" si="149"/>
        <v>-113.50125248271132</v>
      </c>
      <c r="S395" s="337">
        <f t="shared" si="150"/>
        <v>66.498747517288677</v>
      </c>
      <c r="U395" s="310">
        <f t="shared" si="155"/>
        <v>35077.5</v>
      </c>
      <c r="V395" s="310">
        <f t="shared" si="156"/>
        <v>1230431006.25</v>
      </c>
      <c r="X395" s="336">
        <f t="shared" si="151"/>
        <v>1.2174731351940895</v>
      </c>
      <c r="Y395" s="337">
        <f t="shared" si="157"/>
        <v>-15.079636960244112</v>
      </c>
      <c r="AA395" s="336">
        <f t="shared" si="152"/>
        <v>-1.3897753473459229</v>
      </c>
      <c r="AB395" s="337">
        <f t="shared" si="153"/>
        <v>-98.421615522467221</v>
      </c>
      <c r="AD395">
        <f t="shared" si="158"/>
        <v>0</v>
      </c>
      <c r="AE395">
        <f t="shared" si="161"/>
        <v>0</v>
      </c>
    </row>
    <row r="396" spans="1:31" x14ac:dyDescent="0.25">
      <c r="A396" s="338">
        <v>35279.25</v>
      </c>
      <c r="B396" s="355">
        <f t="shared" si="154"/>
        <v>35.279249999999998</v>
      </c>
      <c r="C396" s="328">
        <f t="shared" si="136"/>
        <v>11.873330827295991</v>
      </c>
      <c r="D396" s="329">
        <f t="shared" si="137"/>
        <v>1.4864740722599326</v>
      </c>
      <c r="E396" s="329">
        <f t="shared" si="138"/>
        <v>1.0001070121432392</v>
      </c>
      <c r="F396" s="330">
        <f t="shared" si="139"/>
        <v>1.4628916645578438E-2</v>
      </c>
      <c r="G396" s="329">
        <f t="shared" si="140"/>
        <v>1</v>
      </c>
      <c r="H396" s="330">
        <f t="shared" si="141"/>
        <v>0</v>
      </c>
      <c r="I396" s="328">
        <f t="shared" si="142"/>
        <v>63983.286786985896</v>
      </c>
      <c r="J396" s="331">
        <f t="shared" si="143"/>
        <v>1.570780697713456</v>
      </c>
      <c r="K396" s="339">
        <f t="shared" si="159"/>
        <v>10.508112113914812</v>
      </c>
      <c r="L396" s="340">
        <f t="shared" si="160"/>
        <v>1.475487525708941</v>
      </c>
      <c r="M396" s="328">
        <f t="shared" si="144"/>
        <v>1.0143308333869583</v>
      </c>
      <c r="N396" s="331">
        <f t="shared" si="145"/>
        <v>0.16829590923035206</v>
      </c>
      <c r="O396" s="332">
        <f t="shared" si="146"/>
        <v>1.0049738749247001</v>
      </c>
      <c r="P396" s="333">
        <f t="shared" si="147"/>
        <v>0.24776637579691799</v>
      </c>
      <c r="Q396" s="334">
        <f t="shared" si="148"/>
        <v>-0.22411518689727863</v>
      </c>
      <c r="R396" s="335">
        <f t="shared" si="149"/>
        <v>-113.62902516222304</v>
      </c>
      <c r="S396" s="337">
        <f t="shared" si="150"/>
        <v>66.370974837776956</v>
      </c>
      <c r="U396" s="310">
        <f t="shared" si="155"/>
        <v>35279.25</v>
      </c>
      <c r="V396" s="310">
        <f t="shared" si="156"/>
        <v>1244625480.5625</v>
      </c>
      <c r="X396" s="336">
        <f t="shared" si="151"/>
        <v>1.2156295490913751</v>
      </c>
      <c r="Y396" s="337">
        <f t="shared" si="157"/>
        <v>-15.102541897746049</v>
      </c>
      <c r="AA396" s="336">
        <f t="shared" si="152"/>
        <v>-1.439744735988653</v>
      </c>
      <c r="AB396" s="337">
        <f t="shared" si="153"/>
        <v>-98.526483264476994</v>
      </c>
      <c r="AD396">
        <f t="shared" si="158"/>
        <v>0</v>
      </c>
      <c r="AE396">
        <f t="shared" si="161"/>
        <v>0</v>
      </c>
    </row>
    <row r="397" spans="1:31" x14ac:dyDescent="0.25">
      <c r="A397" s="338">
        <v>35481</v>
      </c>
      <c r="B397" s="355">
        <f t="shared" si="154"/>
        <v>35.481000000000002</v>
      </c>
      <c r="C397" s="328">
        <f t="shared" ref="C397:C460" si="162">SQRT(1+(A397/pole1)^2)</f>
        <v>11.940750078006808</v>
      </c>
      <c r="D397" s="329">
        <f t="shared" ref="D397:D460" si="163">ATAN(A397/pole1)</f>
        <v>1.4869512902471742</v>
      </c>
      <c r="E397" s="329">
        <f t="shared" ref="E397:E460" si="164">SQRT(1+(A397/Zero1)^2)</f>
        <v>1.0001082395083516</v>
      </c>
      <c r="F397" s="330">
        <f t="shared" ref="F397:F460" si="165">ATAN(A397/Zero1)</f>
        <v>1.4712562393683858E-2</v>
      </c>
      <c r="G397" s="329">
        <f t="shared" ref="G397:G460" si="166">IF(VIN_nom&gt;Vout, 1, SQRT(1+(A397/z_RHP)^2))</f>
        <v>1</v>
      </c>
      <c r="H397" s="330">
        <f t="shared" ref="H397:H460" si="167">IF(VIN_nom&gt;Vout, 0, -ATAN(A397/z_RHP))</f>
        <v>0</v>
      </c>
      <c r="I397" s="328">
        <f t="shared" ref="I397:I460" si="168">SQRT(1+(A397/Pole2)^2)</f>
        <v>64349.185384777236</v>
      </c>
      <c r="J397" s="331">
        <f t="shared" ref="J397:J460" si="169">ATAN(A397/Pole2)</f>
        <v>1.5707807865826304</v>
      </c>
      <c r="K397" s="339">
        <f t="shared" si="159"/>
        <v>10.567661743237162</v>
      </c>
      <c r="L397" s="340">
        <f t="shared" si="160"/>
        <v>1.4760262168186407</v>
      </c>
      <c r="M397" s="328">
        <f t="shared" ref="M397:M460" si="170">SQRT(1+(A397/pole4)^2)</f>
        <v>1.0144940340437321</v>
      </c>
      <c r="N397" s="331">
        <f t="shared" ref="N397:N460" si="171">ATAN(A397/pole4)</f>
        <v>0.16924011415889453</v>
      </c>
      <c r="O397" s="332">
        <f t="shared" ref="O397:O460" si="172">SQRT((1-(V397/pterm2))^2+(A397/pterm1)^2)</f>
        <v>1.0050345993346228</v>
      </c>
      <c r="P397" s="333">
        <f t="shared" ref="P397:P460" si="173">IF((ATAN((A397/pterm1)/(1-A397^2/pterm2))&gt;0),ATAN((A397/pterm1)/(1-A397^2/pterm2)),PI()+ATAN((A397/pterm1)/(1-A397^2/pterm2)))</f>
        <v>0.24919787888185607</v>
      </c>
      <c r="Q397" s="334">
        <f t="shared" ref="Q397:Q460" si="174">20*LOG10(((E397*K397*G397)/(C397*I397*O397*M397))*Adc)</f>
        <v>-0.27565358054993655</v>
      </c>
      <c r="R397" s="335">
        <f t="shared" ref="R397:R460" si="175">((F397+L397+H397)-(D397+J397+P397+N397))*radconv</f>
        <v>-113.75683359791455</v>
      </c>
      <c r="S397" s="337">
        <f t="shared" ref="S397:S460" si="176">IF(R397&gt;0,R397,R397+180)</f>
        <v>66.24316640208545</v>
      </c>
      <c r="U397" s="310">
        <f t="shared" si="155"/>
        <v>35481</v>
      </c>
      <c r="V397" s="310">
        <f t="shared" si="156"/>
        <v>1258901361</v>
      </c>
      <c r="X397" s="336">
        <f t="shared" ref="X397:X460" si="177">20*LOG10((K397/(I397*M397))*AEA*Afb_Ch2)</f>
        <v>1.2137861117203055</v>
      </c>
      <c r="Y397" s="337">
        <f t="shared" si="157"/>
        <v>-15.125781219955167</v>
      </c>
      <c r="AA397" s="336">
        <f t="shared" ref="AA397:AA460" si="178">20*LOG10((E397*G397/(C397*O397))*Am_Ch2)</f>
        <v>-1.4894396922702424</v>
      </c>
      <c r="AB397" s="337">
        <f t="shared" ref="AB397:AB460" si="179">(F397+H397-(D397+P397))*radconv</f>
        <v>-98.631052377959406</v>
      </c>
      <c r="AD397">
        <f t="shared" si="158"/>
        <v>0</v>
      </c>
      <c r="AE397">
        <f t="shared" si="161"/>
        <v>0</v>
      </c>
    </row>
    <row r="398" spans="1:31" x14ac:dyDescent="0.25">
      <c r="A398" s="338">
        <v>35687.75</v>
      </c>
      <c r="B398" s="355">
        <f t="shared" ref="B398:B461" si="180">A398/1000</f>
        <v>35.687750000000001</v>
      </c>
      <c r="C398" s="328">
        <f t="shared" si="162"/>
        <v>12.009842979158218</v>
      </c>
      <c r="D398" s="329">
        <f t="shared" si="163"/>
        <v>1.4874347763767122</v>
      </c>
      <c r="E398" s="329">
        <f t="shared" si="164"/>
        <v>1.0001095045510591</v>
      </c>
      <c r="F398" s="330">
        <f t="shared" si="165"/>
        <v>1.4798280933081269E-2</v>
      </c>
      <c r="G398" s="329">
        <f t="shared" si="166"/>
        <v>1</v>
      </c>
      <c r="H398" s="330">
        <f t="shared" si="167"/>
        <v>0</v>
      </c>
      <c r="I398" s="328">
        <f t="shared" si="168"/>
        <v>64724.152101473475</v>
      </c>
      <c r="J398" s="331">
        <f t="shared" si="169"/>
        <v>1.5707808766118108</v>
      </c>
      <c r="K398" s="339">
        <f t="shared" si="159"/>
        <v>10.628690345263072</v>
      </c>
      <c r="L398" s="340">
        <f t="shared" si="160"/>
        <v>1.4765719956999159</v>
      </c>
      <c r="M398" s="328">
        <f t="shared" si="170"/>
        <v>1.014662217365301</v>
      </c>
      <c r="N398" s="331">
        <f t="shared" si="171"/>
        <v>0.17020740344912025</v>
      </c>
      <c r="O398" s="332">
        <f t="shared" si="172"/>
        <v>1.0050972746827633</v>
      </c>
      <c r="P398" s="333">
        <f t="shared" si="173"/>
        <v>0.25066510721521279</v>
      </c>
      <c r="Q398" s="334">
        <f t="shared" si="174"/>
        <v>-0.32818779694554817</v>
      </c>
      <c r="R398" s="335">
        <f t="shared" si="175"/>
        <v>-113.88784591903554</v>
      </c>
      <c r="S398" s="337">
        <f t="shared" si="176"/>
        <v>66.112154080964459</v>
      </c>
      <c r="U398" s="310">
        <f t="shared" ref="U398:U461" si="181">IF(Q398&lt;0,A398,1000000000)</f>
        <v>35687.75</v>
      </c>
      <c r="V398" s="310">
        <f t="shared" ref="V398:V461" si="182">A398^2</f>
        <v>1273615500.0625</v>
      </c>
      <c r="X398" s="336">
        <f t="shared" si="177"/>
        <v>1.2118969706222651</v>
      </c>
      <c r="Y398" s="337">
        <f t="shared" ref="Y398:Y461" si="183">(L398-(J398+N398))*radconv</f>
        <v>-15.149937145728529</v>
      </c>
      <c r="AA398" s="336">
        <f t="shared" si="178"/>
        <v>-1.5400847675678131</v>
      </c>
      <c r="AB398" s="337">
        <f t="shared" si="179"/>
        <v>-98.737908773307012</v>
      </c>
      <c r="AD398">
        <f t="shared" ref="AD398:AD461" si="184">SUM((Q399&lt;0)*(Q398&gt;0))*A398</f>
        <v>0</v>
      </c>
      <c r="AE398">
        <f t="shared" si="161"/>
        <v>0</v>
      </c>
    </row>
    <row r="399" spans="1:31" x14ac:dyDescent="0.25">
      <c r="A399" s="338">
        <v>35894.5</v>
      </c>
      <c r="B399" s="355">
        <f t="shared" si="180"/>
        <v>35.894500000000001</v>
      </c>
      <c r="C399" s="328">
        <f t="shared" si="162"/>
        <v>12.07893865559881</v>
      </c>
      <c r="D399" s="329">
        <f t="shared" si="163"/>
        <v>1.4879127312035796</v>
      </c>
      <c r="E399" s="329">
        <f t="shared" si="164"/>
        <v>1.0001107769422206</v>
      </c>
      <c r="F399" s="330">
        <f t="shared" si="165"/>
        <v>1.4883999254997648E-2</v>
      </c>
      <c r="G399" s="329">
        <f t="shared" si="166"/>
        <v>1</v>
      </c>
      <c r="H399" s="330">
        <f t="shared" si="167"/>
        <v>0</v>
      </c>
      <c r="I399" s="328">
        <f t="shared" si="168"/>
        <v>65099.118818170224</v>
      </c>
      <c r="J399" s="331">
        <f t="shared" si="169"/>
        <v>1.5707809656038667</v>
      </c>
      <c r="K399" s="339">
        <f t="shared" si="159"/>
        <v>10.689722077155023</v>
      </c>
      <c r="L399" s="340">
        <f t="shared" si="160"/>
        <v>1.4771115426175805</v>
      </c>
      <c r="M399" s="328">
        <f t="shared" si="170"/>
        <v>1.014831349738937</v>
      </c>
      <c r="N399" s="331">
        <f t="shared" si="171"/>
        <v>0.17117437122586379</v>
      </c>
      <c r="O399" s="332">
        <f t="shared" si="172"/>
        <v>1.0051604029921257</v>
      </c>
      <c r="P399" s="333">
        <f t="shared" si="173"/>
        <v>0.25213258780355552</v>
      </c>
      <c r="Q399" s="334">
        <f t="shared" si="174"/>
        <v>-0.38044052956967345</v>
      </c>
      <c r="R399" s="335">
        <f t="shared" si="175"/>
        <v>-114.01889436988967</v>
      </c>
      <c r="S399" s="337">
        <f t="shared" si="176"/>
        <v>65.981105630110335</v>
      </c>
      <c r="U399" s="310">
        <f t="shared" si="181"/>
        <v>35894.5</v>
      </c>
      <c r="V399" s="310">
        <f t="shared" si="182"/>
        <v>1288415130.25</v>
      </c>
      <c r="X399" s="336">
        <f t="shared" si="177"/>
        <v>1.2100076415716674</v>
      </c>
      <c r="Y399" s="337">
        <f t="shared" si="183"/>
        <v>-15.174431655926808</v>
      </c>
      <c r="AA399" s="336">
        <f t="shared" si="178"/>
        <v>-1.5904481711413407</v>
      </c>
      <c r="AB399" s="337">
        <f t="shared" si="179"/>
        <v>-98.844462713962841</v>
      </c>
      <c r="AD399">
        <f t="shared" si="184"/>
        <v>0</v>
      </c>
      <c r="AE399">
        <f t="shared" si="161"/>
        <v>0</v>
      </c>
    </row>
    <row r="400" spans="1:31" x14ac:dyDescent="0.25">
      <c r="A400" s="338">
        <v>36101.25</v>
      </c>
      <c r="B400" s="355">
        <f t="shared" si="180"/>
        <v>36.10125</v>
      </c>
      <c r="C400" s="328">
        <f t="shared" si="162"/>
        <v>12.148037059972662</v>
      </c>
      <c r="D400" s="329">
        <f t="shared" si="163"/>
        <v>1.4883852488941767</v>
      </c>
      <c r="E400" s="329">
        <f t="shared" si="164"/>
        <v>1.0001120566818078</v>
      </c>
      <c r="F400" s="330">
        <f t="shared" si="165"/>
        <v>1.4969717358174171E-2</v>
      </c>
      <c r="G400" s="329">
        <f t="shared" si="166"/>
        <v>1</v>
      </c>
      <c r="H400" s="330">
        <f t="shared" si="167"/>
        <v>0</v>
      </c>
      <c r="I400" s="328">
        <f t="shared" si="168"/>
        <v>65474.085534867489</v>
      </c>
      <c r="J400" s="331">
        <f t="shared" si="169"/>
        <v>1.5707810535766169</v>
      </c>
      <c r="K400" s="339">
        <f t="shared" si="159"/>
        <v>10.750756885608547</v>
      </c>
      <c r="L400" s="340">
        <f t="shared" si="160"/>
        <v>1.4776449633961668</v>
      </c>
      <c r="M400" s="328">
        <f t="shared" si="170"/>
        <v>1.0150014306902109</v>
      </c>
      <c r="N400" s="331">
        <f t="shared" si="171"/>
        <v>0.17214101584202163</v>
      </c>
      <c r="O400" s="332">
        <f t="shared" si="172"/>
        <v>1.0052239857892773</v>
      </c>
      <c r="P400" s="333">
        <f t="shared" si="173"/>
        <v>0.25360032177216663</v>
      </c>
      <c r="Q400" s="334">
        <f t="shared" si="174"/>
        <v>-0.43241516898237986</v>
      </c>
      <c r="R400" s="335">
        <f t="shared" si="175"/>
        <v>-114.14997825371006</v>
      </c>
      <c r="S400" s="337">
        <f t="shared" si="176"/>
        <v>65.85002174628994</v>
      </c>
      <c r="U400" s="310">
        <f t="shared" si="181"/>
        <v>36101.25</v>
      </c>
      <c r="V400" s="310">
        <f t="shared" si="182"/>
        <v>1303300251.5625</v>
      </c>
      <c r="X400" s="336">
        <f t="shared" si="177"/>
        <v>1.2081179580837789</v>
      </c>
      <c r="Y400" s="337">
        <f t="shared" si="183"/>
        <v>-15.199258593899783</v>
      </c>
      <c r="AA400" s="336">
        <f t="shared" si="178"/>
        <v>-1.6405331270661598</v>
      </c>
      <c r="AB400" s="337">
        <f t="shared" si="179"/>
        <v>-98.950719659810247</v>
      </c>
      <c r="AD400">
        <f t="shared" si="184"/>
        <v>0</v>
      </c>
      <c r="AE400">
        <f t="shared" si="161"/>
        <v>0</v>
      </c>
    </row>
    <row r="401" spans="1:31" x14ac:dyDescent="0.25">
      <c r="A401" s="338">
        <v>36308</v>
      </c>
      <c r="B401" s="355">
        <f t="shared" si="180"/>
        <v>36.308</v>
      </c>
      <c r="C401" s="328">
        <f t="shared" si="162"/>
        <v>12.217138145993363</v>
      </c>
      <c r="D401" s="329">
        <f t="shared" si="163"/>
        <v>1.4888524214942915</v>
      </c>
      <c r="E401" s="329">
        <f t="shared" si="164"/>
        <v>1.0001133437697931</v>
      </c>
      <c r="F401" s="330">
        <f t="shared" si="165"/>
        <v>1.5055435241352038E-2</v>
      </c>
      <c r="G401" s="329">
        <f t="shared" si="166"/>
        <v>1</v>
      </c>
      <c r="H401" s="330">
        <f t="shared" si="167"/>
        <v>0</v>
      </c>
      <c r="I401" s="328">
        <f t="shared" si="168"/>
        <v>65849.052251565241</v>
      </c>
      <c r="J401" s="331">
        <f t="shared" si="169"/>
        <v>1.5707811405474741</v>
      </c>
      <c r="K401" s="339">
        <f t="shared" si="159"/>
        <v>10.81179471852017</v>
      </c>
      <c r="L401" s="340">
        <f t="shared" si="160"/>
        <v>1.4781723614846107</v>
      </c>
      <c r="M401" s="328">
        <f t="shared" si="170"/>
        <v>1.0151724597423517</v>
      </c>
      <c r="N401" s="331">
        <f t="shared" si="171"/>
        <v>0.17310733565400674</v>
      </c>
      <c r="O401" s="332">
        <f t="shared" si="172"/>
        <v>1.0052880246090947</v>
      </c>
      <c r="P401" s="333">
        <f t="shared" si="173"/>
        <v>0.25506831024049015</v>
      </c>
      <c r="Q401" s="334">
        <f t="shared" si="174"/>
        <v>-0.48411504735319105</v>
      </c>
      <c r="R401" s="335">
        <f t="shared" si="175"/>
        <v>-114.28109688818311</v>
      </c>
      <c r="S401" s="337">
        <f t="shared" si="176"/>
        <v>65.718903111816886</v>
      </c>
      <c r="U401" s="310">
        <f t="shared" si="181"/>
        <v>36308</v>
      </c>
      <c r="V401" s="310">
        <f t="shared" si="182"/>
        <v>1318270864</v>
      </c>
      <c r="X401" s="336">
        <f t="shared" si="177"/>
        <v>1.2062277586234806</v>
      </c>
      <c r="Y401" s="337">
        <f t="shared" si="183"/>
        <v>-15.224411939287101</v>
      </c>
      <c r="AA401" s="336">
        <f t="shared" si="178"/>
        <v>-1.6903428059766734</v>
      </c>
      <c r="AB401" s="337">
        <f t="shared" si="179"/>
        <v>-99.056684948896006</v>
      </c>
      <c r="AD401">
        <f t="shared" si="184"/>
        <v>0</v>
      </c>
      <c r="AE401">
        <f t="shared" si="161"/>
        <v>0</v>
      </c>
    </row>
    <row r="402" spans="1:31" x14ac:dyDescent="0.25">
      <c r="A402" s="338">
        <v>36519.5</v>
      </c>
      <c r="B402" s="355">
        <f t="shared" si="180"/>
        <v>36.519500000000001</v>
      </c>
      <c r="C402" s="328">
        <f t="shared" si="162"/>
        <v>12.287829529908258</v>
      </c>
      <c r="D402" s="329">
        <f t="shared" si="163"/>
        <v>1.489324890308301</v>
      </c>
      <c r="E402" s="329">
        <f t="shared" si="164"/>
        <v>1.0001146680316662</v>
      </c>
      <c r="F402" s="330">
        <f t="shared" si="165"/>
        <v>1.5143122230259171E-2</v>
      </c>
      <c r="G402" s="329">
        <f t="shared" si="166"/>
        <v>1</v>
      </c>
      <c r="H402" s="330">
        <f t="shared" si="167"/>
        <v>0</v>
      </c>
      <c r="I402" s="328">
        <f t="shared" si="168"/>
        <v>66232.633681222724</v>
      </c>
      <c r="J402" s="331">
        <f t="shared" si="169"/>
        <v>1.5707812284975098</v>
      </c>
      <c r="K402" s="339">
        <f t="shared" si="159"/>
        <v>10.874237948039172</v>
      </c>
      <c r="L402" s="340">
        <f t="shared" si="160"/>
        <v>1.478705749943346</v>
      </c>
      <c r="M402" s="328">
        <f t="shared" si="170"/>
        <v>1.0153483986446519</v>
      </c>
      <c r="N402" s="331">
        <f t="shared" si="171"/>
        <v>0.1740955184906717</v>
      </c>
      <c r="O402" s="332">
        <f t="shared" si="172"/>
        <v>1.0053540081631038</v>
      </c>
      <c r="P402" s="333">
        <f t="shared" si="173"/>
        <v>0.25657028966542839</v>
      </c>
      <c r="Q402" s="334">
        <f t="shared" si="174"/>
        <v>-0.53672182223104814</v>
      </c>
      <c r="R402" s="335">
        <f t="shared" si="175"/>
        <v>-114.41526318248006</v>
      </c>
      <c r="S402" s="337">
        <f t="shared" si="176"/>
        <v>65.584736817519939</v>
      </c>
      <c r="U402" s="310">
        <f t="shared" si="181"/>
        <v>36519.5</v>
      </c>
      <c r="V402" s="310">
        <f t="shared" si="182"/>
        <v>1333673880.25</v>
      </c>
      <c r="X402" s="336">
        <f t="shared" si="177"/>
        <v>1.2042934352755128</v>
      </c>
      <c r="Y402" s="337">
        <f t="shared" si="183"/>
        <v>-15.250474776884381</v>
      </c>
      <c r="AA402" s="336">
        <f t="shared" si="178"/>
        <v>-1.7410152575065638</v>
      </c>
      <c r="AB402" s="337">
        <f t="shared" si="179"/>
        <v>-99.164788405595672</v>
      </c>
      <c r="AD402">
        <f t="shared" si="184"/>
        <v>0</v>
      </c>
      <c r="AE402">
        <f t="shared" si="161"/>
        <v>0</v>
      </c>
    </row>
    <row r="403" spans="1:31" x14ac:dyDescent="0.25">
      <c r="A403" s="338">
        <v>36731</v>
      </c>
      <c r="B403" s="355">
        <f t="shared" si="180"/>
        <v>36.731000000000002</v>
      </c>
      <c r="C403" s="328">
        <f t="shared" si="162"/>
        <v>12.358523625415538</v>
      </c>
      <c r="D403" s="329">
        <f t="shared" si="163"/>
        <v>1.4897919539269415</v>
      </c>
      <c r="E403" s="329">
        <f t="shared" si="164"/>
        <v>1.0001159999834084</v>
      </c>
      <c r="F403" s="330">
        <f t="shared" si="165"/>
        <v>1.5230808986277943E-2</v>
      </c>
      <c r="G403" s="329">
        <f t="shared" si="166"/>
        <v>1</v>
      </c>
      <c r="H403" s="330">
        <f t="shared" si="167"/>
        <v>0</v>
      </c>
      <c r="I403" s="328">
        <f t="shared" si="168"/>
        <v>66616.215110880687</v>
      </c>
      <c r="J403" s="331">
        <f t="shared" si="169"/>
        <v>1.570781315434699</v>
      </c>
      <c r="K403" s="339">
        <f t="shared" si="159"/>
        <v>10.936684235985945</v>
      </c>
      <c r="L403" s="340">
        <f t="shared" si="160"/>
        <v>1.4792330474670221</v>
      </c>
      <c r="M403" s="328">
        <f t="shared" si="170"/>
        <v>1.0155253286959485</v>
      </c>
      <c r="N403" s="331">
        <f t="shared" si="171"/>
        <v>0.17508335795908464</v>
      </c>
      <c r="O403" s="332">
        <f t="shared" si="172"/>
        <v>1.0054204722102753</v>
      </c>
      <c r="P403" s="333">
        <f t="shared" si="173"/>
        <v>0.25807253776948091</v>
      </c>
      <c r="Q403" s="334">
        <f t="shared" si="174"/>
        <v>-0.58904793881569195</v>
      </c>
      <c r="R403" s="335">
        <f t="shared" si="175"/>
        <v>-114.54946444270645</v>
      </c>
      <c r="S403" s="337">
        <f t="shared" si="176"/>
        <v>65.450535557293549</v>
      </c>
      <c r="U403" s="310">
        <f t="shared" si="181"/>
        <v>36731</v>
      </c>
      <c r="V403" s="310">
        <f t="shared" si="182"/>
        <v>1349166361</v>
      </c>
      <c r="X403" s="336">
        <f t="shared" si="177"/>
        <v>1.2023582451604067</v>
      </c>
      <c r="Y403" s="337">
        <f t="shared" si="183"/>
        <v>-15.276866867770741</v>
      </c>
      <c r="AA403" s="336">
        <f t="shared" si="178"/>
        <v>-1.7914061839761011</v>
      </c>
      <c r="AB403" s="337">
        <f t="shared" si="179"/>
        <v>-99.272597574935745</v>
      </c>
      <c r="AD403">
        <f t="shared" si="184"/>
        <v>0</v>
      </c>
      <c r="AE403">
        <f t="shared" si="161"/>
        <v>0</v>
      </c>
    </row>
    <row r="404" spans="1:31" x14ac:dyDescent="0.25">
      <c r="A404" s="338">
        <v>36942.5</v>
      </c>
      <c r="B404" s="355">
        <f t="shared" si="180"/>
        <v>36.942500000000003</v>
      </c>
      <c r="C404" s="328">
        <f t="shared" si="162"/>
        <v>12.429220386246749</v>
      </c>
      <c r="D404" s="329">
        <f t="shared" si="163"/>
        <v>1.4902537043780886</v>
      </c>
      <c r="E404" s="329">
        <f t="shared" si="164"/>
        <v>1.0001173396249896</v>
      </c>
      <c r="F404" s="330">
        <f t="shared" si="165"/>
        <v>1.5318495508060848E-2</v>
      </c>
      <c r="G404" s="329">
        <f t="shared" si="166"/>
        <v>1</v>
      </c>
      <c r="H404" s="330">
        <f t="shared" si="167"/>
        <v>0</v>
      </c>
      <c r="I404" s="328">
        <f t="shared" si="168"/>
        <v>66999.796540539188</v>
      </c>
      <c r="J404" s="331">
        <f t="shared" si="169"/>
        <v>1.5707814013764376</v>
      </c>
      <c r="K404" s="339">
        <f t="shared" si="159"/>
        <v>10.999133530268901</v>
      </c>
      <c r="L404" s="340">
        <f t="shared" si="160"/>
        <v>1.479754357506589</v>
      </c>
      <c r="M404" s="328">
        <f t="shared" si="170"/>
        <v>1.0157032493782827</v>
      </c>
      <c r="N404" s="331">
        <f t="shared" si="171"/>
        <v>0.17607085231126976</v>
      </c>
      <c r="O404" s="332">
        <f t="shared" si="172"/>
        <v>1.0054874184206541</v>
      </c>
      <c r="P404" s="333">
        <f t="shared" si="173"/>
        <v>0.25957505573184636</v>
      </c>
      <c r="Q404" s="334">
        <f t="shared" si="174"/>
        <v>-0.64109678318703045</v>
      </c>
      <c r="R404" s="335">
        <f t="shared" si="175"/>
        <v>-114.68369998285384</v>
      </c>
      <c r="S404" s="337">
        <f t="shared" si="176"/>
        <v>65.316300017146162</v>
      </c>
      <c r="U404" s="310">
        <f t="shared" si="181"/>
        <v>36942.5</v>
      </c>
      <c r="V404" s="310">
        <f t="shared" si="182"/>
        <v>1364748306.25</v>
      </c>
      <c r="X404" s="336">
        <f t="shared" si="177"/>
        <v>1.2004220303769348</v>
      </c>
      <c r="Y404" s="337">
        <f t="shared" si="183"/>
        <v>-15.3035821854884</v>
      </c>
      <c r="AA404" s="336">
        <f t="shared" si="178"/>
        <v>-1.8415188135639651</v>
      </c>
      <c r="AB404" s="337">
        <f t="shared" si="179"/>
        <v>-99.380117797365401</v>
      </c>
      <c r="AD404">
        <f t="shared" si="184"/>
        <v>0</v>
      </c>
      <c r="AE404">
        <f t="shared" si="161"/>
        <v>0</v>
      </c>
    </row>
    <row r="405" spans="1:31" x14ac:dyDescent="0.25">
      <c r="A405" s="338">
        <v>37154</v>
      </c>
      <c r="B405" s="355">
        <f t="shared" si="180"/>
        <v>37.154000000000003</v>
      </c>
      <c r="C405" s="328">
        <f t="shared" si="162"/>
        <v>12.499919767178461</v>
      </c>
      <c r="D405" s="329">
        <f t="shared" si="163"/>
        <v>1.4907102316167649</v>
      </c>
      <c r="E405" s="329">
        <f t="shared" si="164"/>
        <v>1.0001186869563781</v>
      </c>
      <c r="F405" s="330">
        <f t="shared" si="165"/>
        <v>1.5406181794260398E-2</v>
      </c>
      <c r="G405" s="329">
        <f t="shared" si="166"/>
        <v>1</v>
      </c>
      <c r="H405" s="330">
        <f t="shared" si="167"/>
        <v>0</v>
      </c>
      <c r="I405" s="328">
        <f t="shared" si="168"/>
        <v>67383.37797019814</v>
      </c>
      <c r="J405" s="331">
        <f t="shared" si="169"/>
        <v>1.5707814863397256</v>
      </c>
      <c r="K405" s="339">
        <f t="shared" si="159"/>
        <v>11.061585779970319</v>
      </c>
      <c r="L405" s="340">
        <f t="shared" si="160"/>
        <v>1.4802697811899019</v>
      </c>
      <c r="M405" s="328">
        <f t="shared" si="170"/>
        <v>1.0158821601711601</v>
      </c>
      <c r="N405" s="331">
        <f t="shared" si="171"/>
        <v>0.17705799980316461</v>
      </c>
      <c r="O405" s="332">
        <f t="shared" si="172"/>
        <v>1.0055548484733421</v>
      </c>
      <c r="P405" s="333">
        <f t="shared" si="173"/>
        <v>0.26107784472518036</v>
      </c>
      <c r="Q405" s="334">
        <f t="shared" si="174"/>
        <v>-0.69287168315669412</v>
      </c>
      <c r="R405" s="335">
        <f t="shared" si="175"/>
        <v>-114.81796913107786</v>
      </c>
      <c r="S405" s="337">
        <f t="shared" si="176"/>
        <v>65.182030868922141</v>
      </c>
      <c r="U405" s="310">
        <f t="shared" si="181"/>
        <v>37154</v>
      </c>
      <c r="V405" s="310">
        <f t="shared" si="182"/>
        <v>1380419716</v>
      </c>
      <c r="X405" s="336">
        <f t="shared" si="177"/>
        <v>1.198484637755622</v>
      </c>
      <c r="Y405" s="337">
        <f t="shared" si="183"/>
        <v>-15.330614836884694</v>
      </c>
      <c r="AA405" s="336">
        <f t="shared" si="178"/>
        <v>-1.8913563209123174</v>
      </c>
      <c r="AB405" s="337">
        <f t="shared" si="179"/>
        <v>-99.487354294193182</v>
      </c>
      <c r="AD405">
        <f t="shared" si="184"/>
        <v>0</v>
      </c>
      <c r="AE405">
        <f t="shared" si="161"/>
        <v>0</v>
      </c>
    </row>
    <row r="406" spans="1:31" x14ac:dyDescent="0.25">
      <c r="A406" s="338">
        <v>37370.25</v>
      </c>
      <c r="B406" s="355">
        <f t="shared" si="180"/>
        <v>37.370249999999999</v>
      </c>
      <c r="C406" s="328">
        <f t="shared" si="162"/>
        <v>12.572209622248421</v>
      </c>
      <c r="D406" s="329">
        <f t="shared" si="163"/>
        <v>1.4911717029361666</v>
      </c>
      <c r="E406" s="329">
        <f t="shared" si="164"/>
        <v>1.0001200724977508</v>
      </c>
      <c r="F406" s="330">
        <f t="shared" si="165"/>
        <v>1.5495837149233494E-2</v>
      </c>
      <c r="G406" s="329">
        <f t="shared" si="166"/>
        <v>1</v>
      </c>
      <c r="H406" s="330">
        <f t="shared" si="167"/>
        <v>0</v>
      </c>
      <c r="I406" s="328">
        <f t="shared" si="168"/>
        <v>67775.574112816859</v>
      </c>
      <c r="J406" s="331">
        <f t="shared" si="169"/>
        <v>1.5707815722168186</v>
      </c>
      <c r="K406" s="339">
        <f t="shared" si="159"/>
        <v>11.125443625449032</v>
      </c>
      <c r="L406" s="340">
        <f t="shared" si="160"/>
        <v>1.4807907974198486</v>
      </c>
      <c r="M406" s="328">
        <f t="shared" si="170"/>
        <v>1.0160661122253238</v>
      </c>
      <c r="N406" s="331">
        <f t="shared" si="171"/>
        <v>0.17806695682877557</v>
      </c>
      <c r="O406" s="332">
        <f t="shared" si="172"/>
        <v>1.0056242949351035</v>
      </c>
      <c r="P406" s="333">
        <f t="shared" si="173"/>
        <v>0.26261466574317871</v>
      </c>
      <c r="Q406" s="334">
        <f t="shared" si="174"/>
        <v>-0.74552954115784709</v>
      </c>
      <c r="R406" s="335">
        <f t="shared" si="175"/>
        <v>-114.95528784358922</v>
      </c>
      <c r="S406" s="337">
        <f t="shared" si="176"/>
        <v>65.044712156410782</v>
      </c>
      <c r="U406" s="310">
        <f t="shared" si="181"/>
        <v>37370.25</v>
      </c>
      <c r="V406" s="310">
        <f t="shared" si="182"/>
        <v>1396535585.0625</v>
      </c>
      <c r="X406" s="336">
        <f t="shared" si="177"/>
        <v>1.196502361375944</v>
      </c>
      <c r="Y406" s="337">
        <f t="shared" si="183"/>
        <v>-15.358576705555441</v>
      </c>
      <c r="AA406" s="336">
        <f t="shared" si="178"/>
        <v>-1.9420319025337913</v>
      </c>
      <c r="AB406" s="337">
        <f t="shared" si="179"/>
        <v>-99.596711138033783</v>
      </c>
      <c r="AD406">
        <f t="shared" si="184"/>
        <v>0</v>
      </c>
      <c r="AE406">
        <f t="shared" si="161"/>
        <v>0</v>
      </c>
    </row>
    <row r="407" spans="1:31" x14ac:dyDescent="0.25">
      <c r="A407" s="338">
        <v>37586.5</v>
      </c>
      <c r="B407" s="355">
        <f t="shared" si="180"/>
        <v>37.586500000000001</v>
      </c>
      <c r="C407" s="328">
        <f t="shared" si="162"/>
        <v>12.644502124029685</v>
      </c>
      <c r="D407" s="329">
        <f t="shared" si="163"/>
        <v>1.4916278976052912</v>
      </c>
      <c r="E407" s="329">
        <f t="shared" si="164"/>
        <v>1.000121466078149</v>
      </c>
      <c r="F407" s="330">
        <f t="shared" si="165"/>
        <v>1.5585492255073696E-2</v>
      </c>
      <c r="G407" s="329">
        <f t="shared" si="166"/>
        <v>1</v>
      </c>
      <c r="H407" s="330">
        <f t="shared" si="167"/>
        <v>0</v>
      </c>
      <c r="I407" s="328">
        <f t="shared" si="168"/>
        <v>68167.770255436044</v>
      </c>
      <c r="J407" s="331">
        <f t="shared" si="169"/>
        <v>1.5707816571057416</v>
      </c>
      <c r="K407" s="339">
        <f t="shared" ref="K407:K470" si="185">SQRT(1+(A407/Zero2)^2)</f>
        <v>11.189304456545397</v>
      </c>
      <c r="L407" s="340">
        <f t="shared" ref="L407:L470" si="186">ATAN(A407/Zero2)</f>
        <v>1.4813058665858345</v>
      </c>
      <c r="M407" s="328">
        <f t="shared" si="170"/>
        <v>1.0162510982539077</v>
      </c>
      <c r="N407" s="331">
        <f t="shared" si="171"/>
        <v>0.17907554756420738</v>
      </c>
      <c r="O407" s="332">
        <f t="shared" si="172"/>
        <v>1.005694250795178</v>
      </c>
      <c r="P407" s="333">
        <f t="shared" si="173"/>
        <v>0.26415177256109618</v>
      </c>
      <c r="Q407" s="334">
        <f t="shared" si="174"/>
        <v>-0.79790786709585892</v>
      </c>
      <c r="R407" s="335">
        <f t="shared" si="175"/>
        <v>-115.09264031387933</v>
      </c>
      <c r="S407" s="337">
        <f t="shared" si="176"/>
        <v>64.907359686120671</v>
      </c>
      <c r="U407" s="310">
        <f t="shared" si="181"/>
        <v>37586.5</v>
      </c>
      <c r="V407" s="310">
        <f t="shared" si="182"/>
        <v>1412744982.25</v>
      </c>
      <c r="X407" s="336">
        <f t="shared" si="177"/>
        <v>1.1945185442771962</v>
      </c>
      <c r="Y407" s="337">
        <f t="shared" si="183"/>
        <v>-15.386858272392699</v>
      </c>
      <c r="AA407" s="336">
        <f t="shared" si="178"/>
        <v>-1.9924264113730559</v>
      </c>
      <c r="AB407" s="337">
        <f t="shared" si="179"/>
        <v>-99.705782041486643</v>
      </c>
      <c r="AD407">
        <f t="shared" si="184"/>
        <v>0</v>
      </c>
      <c r="AE407">
        <f t="shared" si="161"/>
        <v>0</v>
      </c>
    </row>
    <row r="408" spans="1:31" x14ac:dyDescent="0.25">
      <c r="A408" s="338">
        <v>37802.75</v>
      </c>
      <c r="B408" s="355">
        <f t="shared" si="180"/>
        <v>37.802750000000003</v>
      </c>
      <c r="C408" s="328">
        <f t="shared" si="162"/>
        <v>12.716797227384149</v>
      </c>
      <c r="D408" s="329">
        <f t="shared" si="163"/>
        <v>1.4920789054260295</v>
      </c>
      <c r="E408" s="329">
        <f t="shared" si="164"/>
        <v>1.0001228676975391</v>
      </c>
      <c r="F408" s="330">
        <f t="shared" si="165"/>
        <v>1.5675147110340758E-2</v>
      </c>
      <c r="G408" s="329">
        <f t="shared" si="166"/>
        <v>1</v>
      </c>
      <c r="H408" s="330">
        <f t="shared" si="167"/>
        <v>0</v>
      </c>
      <c r="I408" s="328">
        <f t="shared" si="168"/>
        <v>68559.966398055723</v>
      </c>
      <c r="J408" s="331">
        <f t="shared" si="169"/>
        <v>1.5707817410234535</v>
      </c>
      <c r="K408" s="339">
        <f t="shared" si="185"/>
        <v>11.253168222429991</v>
      </c>
      <c r="L408" s="340">
        <f t="shared" si="186"/>
        <v>1.4818150896642064</v>
      </c>
      <c r="M408" s="328">
        <f t="shared" si="170"/>
        <v>1.0164371176923777</v>
      </c>
      <c r="N408" s="331">
        <f t="shared" si="171"/>
        <v>0.18008377015802257</v>
      </c>
      <c r="O408" s="332">
        <f t="shared" si="172"/>
        <v>1.0057647178776541</v>
      </c>
      <c r="P408" s="333">
        <f t="shared" si="173"/>
        <v>0.26568916641092111</v>
      </c>
      <c r="Q408" s="334">
        <f t="shared" si="174"/>
        <v>-0.85001003768905936</v>
      </c>
      <c r="R408" s="335">
        <f t="shared" si="175"/>
        <v>-115.23002586726139</v>
      </c>
      <c r="S408" s="337">
        <f t="shared" si="176"/>
        <v>64.769974132738611</v>
      </c>
      <c r="U408" s="310">
        <f t="shared" si="181"/>
        <v>37802.75</v>
      </c>
      <c r="V408" s="310">
        <f t="shared" si="182"/>
        <v>1429047907.5625</v>
      </c>
      <c r="X408" s="336">
        <f t="shared" si="177"/>
        <v>1.1925330370758715</v>
      </c>
      <c r="Y408" s="337">
        <f t="shared" si="183"/>
        <v>-15.415453646770059</v>
      </c>
      <c r="AA408" s="336">
        <f t="shared" si="178"/>
        <v>-2.0425430747649322</v>
      </c>
      <c r="AB408" s="337">
        <f t="shared" si="179"/>
        <v>-99.814572220491328</v>
      </c>
      <c r="AD408">
        <f t="shared" si="184"/>
        <v>0</v>
      </c>
      <c r="AE408">
        <f t="shared" si="161"/>
        <v>0</v>
      </c>
    </row>
    <row r="409" spans="1:31" x14ac:dyDescent="0.25">
      <c r="A409" s="338">
        <v>38019</v>
      </c>
      <c r="B409" s="355">
        <f t="shared" si="180"/>
        <v>38.018999999999998</v>
      </c>
      <c r="C409" s="328">
        <f t="shared" si="162"/>
        <v>12.789094888192736</v>
      </c>
      <c r="D409" s="329">
        <f t="shared" si="163"/>
        <v>1.4925248141781957</v>
      </c>
      <c r="E409" s="329">
        <f t="shared" si="164"/>
        <v>1.0001242773558874</v>
      </c>
      <c r="F409" s="330">
        <f t="shared" si="165"/>
        <v>1.5764801713594435E-2</v>
      </c>
      <c r="G409" s="329">
        <f t="shared" si="166"/>
        <v>1</v>
      </c>
      <c r="H409" s="330">
        <f t="shared" si="167"/>
        <v>0</v>
      </c>
      <c r="I409" s="328">
        <f t="shared" si="168"/>
        <v>68952.162540675898</v>
      </c>
      <c r="J409" s="331">
        <f t="shared" si="169"/>
        <v>1.5707818239865265</v>
      </c>
      <c r="K409" s="339">
        <f t="shared" si="185"/>
        <v>11.317034873418436</v>
      </c>
      <c r="L409" s="340">
        <f t="shared" si="186"/>
        <v>1.4823185653641937</v>
      </c>
      <c r="M409" s="328">
        <f t="shared" si="170"/>
        <v>1.0166241699734617</v>
      </c>
      <c r="N409" s="331">
        <f t="shared" si="171"/>
        <v>0.18109162276312876</v>
      </c>
      <c r="O409" s="332">
        <f t="shared" si="172"/>
        <v>1.0058356980164687</v>
      </c>
      <c r="P409" s="333">
        <f t="shared" si="173"/>
        <v>0.26722684851732487</v>
      </c>
      <c r="Q409" s="334">
        <f t="shared" si="174"/>
        <v>-0.90183937162209582</v>
      </c>
      <c r="R409" s="335">
        <f t="shared" si="175"/>
        <v>-115.36744384289599</v>
      </c>
      <c r="S409" s="337">
        <f t="shared" si="176"/>
        <v>64.632556157104005</v>
      </c>
      <c r="U409" s="310">
        <f t="shared" si="181"/>
        <v>38019</v>
      </c>
      <c r="V409" s="310">
        <f t="shared" si="182"/>
        <v>1445444361</v>
      </c>
      <c r="X409" s="336">
        <f t="shared" si="177"/>
        <v>1.1905456949034048</v>
      </c>
      <c r="Y409" s="337">
        <f t="shared" si="183"/>
        <v>-15.444357068184214</v>
      </c>
      <c r="AA409" s="336">
        <f t="shared" si="178"/>
        <v>-2.0923850665255008</v>
      </c>
      <c r="AB409" s="337">
        <f t="shared" si="179"/>
        <v>-99.923086774711749</v>
      </c>
      <c r="AD409">
        <f t="shared" si="184"/>
        <v>0</v>
      </c>
      <c r="AE409">
        <f t="shared" si="161"/>
        <v>0</v>
      </c>
    </row>
    <row r="410" spans="1:31" x14ac:dyDescent="0.25">
      <c r="A410" s="338">
        <v>38240.5</v>
      </c>
      <c r="B410" s="355">
        <f t="shared" si="180"/>
        <v>38.240499999999997</v>
      </c>
      <c r="C410" s="328">
        <f t="shared" si="162"/>
        <v>12.863150358600267</v>
      </c>
      <c r="D410" s="329">
        <f t="shared" si="163"/>
        <v>1.4929763518731733</v>
      </c>
      <c r="E410" s="329">
        <f t="shared" si="164"/>
        <v>1.0001257295711947</v>
      </c>
      <c r="F410" s="330">
        <f t="shared" si="165"/>
        <v>1.5856632639821667E-2</v>
      </c>
      <c r="G410" s="329">
        <f t="shared" si="166"/>
        <v>1</v>
      </c>
      <c r="H410" s="330">
        <f t="shared" si="167"/>
        <v>0</v>
      </c>
      <c r="I410" s="328">
        <f t="shared" si="168"/>
        <v>69353.880208146278</v>
      </c>
      <c r="J410" s="331">
        <f t="shared" si="169"/>
        <v>1.5707819079909735</v>
      </c>
      <c r="K410" s="339">
        <f t="shared" si="185"/>
        <v>11.382454984520992</v>
      </c>
      <c r="L410" s="340">
        <f t="shared" si="186"/>
        <v>1.4828284066479209</v>
      </c>
      <c r="M410" s="328">
        <f t="shared" si="170"/>
        <v>1.0168168335716399</v>
      </c>
      <c r="N410" s="331">
        <f t="shared" si="171"/>
        <v>0.1821235579690309</v>
      </c>
      <c r="O410" s="332">
        <f t="shared" si="172"/>
        <v>1.0059089351906061</v>
      </c>
      <c r="P410" s="333">
        <f t="shared" si="173"/>
        <v>0.26880216174530319</v>
      </c>
      <c r="Q410" s="334">
        <f t="shared" si="174"/>
        <v>-0.95464754597005386</v>
      </c>
      <c r="R410" s="335">
        <f t="shared" si="175"/>
        <v>-115.50823091349315</v>
      </c>
      <c r="S410" s="337">
        <f t="shared" si="176"/>
        <v>64.491769086506849</v>
      </c>
      <c r="U410" s="310">
        <f t="shared" si="181"/>
        <v>38240.5</v>
      </c>
      <c r="V410" s="310">
        <f t="shared" si="182"/>
        <v>1462335840.25</v>
      </c>
      <c r="X410" s="336">
        <f t="shared" si="177"/>
        <v>1.188508055969381</v>
      </c>
      <c r="Y410" s="337">
        <f t="shared" si="183"/>
        <v>-15.474275659568734</v>
      </c>
      <c r="AA410" s="336">
        <f t="shared" si="178"/>
        <v>-2.1431556019394362</v>
      </c>
      <c r="AB410" s="337">
        <f t="shared" si="179"/>
        <v>-100.03395525392442</v>
      </c>
      <c r="AD410">
        <f t="shared" si="184"/>
        <v>0</v>
      </c>
      <c r="AE410">
        <f t="shared" ref="AE410:AE473" si="187">IF(AD410&gt;0,S410,0)</f>
        <v>0</v>
      </c>
    </row>
    <row r="411" spans="1:31" x14ac:dyDescent="0.25">
      <c r="A411" s="338">
        <v>38462</v>
      </c>
      <c r="B411" s="355">
        <f t="shared" si="180"/>
        <v>38.462000000000003</v>
      </c>
      <c r="C411" s="328">
        <f t="shared" si="162"/>
        <v>12.937208421602568</v>
      </c>
      <c r="D411" s="329">
        <f t="shared" si="163"/>
        <v>1.4934227200720929</v>
      </c>
      <c r="E411" s="329">
        <f t="shared" si="164"/>
        <v>1.0001271902204569</v>
      </c>
      <c r="F411" s="330">
        <f t="shared" si="165"/>
        <v>1.5948463298591866E-2</v>
      </c>
      <c r="G411" s="329">
        <f t="shared" si="166"/>
        <v>1</v>
      </c>
      <c r="H411" s="330">
        <f t="shared" si="167"/>
        <v>0</v>
      </c>
      <c r="I411" s="328">
        <f t="shared" si="168"/>
        <v>69755.597875617153</v>
      </c>
      <c r="J411" s="331">
        <f t="shared" si="169"/>
        <v>1.5707819910278689</v>
      </c>
      <c r="K411" s="339">
        <f t="shared" si="185"/>
        <v>11.447878020541221</v>
      </c>
      <c r="L411" s="340">
        <f t="shared" si="186"/>
        <v>1.4833324207168876</v>
      </c>
      <c r="M411" s="328">
        <f t="shared" si="170"/>
        <v>1.0170105795572444</v>
      </c>
      <c r="N411" s="331">
        <f t="shared" si="171"/>
        <v>0.18315510109465097</v>
      </c>
      <c r="O411" s="332">
        <f t="shared" si="172"/>
        <v>1.0059827145613367</v>
      </c>
      <c r="P411" s="333">
        <f t="shared" si="173"/>
        <v>0.27037777997322632</v>
      </c>
      <c r="Q411" s="334">
        <f t="shared" si="174"/>
        <v>-1.0071763424496298</v>
      </c>
      <c r="R411" s="335">
        <f t="shared" si="175"/>
        <v>-115.64905063914784</v>
      </c>
      <c r="S411" s="337">
        <f t="shared" si="176"/>
        <v>64.350949360852155</v>
      </c>
      <c r="U411" s="310">
        <f t="shared" si="181"/>
        <v>38462</v>
      </c>
      <c r="V411" s="310">
        <f t="shared" si="182"/>
        <v>1479325444</v>
      </c>
      <c r="X411" s="336">
        <f t="shared" si="177"/>
        <v>1.1864681980965353</v>
      </c>
      <c r="Y411" s="337">
        <f t="shared" si="183"/>
        <v>-15.504505605783679</v>
      </c>
      <c r="AA411" s="336">
        <f t="shared" si="178"/>
        <v>-2.1936445405461651</v>
      </c>
      <c r="AB411" s="337">
        <f t="shared" si="179"/>
        <v>-100.14454503336417</v>
      </c>
      <c r="AD411">
        <f t="shared" si="184"/>
        <v>0</v>
      </c>
      <c r="AE411">
        <f t="shared" si="187"/>
        <v>0</v>
      </c>
    </row>
    <row r="412" spans="1:31" x14ac:dyDescent="0.25">
      <c r="A412" s="338">
        <v>38683.5</v>
      </c>
      <c r="B412" s="355">
        <f t="shared" si="180"/>
        <v>38.683500000000002</v>
      </c>
      <c r="C412" s="328">
        <f t="shared" si="162"/>
        <v>13.011269032929732</v>
      </c>
      <c r="D412" s="329">
        <f t="shared" si="163"/>
        <v>1.4938640068704176</v>
      </c>
      <c r="E412" s="329">
        <f t="shared" si="164"/>
        <v>1.0001286593036371</v>
      </c>
      <c r="F412" s="330">
        <f t="shared" si="165"/>
        <v>1.6040293688357413E-2</v>
      </c>
      <c r="G412" s="329">
        <f t="shared" si="166"/>
        <v>1</v>
      </c>
      <c r="H412" s="330">
        <f t="shared" si="167"/>
        <v>0</v>
      </c>
      <c r="I412" s="328">
        <f t="shared" si="168"/>
        <v>70157.315543088494</v>
      </c>
      <c r="J412" s="331">
        <f t="shared" si="169"/>
        <v>1.5707820731138329</v>
      </c>
      <c r="K412" s="339">
        <f t="shared" si="185"/>
        <v>11.513303931617589</v>
      </c>
      <c r="L412" s="340">
        <f t="shared" si="186"/>
        <v>1.483830706654631</v>
      </c>
      <c r="M412" s="328">
        <f t="shared" si="170"/>
        <v>1.0172054073117913</v>
      </c>
      <c r="N412" s="331">
        <f t="shared" si="171"/>
        <v>0.18418625016936485</v>
      </c>
      <c r="O412" s="332">
        <f t="shared" si="172"/>
        <v>1.0060570381314882</v>
      </c>
      <c r="P412" s="333">
        <f t="shared" si="173"/>
        <v>0.27195370449299222</v>
      </c>
      <c r="Q412" s="334">
        <f t="shared" si="174"/>
        <v>-1.0594291465883572</v>
      </c>
      <c r="R412" s="335">
        <f t="shared" si="175"/>
        <v>-115.7899023524426</v>
      </c>
      <c r="S412" s="337">
        <f t="shared" si="176"/>
        <v>64.210097647557404</v>
      </c>
      <c r="U412" s="310">
        <f t="shared" si="181"/>
        <v>38683.5</v>
      </c>
      <c r="V412" s="310">
        <f t="shared" si="182"/>
        <v>1496413172.25</v>
      </c>
      <c r="X412" s="336">
        <f t="shared" si="177"/>
        <v>1.1844259793754168</v>
      </c>
      <c r="Y412" s="337">
        <f t="shared" si="183"/>
        <v>-15.535041117804379</v>
      </c>
      <c r="AA412" s="336">
        <f t="shared" si="178"/>
        <v>-2.2438551259637767</v>
      </c>
      <c r="AB412" s="337">
        <f t="shared" si="179"/>
        <v>-100.25486123463824</v>
      </c>
      <c r="AD412">
        <f t="shared" si="184"/>
        <v>0</v>
      </c>
      <c r="AE412">
        <f t="shared" si="187"/>
        <v>0</v>
      </c>
    </row>
    <row r="413" spans="1:31" x14ac:dyDescent="0.25">
      <c r="A413" s="338">
        <v>38905</v>
      </c>
      <c r="B413" s="355">
        <f t="shared" si="180"/>
        <v>38.905000000000001</v>
      </c>
      <c r="C413" s="328">
        <f t="shared" si="162"/>
        <v>13.08533214931259</v>
      </c>
      <c r="D413" s="329">
        <f t="shared" si="163"/>
        <v>1.4943002983771454</v>
      </c>
      <c r="E413" s="329">
        <f t="shared" si="164"/>
        <v>1.0001301368206976</v>
      </c>
      <c r="F413" s="330">
        <f t="shared" si="165"/>
        <v>1.613212380757072E-2</v>
      </c>
      <c r="G413" s="329">
        <f t="shared" si="166"/>
        <v>1</v>
      </c>
      <c r="H413" s="330">
        <f t="shared" si="167"/>
        <v>0</v>
      </c>
      <c r="I413" s="328">
        <f t="shared" si="168"/>
        <v>70559.033210560301</v>
      </c>
      <c r="J413" s="331">
        <f t="shared" si="169"/>
        <v>1.5707821542651079</v>
      </c>
      <c r="K413" s="339">
        <f t="shared" si="185"/>
        <v>11.578732669013371</v>
      </c>
      <c r="L413" s="340">
        <f t="shared" si="186"/>
        <v>1.4843233613166216</v>
      </c>
      <c r="M413" s="328">
        <f t="shared" si="170"/>
        <v>1.0174013162138196</v>
      </c>
      <c r="N413" s="331">
        <f t="shared" si="171"/>
        <v>0.18521700322740547</v>
      </c>
      <c r="O413" s="332">
        <f t="shared" si="172"/>
        <v>1.0061319079146707</v>
      </c>
      <c r="P413" s="333">
        <f t="shared" si="173"/>
        <v>0.27352993658825803</v>
      </c>
      <c r="Q413" s="334">
        <f t="shared" si="174"/>
        <v>-1.1114092857003375</v>
      </c>
      <c r="R413" s="335">
        <f t="shared" si="175"/>
        <v>-115.93078539958719</v>
      </c>
      <c r="S413" s="337">
        <f t="shared" si="176"/>
        <v>64.069214600412806</v>
      </c>
      <c r="U413" s="310">
        <f t="shared" si="181"/>
        <v>38905</v>
      </c>
      <c r="V413" s="310">
        <f t="shared" si="182"/>
        <v>1513599025</v>
      </c>
      <c r="X413" s="336">
        <f t="shared" si="177"/>
        <v>1.1823812622356502</v>
      </c>
      <c r="Y413" s="337">
        <f t="shared" si="183"/>
        <v>-15.565876534521594</v>
      </c>
      <c r="AA413" s="336">
        <f t="shared" si="178"/>
        <v>-2.2937905479359877</v>
      </c>
      <c r="AB413" s="337">
        <f t="shared" si="179"/>
        <v>-100.36490886506557</v>
      </c>
      <c r="AD413">
        <f t="shared" si="184"/>
        <v>0</v>
      </c>
      <c r="AE413">
        <f t="shared" si="187"/>
        <v>0</v>
      </c>
    </row>
    <row r="414" spans="1:31" x14ac:dyDescent="0.25">
      <c r="A414" s="338">
        <v>39131.5</v>
      </c>
      <c r="B414" s="355">
        <f t="shared" si="180"/>
        <v>39.131500000000003</v>
      </c>
      <c r="C414" s="328">
        <f t="shared" si="162"/>
        <v>13.161069665790645</v>
      </c>
      <c r="D414" s="329">
        <f t="shared" si="163"/>
        <v>1.4947413604392543</v>
      </c>
      <c r="E414" s="329">
        <f t="shared" si="164"/>
        <v>1.0001316564118501</v>
      </c>
      <c r="F414" s="330">
        <f t="shared" si="165"/>
        <v>1.6226026560044477E-2</v>
      </c>
      <c r="G414" s="329">
        <f t="shared" si="166"/>
        <v>1</v>
      </c>
      <c r="H414" s="330">
        <f t="shared" si="167"/>
        <v>0</v>
      </c>
      <c r="I414" s="328">
        <f t="shared" si="168"/>
        <v>70969.81899693716</v>
      </c>
      <c r="J414" s="331">
        <f t="shared" si="169"/>
        <v>1.5707822362982014</v>
      </c>
      <c r="K414" s="339">
        <f t="shared" si="185"/>
        <v>11.645641226182853</v>
      </c>
      <c r="L414" s="340">
        <f t="shared" si="186"/>
        <v>1.4848214121097965</v>
      </c>
      <c r="M414" s="328">
        <f t="shared" si="170"/>
        <v>1.0176027648187205</v>
      </c>
      <c r="N414" s="331">
        <f t="shared" si="171"/>
        <v>0.18627061227910474</v>
      </c>
      <c r="O414" s="332">
        <f t="shared" si="172"/>
        <v>1.0062090347169257</v>
      </c>
      <c r="P414" s="333">
        <f t="shared" si="173"/>
        <v>0.27514206894059923</v>
      </c>
      <c r="Q414" s="334">
        <f t="shared" si="174"/>
        <v>-1.1642842315604556</v>
      </c>
      <c r="R414" s="335">
        <f t="shared" si="175"/>
        <v>-116.07488038645538</v>
      </c>
      <c r="S414" s="337">
        <f t="shared" si="176"/>
        <v>63.925119613544624</v>
      </c>
      <c r="U414" s="310">
        <f t="shared" si="181"/>
        <v>39131.5</v>
      </c>
      <c r="V414" s="310">
        <f t="shared" si="182"/>
        <v>1531274292.25</v>
      </c>
      <c r="X414" s="336">
        <f t="shared" si="177"/>
        <v>1.1802876663614967</v>
      </c>
      <c r="Y414" s="337">
        <f t="shared" si="183"/>
        <v>-15.597712378195091</v>
      </c>
      <c r="AA414" s="336">
        <f t="shared" si="178"/>
        <v>-2.344571897921953</v>
      </c>
      <c r="AB414" s="337">
        <f t="shared" si="179"/>
        <v>-100.47716800826026</v>
      </c>
      <c r="AD414">
        <f t="shared" si="184"/>
        <v>0</v>
      </c>
      <c r="AE414">
        <f t="shared" si="187"/>
        <v>0</v>
      </c>
    </row>
    <row r="415" spans="1:31" x14ac:dyDescent="0.25">
      <c r="A415" s="338">
        <v>39358</v>
      </c>
      <c r="B415" s="355">
        <f t="shared" si="180"/>
        <v>39.357999999999997</v>
      </c>
      <c r="C415" s="328">
        <f t="shared" si="162"/>
        <v>13.236809713268174</v>
      </c>
      <c r="D415" s="329">
        <f t="shared" si="163"/>
        <v>1.4951773751362936</v>
      </c>
      <c r="E415" s="329">
        <f t="shared" si="164"/>
        <v>1.0001331848218633</v>
      </c>
      <c r="F415" s="330">
        <f t="shared" si="165"/>
        <v>1.6319929026340642E-2</v>
      </c>
      <c r="G415" s="329">
        <f t="shared" si="166"/>
        <v>1</v>
      </c>
      <c r="H415" s="330">
        <f t="shared" si="167"/>
        <v>0</v>
      </c>
      <c r="I415" s="328">
        <f t="shared" si="168"/>
        <v>71380.604783314455</v>
      </c>
      <c r="J415" s="331">
        <f t="shared" si="169"/>
        <v>1.570782317387116</v>
      </c>
      <c r="K415" s="339">
        <f t="shared" si="185"/>
        <v>11.712552639102389</v>
      </c>
      <c r="L415" s="340">
        <f t="shared" si="186"/>
        <v>1.4853137724997163</v>
      </c>
      <c r="M415" s="328">
        <f t="shared" si="170"/>
        <v>1.017805342608449</v>
      </c>
      <c r="N415" s="331">
        <f t="shared" si="171"/>
        <v>0.1873238030916711</v>
      </c>
      <c r="O415" s="332">
        <f t="shared" si="172"/>
        <v>1.0062867369633293</v>
      </c>
      <c r="P415" s="333">
        <f t="shared" si="173"/>
        <v>0.27675452559944774</v>
      </c>
      <c r="Q415" s="334">
        <f t="shared" si="174"/>
        <v>-1.2168809199021526</v>
      </c>
      <c r="R415" s="335">
        <f t="shared" si="175"/>
        <v>-116.21900679705396</v>
      </c>
      <c r="S415" s="337">
        <f t="shared" si="176"/>
        <v>63.780993202946036</v>
      </c>
      <c r="U415" s="310">
        <f t="shared" si="181"/>
        <v>39358</v>
      </c>
      <c r="V415" s="310">
        <f t="shared" si="182"/>
        <v>1549052164</v>
      </c>
      <c r="X415" s="336">
        <f t="shared" si="177"/>
        <v>1.1781911803223029</v>
      </c>
      <c r="Y415" s="337">
        <f t="shared" si="183"/>
        <v>-15.629850240524576</v>
      </c>
      <c r="AA415" s="336">
        <f t="shared" si="178"/>
        <v>-2.3950721002244584</v>
      </c>
      <c r="AB415" s="337">
        <f t="shared" si="179"/>
        <v>-100.58915655652939</v>
      </c>
      <c r="AD415">
        <f t="shared" si="184"/>
        <v>0</v>
      </c>
      <c r="AE415">
        <f t="shared" si="187"/>
        <v>0</v>
      </c>
    </row>
    <row r="416" spans="1:31" x14ac:dyDescent="0.25">
      <c r="A416" s="338">
        <v>39584.5</v>
      </c>
      <c r="B416" s="355">
        <f t="shared" si="180"/>
        <v>39.584499999999998</v>
      </c>
      <c r="C416" s="328">
        <f t="shared" si="162"/>
        <v>13.312552248545794</v>
      </c>
      <c r="D416" s="329">
        <f t="shared" si="163"/>
        <v>1.4956084284528772</v>
      </c>
      <c r="E416" s="329">
        <f t="shared" si="164"/>
        <v>1.0001347220506971</v>
      </c>
      <c r="F416" s="330">
        <f t="shared" si="165"/>
        <v>1.6413831204804542E-2</v>
      </c>
      <c r="G416" s="329">
        <f t="shared" si="166"/>
        <v>1</v>
      </c>
      <c r="H416" s="330">
        <f t="shared" si="167"/>
        <v>0</v>
      </c>
      <c r="I416" s="328">
        <f t="shared" si="168"/>
        <v>71791.390569692245</v>
      </c>
      <c r="J416" s="331">
        <f t="shared" si="169"/>
        <v>1.5707823975480595</v>
      </c>
      <c r="K416" s="339">
        <f t="shared" si="185"/>
        <v>11.779466859107062</v>
      </c>
      <c r="L416" s="340">
        <f t="shared" si="186"/>
        <v>1.4858005392200051</v>
      </c>
      <c r="M416" s="328">
        <f t="shared" si="170"/>
        <v>1.0180090489089015</v>
      </c>
      <c r="N416" s="331">
        <f t="shared" si="171"/>
        <v>0.18837657357906487</v>
      </c>
      <c r="O416" s="332">
        <f t="shared" si="172"/>
        <v>1.0063650168418361</v>
      </c>
      <c r="P416" s="333">
        <f t="shared" si="173"/>
        <v>0.27836730791032566</v>
      </c>
      <c r="Q416" s="334">
        <f t="shared" si="174"/>
        <v>-1.2692027282053537</v>
      </c>
      <c r="R416" s="335">
        <f t="shared" si="175"/>
        <v>-116.36316397410503</v>
      </c>
      <c r="S416" s="337">
        <f t="shared" si="176"/>
        <v>63.636836025894965</v>
      </c>
      <c r="U416" s="310">
        <f t="shared" si="181"/>
        <v>39584.5</v>
      </c>
      <c r="V416" s="310">
        <f t="shared" si="182"/>
        <v>1566932640.25</v>
      </c>
      <c r="X416" s="336">
        <f t="shared" si="177"/>
        <v>1.1760916701749662</v>
      </c>
      <c r="Y416" s="337">
        <f t="shared" si="183"/>
        <v>-15.662284460488996</v>
      </c>
      <c r="AA416" s="336">
        <f t="shared" si="178"/>
        <v>-2.4452943983803217</v>
      </c>
      <c r="AB416" s="337">
        <f t="shared" si="179"/>
        <v>-100.70087951361602</v>
      </c>
      <c r="AD416">
        <f t="shared" si="184"/>
        <v>0</v>
      </c>
      <c r="AE416">
        <f t="shared" si="187"/>
        <v>0</v>
      </c>
    </row>
    <row r="417" spans="1:31" x14ac:dyDescent="0.25">
      <c r="A417" s="338">
        <v>39811</v>
      </c>
      <c r="B417" s="355">
        <f t="shared" si="180"/>
        <v>39.811</v>
      </c>
      <c r="C417" s="328">
        <f t="shared" si="162"/>
        <v>13.388297229400294</v>
      </c>
      <c r="D417" s="329">
        <f t="shared" si="163"/>
        <v>1.4960346044352408</v>
      </c>
      <c r="E417" s="329">
        <f t="shared" si="164"/>
        <v>1.0001362680983108</v>
      </c>
      <c r="F417" s="330">
        <f t="shared" si="165"/>
        <v>1.6507733093781507E-2</v>
      </c>
      <c r="G417" s="329">
        <f t="shared" si="166"/>
        <v>1</v>
      </c>
      <c r="H417" s="330">
        <f t="shared" si="167"/>
        <v>0</v>
      </c>
      <c r="I417" s="328">
        <f t="shared" si="168"/>
        <v>72202.176356070486</v>
      </c>
      <c r="J417" s="331">
        <f t="shared" si="169"/>
        <v>1.5707824767968703</v>
      </c>
      <c r="K417" s="339">
        <f t="shared" si="185"/>
        <v>11.846383838629464</v>
      </c>
      <c r="L417" s="340">
        <f t="shared" si="186"/>
        <v>1.4862818068293404</v>
      </c>
      <c r="M417" s="328">
        <f t="shared" si="170"/>
        <v>1.0182138830427607</v>
      </c>
      <c r="N417" s="331">
        <f t="shared" si="171"/>
        <v>0.18942892166063791</v>
      </c>
      <c r="O417" s="332">
        <f t="shared" si="172"/>
        <v>1.0064438765521242</v>
      </c>
      <c r="P417" s="333">
        <f t="shared" si="173"/>
        <v>0.27998041720953648</v>
      </c>
      <c r="Q417" s="334">
        <f t="shared" si="174"/>
        <v>-1.3212529759430989</v>
      </c>
      <c r="R417" s="335">
        <f t="shared" si="175"/>
        <v>-116.50735127364439</v>
      </c>
      <c r="S417" s="337">
        <f t="shared" si="176"/>
        <v>63.492648726355611</v>
      </c>
      <c r="U417" s="310">
        <f t="shared" si="181"/>
        <v>39811</v>
      </c>
      <c r="V417" s="310">
        <f t="shared" si="182"/>
        <v>1584915721</v>
      </c>
      <c r="X417" s="336">
        <f t="shared" si="177"/>
        <v>1.1739890061190525</v>
      </c>
      <c r="Y417" s="337">
        <f t="shared" si="183"/>
        <v>-15.69500950197035</v>
      </c>
      <c r="AA417" s="336">
        <f t="shared" si="178"/>
        <v>-2.4952419820621516</v>
      </c>
      <c r="AB417" s="337">
        <f t="shared" si="179"/>
        <v>-100.81234177167406</v>
      </c>
      <c r="AD417">
        <f t="shared" si="184"/>
        <v>0</v>
      </c>
      <c r="AE417">
        <f t="shared" si="187"/>
        <v>0</v>
      </c>
    </row>
    <row r="418" spans="1:31" x14ac:dyDescent="0.25">
      <c r="A418" s="338">
        <v>40042.75</v>
      </c>
      <c r="B418" s="355">
        <f t="shared" si="180"/>
        <v>40.042749999999998</v>
      </c>
      <c r="C418" s="328">
        <f t="shared" si="162"/>
        <v>13.465800376836139</v>
      </c>
      <c r="D418" s="329">
        <f t="shared" si="163"/>
        <v>1.4964656961349365</v>
      </c>
      <c r="E418" s="329">
        <f t="shared" si="164"/>
        <v>1.0001378591091845</v>
      </c>
      <c r="F418" s="330">
        <f t="shared" si="165"/>
        <v>1.6603811215253471E-2</v>
      </c>
      <c r="G418" s="329">
        <f t="shared" si="166"/>
        <v>1</v>
      </c>
      <c r="H418" s="330">
        <f t="shared" si="167"/>
        <v>0</v>
      </c>
      <c r="I418" s="328">
        <f t="shared" si="168"/>
        <v>72622.483667299006</v>
      </c>
      <c r="J418" s="331">
        <f t="shared" si="169"/>
        <v>1.5707825569546277</v>
      </c>
      <c r="K418" s="339">
        <f t="shared" si="185"/>
        <v>11.914854681675726</v>
      </c>
      <c r="L418" s="340">
        <f t="shared" si="186"/>
        <v>1.486768634275849</v>
      </c>
      <c r="M418" s="328">
        <f t="shared" si="170"/>
        <v>1.0184246316269692</v>
      </c>
      <c r="N418" s="331">
        <f t="shared" si="171"/>
        <v>0.19050522254619198</v>
      </c>
      <c r="O418" s="332">
        <f t="shared" si="172"/>
        <v>1.006525166590365</v>
      </c>
      <c r="P418" s="333">
        <f t="shared" si="173"/>
        <v>0.28163125628844532</v>
      </c>
      <c r="Q418" s="334">
        <f t="shared" si="174"/>
        <v>-1.374232014053832</v>
      </c>
      <c r="R418" s="335">
        <f t="shared" si="175"/>
        <v>-116.65491118269512</v>
      </c>
      <c r="S418" s="337">
        <f t="shared" si="176"/>
        <v>63.345088817304884</v>
      </c>
      <c r="U418" s="310">
        <f t="shared" si="181"/>
        <v>40042.75</v>
      </c>
      <c r="V418" s="310">
        <f t="shared" si="182"/>
        <v>1603421827.5625</v>
      </c>
      <c r="X418" s="336">
        <f t="shared" si="177"/>
        <v>1.1718342092199889</v>
      </c>
      <c r="Y418" s="337">
        <f t="shared" si="183"/>
        <v>-15.728788434902505</v>
      </c>
      <c r="AA418" s="336">
        <f t="shared" si="178"/>
        <v>-2.5460662232738245</v>
      </c>
      <c r="AB418" s="337">
        <f t="shared" si="179"/>
        <v>-100.9261227477926</v>
      </c>
      <c r="AD418">
        <f t="shared" si="184"/>
        <v>0</v>
      </c>
      <c r="AE418">
        <f t="shared" si="187"/>
        <v>0</v>
      </c>
    </row>
    <row r="419" spans="1:31" x14ac:dyDescent="0.25">
      <c r="A419" s="338">
        <v>40274.5</v>
      </c>
      <c r="B419" s="355">
        <f t="shared" si="180"/>
        <v>40.274500000000003</v>
      </c>
      <c r="C419" s="328">
        <f t="shared" si="162"/>
        <v>13.543305998115255</v>
      </c>
      <c r="D419" s="329">
        <f t="shared" si="163"/>
        <v>1.4968918538105727</v>
      </c>
      <c r="E419" s="329">
        <f t="shared" si="164"/>
        <v>1.000139459352307</v>
      </c>
      <c r="F419" s="330">
        <f t="shared" si="165"/>
        <v>1.6699889030158496E-2</v>
      </c>
      <c r="G419" s="329">
        <f t="shared" si="166"/>
        <v>1</v>
      </c>
      <c r="H419" s="330">
        <f t="shared" si="167"/>
        <v>0</v>
      </c>
      <c r="I419" s="328">
        <f t="shared" si="168"/>
        <v>73042.790978528006</v>
      </c>
      <c r="J419" s="331">
        <f t="shared" si="169"/>
        <v>1.5707826361898878</v>
      </c>
      <c r="K419" s="339">
        <f t="shared" si="185"/>
        <v>11.983328316283771</v>
      </c>
      <c r="L419" s="340">
        <f t="shared" si="186"/>
        <v>1.487249898298425</v>
      </c>
      <c r="M419" s="328">
        <f t="shared" si="170"/>
        <v>1.0186365594893343</v>
      </c>
      <c r="N419" s="331">
        <f t="shared" si="171"/>
        <v>0.19158107682769962</v>
      </c>
      <c r="O419" s="332">
        <f t="shared" si="172"/>
        <v>1.0066070683480712</v>
      </c>
      <c r="P419" s="333">
        <f t="shared" si="173"/>
        <v>0.28328244049034917</v>
      </c>
      <c r="Q419" s="334">
        <f t="shared" si="174"/>
        <v>-1.4269336073450178</v>
      </c>
      <c r="R419" s="335">
        <f t="shared" si="175"/>
        <v>-116.80250130397604</v>
      </c>
      <c r="S419" s="337">
        <f t="shared" si="176"/>
        <v>63.197498696023956</v>
      </c>
      <c r="U419" s="310">
        <f t="shared" si="181"/>
        <v>40274.5</v>
      </c>
      <c r="V419" s="310">
        <f t="shared" si="182"/>
        <v>1622035350.25</v>
      </c>
      <c r="X419" s="336">
        <f t="shared" si="177"/>
        <v>1.1696758482793652</v>
      </c>
      <c r="Y419" s="337">
        <f t="shared" si="183"/>
        <v>-15.762860487163799</v>
      </c>
      <c r="AA419" s="336">
        <f t="shared" si="178"/>
        <v>-2.5966094556243835</v>
      </c>
      <c r="AB419" s="337">
        <f t="shared" si="179"/>
        <v>-101.03964081681225</v>
      </c>
      <c r="AD419">
        <f t="shared" si="184"/>
        <v>0</v>
      </c>
      <c r="AE419">
        <f t="shared" si="187"/>
        <v>0</v>
      </c>
    </row>
    <row r="420" spans="1:31" x14ac:dyDescent="0.25">
      <c r="A420" s="338">
        <v>40506.25</v>
      </c>
      <c r="B420" s="355">
        <f t="shared" si="180"/>
        <v>40.506250000000001</v>
      </c>
      <c r="C420" s="328">
        <f t="shared" si="162"/>
        <v>13.620814051007397</v>
      </c>
      <c r="D420" s="329">
        <f t="shared" si="163"/>
        <v>1.4973131615359225</v>
      </c>
      <c r="E420" s="329">
        <f t="shared" si="164"/>
        <v>1.0001410688276338</v>
      </c>
      <c r="F420" s="330">
        <f t="shared" si="165"/>
        <v>1.6795966536724282E-2</v>
      </c>
      <c r="G420" s="329">
        <f t="shared" si="166"/>
        <v>1</v>
      </c>
      <c r="H420" s="330">
        <f t="shared" si="167"/>
        <v>0</v>
      </c>
      <c r="I420" s="328">
        <f t="shared" si="168"/>
        <v>73463.098289757443</v>
      </c>
      <c r="J420" s="331">
        <f t="shared" si="169"/>
        <v>1.5707827145184843</v>
      </c>
      <c r="K420" s="339">
        <f t="shared" si="185"/>
        <v>12.051804694871917</v>
      </c>
      <c r="L420" s="340">
        <f t="shared" si="186"/>
        <v>1.4877256935035987</v>
      </c>
      <c r="M420" s="328">
        <f t="shared" si="170"/>
        <v>1.0188496658939616</v>
      </c>
      <c r="N420" s="331">
        <f t="shared" si="171"/>
        <v>0.19265648229410964</v>
      </c>
      <c r="O420" s="332">
        <f t="shared" si="172"/>
        <v>1.0066895842194463</v>
      </c>
      <c r="P420" s="333">
        <f t="shared" si="173"/>
        <v>0.28493397121633146</v>
      </c>
      <c r="Q420" s="334">
        <f t="shared" si="174"/>
        <v>-1.4793611314814357</v>
      </c>
      <c r="R420" s="335">
        <f t="shared" si="175"/>
        <v>-116.95012098860572</v>
      </c>
      <c r="S420" s="337">
        <f t="shared" si="176"/>
        <v>63.049879011394282</v>
      </c>
      <c r="U420" s="310">
        <f t="shared" si="181"/>
        <v>40506.25</v>
      </c>
      <c r="V420" s="310">
        <f t="shared" si="182"/>
        <v>1640756289.0625</v>
      </c>
      <c r="X420" s="336">
        <f t="shared" si="177"/>
        <v>1.1675137968471008</v>
      </c>
      <c r="Y420" s="337">
        <f t="shared" si="183"/>
        <v>-15.797220112422639</v>
      </c>
      <c r="AA420" s="336">
        <f t="shared" si="178"/>
        <v>-2.6468749283285371</v>
      </c>
      <c r="AB420" s="337">
        <f t="shared" si="179"/>
        <v>-101.15290087618307</v>
      </c>
      <c r="AD420">
        <f t="shared" si="184"/>
        <v>0</v>
      </c>
      <c r="AE420">
        <f t="shared" si="187"/>
        <v>0</v>
      </c>
    </row>
    <row r="421" spans="1:31" x14ac:dyDescent="0.25">
      <c r="A421" s="338">
        <v>40738</v>
      </c>
      <c r="B421" s="355">
        <f t="shared" si="180"/>
        <v>40.738</v>
      </c>
      <c r="C421" s="328">
        <f t="shared" si="162"/>
        <v>13.698324494236802</v>
      </c>
      <c r="D421" s="329">
        <f t="shared" si="163"/>
        <v>1.4977297014888478</v>
      </c>
      <c r="E421" s="329">
        <f t="shared" si="164"/>
        <v>1.00014268753512</v>
      </c>
      <c r="F421" s="330">
        <f t="shared" si="165"/>
        <v>1.6892043733178562E-2</v>
      </c>
      <c r="G421" s="329">
        <f t="shared" si="166"/>
        <v>1</v>
      </c>
      <c r="H421" s="330">
        <f t="shared" si="167"/>
        <v>0</v>
      </c>
      <c r="I421" s="328">
        <f t="shared" si="168"/>
        <v>73883.405600987331</v>
      </c>
      <c r="J421" s="331">
        <f t="shared" si="169"/>
        <v>1.5707827919558905</v>
      </c>
      <c r="K421" s="339">
        <f t="shared" si="185"/>
        <v>12.12028377093189</v>
      </c>
      <c r="L421" s="340">
        <f t="shared" si="186"/>
        <v>1.4881961123698424</v>
      </c>
      <c r="M421" s="328">
        <f t="shared" si="170"/>
        <v>1.019063950101482</v>
      </c>
      <c r="N421" s="331">
        <f t="shared" si="171"/>
        <v>0.19373143674036766</v>
      </c>
      <c r="O421" s="332">
        <f t="shared" si="172"/>
        <v>1.0067727166114651</v>
      </c>
      <c r="P421" s="333">
        <f t="shared" si="173"/>
        <v>0.28658584985713881</v>
      </c>
      <c r="Q421" s="334">
        <f t="shared" si="174"/>
        <v>-1.5315179041863225</v>
      </c>
      <c r="R421" s="335">
        <f t="shared" si="175"/>
        <v>-117.0977696007343</v>
      </c>
      <c r="S421" s="337">
        <f t="shared" si="176"/>
        <v>62.902230399265704</v>
      </c>
      <c r="U421" s="310">
        <f t="shared" si="181"/>
        <v>40738</v>
      </c>
      <c r="V421" s="310">
        <f t="shared" si="182"/>
        <v>1659584644</v>
      </c>
      <c r="X421" s="336">
        <f t="shared" si="177"/>
        <v>1.1653479324382547</v>
      </c>
      <c r="Y421" s="337">
        <f t="shared" si="183"/>
        <v>-15.831861886599096</v>
      </c>
      <c r="AA421" s="336">
        <f t="shared" si="178"/>
        <v>-2.6968658366245779</v>
      </c>
      <c r="AB421" s="337">
        <f t="shared" si="179"/>
        <v>-101.26590771413518</v>
      </c>
      <c r="AD421">
        <f t="shared" si="184"/>
        <v>0</v>
      </c>
      <c r="AE421">
        <f t="shared" si="187"/>
        <v>0</v>
      </c>
    </row>
    <row r="422" spans="1:31" x14ac:dyDescent="0.25">
      <c r="A422" s="338">
        <v>40975.25</v>
      </c>
      <c r="B422" s="355">
        <f t="shared" si="180"/>
        <v>40.975250000000003</v>
      </c>
      <c r="C422" s="328">
        <f t="shared" si="162"/>
        <v>13.777676885743308</v>
      </c>
      <c r="D422" s="329">
        <f t="shared" si="163"/>
        <v>1.4981512719868242</v>
      </c>
      <c r="E422" s="329">
        <f t="shared" si="164"/>
        <v>1.0001443542218997</v>
      </c>
      <c r="F422" s="330">
        <f t="shared" si="165"/>
        <v>1.6990400755758753E-2</v>
      </c>
      <c r="G422" s="329">
        <f t="shared" si="166"/>
        <v>1</v>
      </c>
      <c r="H422" s="330">
        <f t="shared" si="167"/>
        <v>0</v>
      </c>
      <c r="I422" s="328">
        <f t="shared" si="168"/>
        <v>74313.687843012769</v>
      </c>
      <c r="J422" s="331">
        <f t="shared" si="169"/>
        <v>1.5707828703236992</v>
      </c>
      <c r="K422" s="339">
        <f t="shared" si="185"/>
        <v>12.190390771428506</v>
      </c>
      <c r="L422" s="340">
        <f t="shared" si="186"/>
        <v>1.4886722205762413</v>
      </c>
      <c r="M422" s="328">
        <f t="shared" si="170"/>
        <v>1.0192845390898444</v>
      </c>
      <c r="N422" s="331">
        <f t="shared" si="171"/>
        <v>0.19483143301231173</v>
      </c>
      <c r="O422" s="332">
        <f t="shared" si="172"/>
        <v>1.0068584631085673</v>
      </c>
      <c r="P422" s="333">
        <f t="shared" si="173"/>
        <v>0.28827729349803177</v>
      </c>
      <c r="Q422" s="334">
        <f t="shared" si="174"/>
        <v>-1.5846354243676077</v>
      </c>
      <c r="R422" s="335">
        <f t="shared" si="175"/>
        <v>-117.24895159402537</v>
      </c>
      <c r="S422" s="337">
        <f t="shared" si="176"/>
        <v>62.751048405974629</v>
      </c>
      <c r="U422" s="310">
        <f t="shared" si="181"/>
        <v>40975.25</v>
      </c>
      <c r="V422" s="310">
        <f t="shared" si="182"/>
        <v>1678971112.5625</v>
      </c>
      <c r="X422" s="336">
        <f t="shared" si="177"/>
        <v>1.1631265930713646</v>
      </c>
      <c r="Y422" s="337">
        <f t="shared" si="183"/>
        <v>-15.867612529828953</v>
      </c>
      <c r="AA422" s="336">
        <f t="shared" si="178"/>
        <v>-2.7477620174389719</v>
      </c>
      <c r="AB422" s="337">
        <f t="shared" si="179"/>
        <v>-101.38133906419645</v>
      </c>
      <c r="AD422">
        <f t="shared" si="184"/>
        <v>0</v>
      </c>
      <c r="AE422">
        <f t="shared" si="187"/>
        <v>0</v>
      </c>
    </row>
    <row r="423" spans="1:31" x14ac:dyDescent="0.25">
      <c r="A423" s="338">
        <v>41212.5</v>
      </c>
      <c r="B423" s="355">
        <f t="shared" si="180"/>
        <v>41.212499999999999</v>
      </c>
      <c r="C423" s="328">
        <f t="shared" si="162"/>
        <v>13.857031697797749</v>
      </c>
      <c r="D423" s="329">
        <f t="shared" si="163"/>
        <v>1.498568014157913</v>
      </c>
      <c r="E423" s="329">
        <f t="shared" si="164"/>
        <v>1.0001460305841472</v>
      </c>
      <c r="F423" s="330">
        <f t="shared" si="165"/>
        <v>1.7088757449574603E-2</v>
      </c>
      <c r="G423" s="329">
        <f t="shared" si="166"/>
        <v>1</v>
      </c>
      <c r="H423" s="330">
        <f t="shared" si="167"/>
        <v>0</v>
      </c>
      <c r="I423" s="328">
        <f t="shared" si="168"/>
        <v>74743.970085038658</v>
      </c>
      <c r="J423" s="331">
        <f t="shared" si="169"/>
        <v>1.5707829477892203</v>
      </c>
      <c r="K423" s="339">
        <f t="shared" si="185"/>
        <v>12.260500503628823</v>
      </c>
      <c r="L423" s="340">
        <f t="shared" si="186"/>
        <v>1.4891428837894236</v>
      </c>
      <c r="M423" s="328">
        <f t="shared" si="170"/>
        <v>1.0195063608695634</v>
      </c>
      <c r="N423" s="331">
        <f t="shared" si="171"/>
        <v>0.19593095194501559</v>
      </c>
      <c r="O423" s="332">
        <f t="shared" si="172"/>
        <v>1.0069448608826128</v>
      </c>
      <c r="P423" s="333">
        <f t="shared" si="173"/>
        <v>0.28996910467969611</v>
      </c>
      <c r="Q423" s="334">
        <f t="shared" si="174"/>
        <v>-1.6374760457108253</v>
      </c>
      <c r="R423" s="335">
        <f t="shared" si="175"/>
        <v>-117.40016259584527</v>
      </c>
      <c r="S423" s="337">
        <f t="shared" si="176"/>
        <v>62.599837404154727</v>
      </c>
      <c r="U423" s="310">
        <f t="shared" si="181"/>
        <v>41212.5</v>
      </c>
      <c r="V423" s="310">
        <f t="shared" si="182"/>
        <v>1698470156.25</v>
      </c>
      <c r="X423" s="336">
        <f t="shared" si="177"/>
        <v>1.1609010099850268</v>
      </c>
      <c r="Y423" s="337">
        <f t="shared" si="183"/>
        <v>-15.903647746968794</v>
      </c>
      <c r="AA423" s="336">
        <f t="shared" si="178"/>
        <v>-2.7983770556958554</v>
      </c>
      <c r="AB423" s="337">
        <f t="shared" si="179"/>
        <v>-101.49651484887647</v>
      </c>
      <c r="AD423">
        <f t="shared" si="184"/>
        <v>0</v>
      </c>
      <c r="AE423">
        <f t="shared" si="187"/>
        <v>0</v>
      </c>
    </row>
    <row r="424" spans="1:31" x14ac:dyDescent="0.25">
      <c r="A424" s="338">
        <v>41449.75</v>
      </c>
      <c r="B424" s="355">
        <f t="shared" si="180"/>
        <v>41.449750000000002</v>
      </c>
      <c r="C424" s="328">
        <f t="shared" si="162"/>
        <v>13.936388889051798</v>
      </c>
      <c r="D424" s="329">
        <f t="shared" si="163"/>
        <v>1.4989800103371147</v>
      </c>
      <c r="E424" s="329">
        <f t="shared" si="164"/>
        <v>1.0001477166218142</v>
      </c>
      <c r="F424" s="330">
        <f t="shared" si="165"/>
        <v>1.7187113812724759E-2</v>
      </c>
      <c r="G424" s="329">
        <f t="shared" si="166"/>
        <v>1</v>
      </c>
      <c r="H424" s="330">
        <f t="shared" si="167"/>
        <v>0</v>
      </c>
      <c r="I424" s="328">
        <f t="shared" si="168"/>
        <v>75174.252327064998</v>
      </c>
      <c r="J424" s="331">
        <f t="shared" si="169"/>
        <v>1.5707830243679475</v>
      </c>
      <c r="K424" s="339">
        <f t="shared" si="185"/>
        <v>12.330612920936851</v>
      </c>
      <c r="L424" s="340">
        <f t="shared" si="186"/>
        <v>1.4896081946804904</v>
      </c>
      <c r="M424" s="328">
        <f t="shared" si="170"/>
        <v>1.0197294146361313</v>
      </c>
      <c r="N424" s="331">
        <f t="shared" si="171"/>
        <v>0.19702999119234821</v>
      </c>
      <c r="O424" s="332">
        <f t="shared" si="172"/>
        <v>1.0070319125575085</v>
      </c>
      <c r="P424" s="333">
        <f t="shared" si="173"/>
        <v>0.29166128486021392</v>
      </c>
      <c r="Q424" s="334">
        <f t="shared" si="174"/>
        <v>-1.6900431476390796</v>
      </c>
      <c r="R424" s="335">
        <f t="shared" si="175"/>
        <v>-117.5514019640941</v>
      </c>
      <c r="S424" s="337">
        <f t="shared" si="176"/>
        <v>62.448598035905903</v>
      </c>
      <c r="U424" s="310">
        <f t="shared" si="181"/>
        <v>41449.75</v>
      </c>
      <c r="V424" s="310">
        <f t="shared" si="182"/>
        <v>1718081775.0625</v>
      </c>
      <c r="X424" s="336">
        <f t="shared" si="177"/>
        <v>1.1586710638362079</v>
      </c>
      <c r="Y424" s="337">
        <f t="shared" si="183"/>
        <v>-15.939962094819938</v>
      </c>
      <c r="AA424" s="336">
        <f t="shared" si="178"/>
        <v>-2.8487142114752895</v>
      </c>
      <c r="AB424" s="337">
        <f t="shared" si="179"/>
        <v>-101.61143986927416</v>
      </c>
      <c r="AD424">
        <f t="shared" si="184"/>
        <v>0</v>
      </c>
      <c r="AE424">
        <f t="shared" si="187"/>
        <v>0</v>
      </c>
    </row>
    <row r="425" spans="1:31" x14ac:dyDescent="0.25">
      <c r="A425" s="338">
        <v>41687</v>
      </c>
      <c r="B425" s="355">
        <f t="shared" si="180"/>
        <v>41.686999999999998</v>
      </c>
      <c r="C425" s="328">
        <f t="shared" si="162"/>
        <v>14.015748419092363</v>
      </c>
      <c r="D425" s="329">
        <f t="shared" si="163"/>
        <v>1.4993873410011809</v>
      </c>
      <c r="E425" s="329">
        <f t="shared" si="164"/>
        <v>1.0001494123348518</v>
      </c>
      <c r="F425" s="330">
        <f t="shared" si="165"/>
        <v>1.7285469843307904E-2</v>
      </c>
      <c r="G425" s="329">
        <f t="shared" si="166"/>
        <v>1</v>
      </c>
      <c r="H425" s="330">
        <f t="shared" si="167"/>
        <v>0</v>
      </c>
      <c r="I425" s="328">
        <f t="shared" si="168"/>
        <v>75604.534569091775</v>
      </c>
      <c r="J425" s="331">
        <f t="shared" si="169"/>
        <v>1.5707831000750216</v>
      </c>
      <c r="K425" s="339">
        <f t="shared" si="185"/>
        <v>12.400727977808641</v>
      </c>
      <c r="L425" s="340">
        <f t="shared" si="186"/>
        <v>1.490068243834044</v>
      </c>
      <c r="M425" s="328">
        <f t="shared" si="170"/>
        <v>1.0199536995812786</v>
      </c>
      <c r="N425" s="331">
        <f t="shared" si="171"/>
        <v>0.19812854841486044</v>
      </c>
      <c r="O425" s="332">
        <f t="shared" si="172"/>
        <v>1.0071196207710988</v>
      </c>
      <c r="P425" s="333">
        <f t="shared" si="173"/>
        <v>0.29335383548605337</v>
      </c>
      <c r="Q425" s="334">
        <f t="shared" si="174"/>
        <v>-1.7423400515734113</v>
      </c>
      <c r="R425" s="335">
        <f t="shared" si="175"/>
        <v>-117.70266906944717</v>
      </c>
      <c r="S425" s="337">
        <f t="shared" si="176"/>
        <v>62.297330930552832</v>
      </c>
      <c r="U425" s="310">
        <f t="shared" si="181"/>
        <v>41687</v>
      </c>
      <c r="V425" s="310">
        <f t="shared" si="182"/>
        <v>1737805969</v>
      </c>
      <c r="X425" s="336">
        <f t="shared" si="177"/>
        <v>1.1564366390857033</v>
      </c>
      <c r="Y425" s="337">
        <f t="shared" si="183"/>
        <v>-15.976550250093963</v>
      </c>
      <c r="AA425" s="336">
        <f t="shared" si="178"/>
        <v>-2.8987766906591155</v>
      </c>
      <c r="AB425" s="337">
        <f t="shared" si="179"/>
        <v>-101.72611881935322</v>
      </c>
      <c r="AD425">
        <f t="shared" si="184"/>
        <v>0</v>
      </c>
      <c r="AE425">
        <f t="shared" si="187"/>
        <v>0</v>
      </c>
    </row>
    <row r="426" spans="1:31" x14ac:dyDescent="0.25">
      <c r="A426" s="338">
        <v>41929.75</v>
      </c>
      <c r="B426" s="355">
        <f t="shared" si="180"/>
        <v>41.929749999999999</v>
      </c>
      <c r="C426" s="328">
        <f t="shared" si="162"/>
        <v>14.096950064884007</v>
      </c>
      <c r="D426" s="329">
        <f t="shared" si="163"/>
        <v>1.4997993675667805</v>
      </c>
      <c r="E426" s="329">
        <f t="shared" si="164"/>
        <v>1.0001511573727779</v>
      </c>
      <c r="F426" s="330">
        <f t="shared" si="165"/>
        <v>1.7386105646415018E-2</v>
      </c>
      <c r="G426" s="329">
        <f t="shared" si="166"/>
        <v>1</v>
      </c>
      <c r="H426" s="330">
        <f t="shared" si="167"/>
        <v>0</v>
      </c>
      <c r="I426" s="328">
        <f t="shared" si="168"/>
        <v>76044.79174191413</v>
      </c>
      <c r="J426" s="331">
        <f t="shared" si="169"/>
        <v>1.5707831766503946</v>
      </c>
      <c r="K426" s="339">
        <f t="shared" si="185"/>
        <v>12.472471148392055</v>
      </c>
      <c r="L426" s="340">
        <f t="shared" si="186"/>
        <v>1.4905336042195294</v>
      </c>
      <c r="M426" s="328">
        <f t="shared" si="170"/>
        <v>1.0201844574414107</v>
      </c>
      <c r="N426" s="331">
        <f t="shared" si="171"/>
        <v>0.19925207136823239</v>
      </c>
      <c r="O426" s="332">
        <f t="shared" si="172"/>
        <v>1.0072100445737604</v>
      </c>
      <c r="P426" s="333">
        <f t="shared" si="173"/>
        <v>0.2950860082464461</v>
      </c>
      <c r="Q426" s="334">
        <f t="shared" si="174"/>
        <v>-1.7955730564857642</v>
      </c>
      <c r="R426" s="335">
        <f t="shared" si="175"/>
        <v>-117.85747095947133</v>
      </c>
      <c r="S426" s="337">
        <f t="shared" si="176"/>
        <v>62.142529040528672</v>
      </c>
      <c r="U426" s="310">
        <f t="shared" si="181"/>
        <v>41929.75</v>
      </c>
      <c r="V426" s="310">
        <f t="shared" si="182"/>
        <v>1758103935.0625</v>
      </c>
      <c r="X426" s="336">
        <f t="shared" si="177"/>
        <v>1.1541456630406495</v>
      </c>
      <c r="Y426" s="337">
        <f t="shared" si="183"/>
        <v>-16.014264574956133</v>
      </c>
      <c r="AA426" s="336">
        <f t="shared" si="178"/>
        <v>-2.9497187195264152</v>
      </c>
      <c r="AB426" s="337">
        <f t="shared" si="179"/>
        <v>-101.8432063845152</v>
      </c>
      <c r="AD426">
        <f t="shared" si="184"/>
        <v>0</v>
      </c>
      <c r="AE426">
        <f t="shared" si="187"/>
        <v>0</v>
      </c>
    </row>
    <row r="427" spans="1:31" x14ac:dyDescent="0.25">
      <c r="A427" s="338">
        <v>42172.5</v>
      </c>
      <c r="B427" s="355">
        <f t="shared" si="180"/>
        <v>42.172499999999999</v>
      </c>
      <c r="C427" s="328">
        <f t="shared" si="162"/>
        <v>14.178154076444068</v>
      </c>
      <c r="D427" s="329">
        <f t="shared" si="163"/>
        <v>1.5002066745159484</v>
      </c>
      <c r="E427" s="329">
        <f t="shared" si="164"/>
        <v>1.0001529125397643</v>
      </c>
      <c r="F427" s="330">
        <f t="shared" si="165"/>
        <v>1.748674109733005E-2</v>
      </c>
      <c r="G427" s="329">
        <f t="shared" si="166"/>
        <v>1</v>
      </c>
      <c r="H427" s="330">
        <f t="shared" si="167"/>
        <v>0</v>
      </c>
      <c r="I427" s="328">
        <f t="shared" si="168"/>
        <v>76485.048914736923</v>
      </c>
      <c r="J427" s="331">
        <f t="shared" si="169"/>
        <v>1.5707832523442136</v>
      </c>
      <c r="K427" s="339">
        <f t="shared" si="185"/>
        <v>12.544216989121358</v>
      </c>
      <c r="L427" s="340">
        <f t="shared" si="186"/>
        <v>1.4909936415062184</v>
      </c>
      <c r="M427" s="328">
        <f t="shared" si="170"/>
        <v>1.0204165025008991</v>
      </c>
      <c r="N427" s="331">
        <f t="shared" si="171"/>
        <v>0.20037508475524546</v>
      </c>
      <c r="O427" s="332">
        <f t="shared" si="172"/>
        <v>1.0073011613398331</v>
      </c>
      <c r="P427" s="333">
        <f t="shared" si="173"/>
        <v>0.29681857185300331</v>
      </c>
      <c r="Q427" s="334">
        <f t="shared" si="174"/>
        <v>-1.8485300453169788</v>
      </c>
      <c r="R427" s="335">
        <f t="shared" si="175"/>
        <v>-118.01230059399177</v>
      </c>
      <c r="S427" s="337">
        <f t="shared" si="176"/>
        <v>61.987699406008232</v>
      </c>
      <c r="U427" s="310">
        <f t="shared" si="181"/>
        <v>42172.5</v>
      </c>
      <c r="V427" s="310">
        <f t="shared" si="182"/>
        <v>1778519756.25</v>
      </c>
      <c r="X427" s="336">
        <f t="shared" si="177"/>
        <v>1.1518497652742337</v>
      </c>
      <c r="Y427" s="337">
        <f t="shared" si="183"/>
        <v>-16.052254644402517</v>
      </c>
      <c r="AA427" s="336">
        <f t="shared" si="178"/>
        <v>-3.0003798105912121</v>
      </c>
      <c r="AB427" s="337">
        <f t="shared" si="179"/>
        <v>-101.96004594958924</v>
      </c>
      <c r="AD427">
        <f t="shared" si="184"/>
        <v>0</v>
      </c>
      <c r="AE427">
        <f t="shared" si="187"/>
        <v>0</v>
      </c>
    </row>
    <row r="428" spans="1:31" x14ac:dyDescent="0.25">
      <c r="A428" s="338">
        <v>42415.25</v>
      </c>
      <c r="B428" s="355">
        <f t="shared" si="180"/>
        <v>42.41525</v>
      </c>
      <c r="C428" s="328">
        <f t="shared" si="162"/>
        <v>14.25936041335491</v>
      </c>
      <c r="D428" s="329">
        <f t="shared" si="163"/>
        <v>1.5006093423463038</v>
      </c>
      <c r="E428" s="329">
        <f t="shared" si="164"/>
        <v>1.0001546778357577</v>
      </c>
      <c r="F428" s="330">
        <f t="shared" si="165"/>
        <v>1.7587376194016499E-2</v>
      </c>
      <c r="G428" s="329">
        <f t="shared" si="166"/>
        <v>1</v>
      </c>
      <c r="H428" s="330">
        <f t="shared" si="167"/>
        <v>0</v>
      </c>
      <c r="I428" s="328">
        <f t="shared" si="168"/>
        <v>76925.306087560151</v>
      </c>
      <c r="J428" s="331">
        <f t="shared" si="169"/>
        <v>1.5707833271716141</v>
      </c>
      <c r="K428" s="339">
        <f t="shared" si="185"/>
        <v>12.615965454441925</v>
      </c>
      <c r="L428" s="340">
        <f t="shared" si="186"/>
        <v>1.4914484463169604</v>
      </c>
      <c r="M428" s="328">
        <f t="shared" si="170"/>
        <v>1.0206498338818077</v>
      </c>
      <c r="N428" s="331">
        <f t="shared" si="171"/>
        <v>0.20149758609182283</v>
      </c>
      <c r="O428" s="332">
        <f t="shared" si="172"/>
        <v>1.0073929739400558</v>
      </c>
      <c r="P428" s="333">
        <f t="shared" si="173"/>
        <v>0.29855152781695493</v>
      </c>
      <c r="Q428" s="334">
        <f t="shared" si="174"/>
        <v>-1.9012143958665444</v>
      </c>
      <c r="R428" s="335">
        <f t="shared" si="175"/>
        <v>-118.16715733811935</v>
      </c>
      <c r="S428" s="337">
        <f t="shared" si="176"/>
        <v>61.832842661880647</v>
      </c>
      <c r="U428" s="310">
        <f t="shared" si="181"/>
        <v>42415.25</v>
      </c>
      <c r="V428" s="310">
        <f t="shared" si="182"/>
        <v>1799053432.5625</v>
      </c>
      <c r="X428" s="336">
        <f t="shared" si="177"/>
        <v>1.1495488335829354</v>
      </c>
      <c r="Y428" s="337">
        <f t="shared" si="183"/>
        <v>-16.090515124666393</v>
      </c>
      <c r="AA428" s="336">
        <f t="shared" si="178"/>
        <v>-3.0507632294494802</v>
      </c>
      <c r="AB428" s="337">
        <f t="shared" si="179"/>
        <v>-102.07664221345297</v>
      </c>
      <c r="AD428">
        <f t="shared" si="184"/>
        <v>0</v>
      </c>
      <c r="AE428">
        <f t="shared" si="187"/>
        <v>0</v>
      </c>
    </row>
    <row r="429" spans="1:31" x14ac:dyDescent="0.25">
      <c r="A429" s="338">
        <v>42658</v>
      </c>
      <c r="B429" s="355">
        <f t="shared" si="180"/>
        <v>42.658000000000001</v>
      </c>
      <c r="C429" s="328">
        <f t="shared" si="162"/>
        <v>14.340569036113241</v>
      </c>
      <c r="D429" s="329">
        <f t="shared" si="163"/>
        <v>1.501007449738176</v>
      </c>
      <c r="E429" s="329">
        <f t="shared" si="164"/>
        <v>1.0001564532607046</v>
      </c>
      <c r="F429" s="330">
        <f t="shared" si="165"/>
        <v>1.7688010934437885E-2</v>
      </c>
      <c r="G429" s="329">
        <f t="shared" si="166"/>
        <v>1</v>
      </c>
      <c r="H429" s="330">
        <f t="shared" si="167"/>
        <v>0</v>
      </c>
      <c r="I429" s="328">
        <f t="shared" si="168"/>
        <v>77365.563260383802</v>
      </c>
      <c r="J429" s="331">
        <f t="shared" si="169"/>
        <v>1.5707834011473878</v>
      </c>
      <c r="K429" s="339">
        <f t="shared" si="185"/>
        <v>12.687716499827918</v>
      </c>
      <c r="L429" s="340">
        <f t="shared" si="186"/>
        <v>1.4918981072334303</v>
      </c>
      <c r="M429" s="328">
        <f t="shared" si="170"/>
        <v>1.0208844507021395</v>
      </c>
      <c r="N429" s="331">
        <f t="shared" si="171"/>
        <v>0.20261957290131399</v>
      </c>
      <c r="O429" s="332">
        <f t="shared" si="172"/>
        <v>1.0074854852603392</v>
      </c>
      <c r="P429" s="333">
        <f t="shared" si="173"/>
        <v>0.30028487763651085</v>
      </c>
      <c r="Q429" s="334">
        <f t="shared" si="174"/>
        <v>-1.9536294279957112</v>
      </c>
      <c r="R429" s="335">
        <f t="shared" si="175"/>
        <v>-118.32204056945245</v>
      </c>
      <c r="S429" s="337">
        <f t="shared" si="176"/>
        <v>61.677959430547546</v>
      </c>
      <c r="U429" s="310">
        <f t="shared" si="181"/>
        <v>42658</v>
      </c>
      <c r="V429" s="310">
        <f t="shared" si="182"/>
        <v>1819704964</v>
      </c>
      <c r="X429" s="336">
        <f t="shared" si="177"/>
        <v>1.1472427594048811</v>
      </c>
      <c r="Y429" s="337">
        <f t="shared" si="183"/>
        <v>-16.129040799337517</v>
      </c>
      <c r="AA429" s="336">
        <f t="shared" si="178"/>
        <v>-3.1008721874005909</v>
      </c>
      <c r="AB429" s="337">
        <f t="shared" si="179"/>
        <v>-102.19299977011494</v>
      </c>
      <c r="AD429">
        <f t="shared" si="184"/>
        <v>0</v>
      </c>
      <c r="AE429">
        <f t="shared" si="187"/>
        <v>0</v>
      </c>
    </row>
    <row r="430" spans="1:31" x14ac:dyDescent="0.25">
      <c r="A430" s="338">
        <v>42906.5</v>
      </c>
      <c r="B430" s="355">
        <f t="shared" si="180"/>
        <v>42.906500000000001</v>
      </c>
      <c r="C430" s="328">
        <f t="shared" si="162"/>
        <v>14.423703568476933</v>
      </c>
      <c r="D430" s="329">
        <f t="shared" si="163"/>
        <v>1.5014103436029751</v>
      </c>
      <c r="E430" s="329">
        <f t="shared" si="164"/>
        <v>1.0001582812316252</v>
      </c>
      <c r="F430" s="330">
        <f t="shared" si="165"/>
        <v>1.7791029030826092E-2</v>
      </c>
      <c r="G430" s="329">
        <f t="shared" si="166"/>
        <v>1</v>
      </c>
      <c r="H430" s="330">
        <f t="shared" si="167"/>
        <v>0</v>
      </c>
      <c r="I430" s="328">
        <f t="shared" si="168"/>
        <v>77816.248769948317</v>
      </c>
      <c r="J430" s="331">
        <f t="shared" si="169"/>
        <v>1.5707834760083856</v>
      </c>
      <c r="K430" s="339">
        <f t="shared" si="185"/>
        <v>12.761169733561557</v>
      </c>
      <c r="L430" s="340">
        <f t="shared" si="186"/>
        <v>1.4923531815254336</v>
      </c>
      <c r="M430" s="328">
        <f t="shared" si="170"/>
        <v>1.021125955419631</v>
      </c>
      <c r="N430" s="331">
        <f t="shared" si="171"/>
        <v>0.20376760059284471</v>
      </c>
      <c r="O430" s="332">
        <f t="shared" si="172"/>
        <v>1.0075809146595609</v>
      </c>
      <c r="P430" s="333">
        <f t="shared" si="173"/>
        <v>0.30205969468608701</v>
      </c>
      <c r="Q430" s="334">
        <f t="shared" si="174"/>
        <v>-2.0070104543263807</v>
      </c>
      <c r="R430" s="335">
        <f t="shared" si="175"/>
        <v>-118.48061930630179</v>
      </c>
      <c r="S430" s="337">
        <f t="shared" si="176"/>
        <v>61.51938069369821</v>
      </c>
      <c r="U430" s="310">
        <f t="shared" si="181"/>
        <v>42906.5</v>
      </c>
      <c r="V430" s="310">
        <f t="shared" si="182"/>
        <v>1840967742.25</v>
      </c>
      <c r="X430" s="336">
        <f t="shared" si="177"/>
        <v>1.1448766251463642</v>
      </c>
      <c r="Y430" s="337">
        <f t="shared" si="183"/>
        <v>-16.168748393794282</v>
      </c>
      <c r="AA430" s="336">
        <f t="shared" si="178"/>
        <v>-3.1518870794727469</v>
      </c>
      <c r="AB430" s="337">
        <f t="shared" si="179"/>
        <v>-102.31187091250753</v>
      </c>
      <c r="AD430">
        <f t="shared" si="184"/>
        <v>0</v>
      </c>
      <c r="AE430">
        <f t="shared" si="187"/>
        <v>0</v>
      </c>
    </row>
    <row r="431" spans="1:31" x14ac:dyDescent="0.25">
      <c r="A431" s="338">
        <v>43155</v>
      </c>
      <c r="B431" s="355">
        <f t="shared" si="180"/>
        <v>43.155000000000001</v>
      </c>
      <c r="C431" s="328">
        <f t="shared" si="162"/>
        <v>14.506840415311263</v>
      </c>
      <c r="D431" s="329">
        <f t="shared" si="163"/>
        <v>1.5018086196653984</v>
      </c>
      <c r="E431" s="329">
        <f t="shared" si="164"/>
        <v>1.0001601198169152</v>
      </c>
      <c r="F431" s="330">
        <f t="shared" si="165"/>
        <v>1.7894046749553128E-2</v>
      </c>
      <c r="G431" s="329">
        <f t="shared" si="166"/>
        <v>1</v>
      </c>
      <c r="H431" s="330">
        <f t="shared" si="167"/>
        <v>0</v>
      </c>
      <c r="I431" s="328">
        <f t="shared" si="168"/>
        <v>78266.93427951324</v>
      </c>
      <c r="J431" s="331">
        <f t="shared" si="169"/>
        <v>1.5707835500072374</v>
      </c>
      <c r="K431" s="339">
        <f t="shared" si="185"/>
        <v>12.834625579789716</v>
      </c>
      <c r="L431" s="340">
        <f t="shared" si="186"/>
        <v>1.4928030468964852</v>
      </c>
      <c r="M431" s="328">
        <f t="shared" si="170"/>
        <v>1.0213688053105536</v>
      </c>
      <c r="N431" s="331">
        <f t="shared" si="171"/>
        <v>0.2049150838652154</v>
      </c>
      <c r="O431" s="332">
        <f t="shared" si="172"/>
        <v>1.007677082440646</v>
      </c>
      <c r="P431" s="333">
        <f t="shared" si="173"/>
        <v>0.30383492760582737</v>
      </c>
      <c r="Q431" s="334">
        <f t="shared" si="174"/>
        <v>-2.0601161125538545</v>
      </c>
      <c r="R431" s="335">
        <f t="shared" si="175"/>
        <v>-118.63922451867691</v>
      </c>
      <c r="S431" s="337">
        <f t="shared" si="176"/>
        <v>61.360775481323088</v>
      </c>
      <c r="U431" s="310">
        <f t="shared" si="181"/>
        <v>43155</v>
      </c>
      <c r="V431" s="310">
        <f t="shared" si="182"/>
        <v>1862354025</v>
      </c>
      <c r="X431" s="336">
        <f t="shared" si="177"/>
        <v>1.1425048828459654</v>
      </c>
      <c r="Y431" s="337">
        <f t="shared" si="183"/>
        <v>-16.208723195120204</v>
      </c>
      <c r="AA431" s="336">
        <f t="shared" si="178"/>
        <v>-3.2026209953998204</v>
      </c>
      <c r="AB431" s="337">
        <f t="shared" si="179"/>
        <v>-102.43050132355671</v>
      </c>
      <c r="AD431">
        <f t="shared" si="184"/>
        <v>0</v>
      </c>
      <c r="AE431">
        <f t="shared" si="187"/>
        <v>0</v>
      </c>
    </row>
    <row r="432" spans="1:31" x14ac:dyDescent="0.25">
      <c r="A432" s="338">
        <v>43403.5</v>
      </c>
      <c r="B432" s="355">
        <f t="shared" si="180"/>
        <v>43.403500000000001</v>
      </c>
      <c r="C432" s="328">
        <f t="shared" si="162"/>
        <v>14.58997953705118</v>
      </c>
      <c r="D432" s="329">
        <f t="shared" si="163"/>
        <v>1.5022023567398597</v>
      </c>
      <c r="E432" s="329">
        <f t="shared" si="164"/>
        <v>1.0001619690165158</v>
      </c>
      <c r="F432" s="330">
        <f t="shared" si="165"/>
        <v>1.7997064088434496E-2</v>
      </c>
      <c r="G432" s="329">
        <f t="shared" si="166"/>
        <v>1</v>
      </c>
      <c r="H432" s="330">
        <f t="shared" si="167"/>
        <v>0</v>
      </c>
      <c r="I432" s="328">
        <f t="shared" si="168"/>
        <v>78717.619789078613</v>
      </c>
      <c r="J432" s="331">
        <f t="shared" si="169"/>
        <v>1.5707836231587513</v>
      </c>
      <c r="K432" s="339">
        <f t="shared" si="185"/>
        <v>12.908083993911742</v>
      </c>
      <c r="L432" s="340">
        <f t="shared" si="186"/>
        <v>1.4932477920930278</v>
      </c>
      <c r="M432" s="328">
        <f t="shared" si="170"/>
        <v>1.0216129994156147</v>
      </c>
      <c r="N432" s="331">
        <f t="shared" si="171"/>
        <v>0.20606202008592975</v>
      </c>
      <c r="O432" s="332">
        <f t="shared" si="172"/>
        <v>1.0077739917487032</v>
      </c>
      <c r="P432" s="333">
        <f t="shared" si="173"/>
        <v>0.30561057796006613</v>
      </c>
      <c r="Q432" s="334">
        <f t="shared" si="174"/>
        <v>-2.1129497839569793</v>
      </c>
      <c r="R432" s="335">
        <f t="shared" si="175"/>
        <v>-118.7978555772869</v>
      </c>
      <c r="S432" s="337">
        <f t="shared" si="176"/>
        <v>61.202144422713104</v>
      </c>
      <c r="U432" s="310">
        <f t="shared" si="181"/>
        <v>43403.5</v>
      </c>
      <c r="V432" s="310">
        <f t="shared" si="182"/>
        <v>1883863812.25</v>
      </c>
      <c r="X432" s="336">
        <f t="shared" si="177"/>
        <v>1.1401274271290358</v>
      </c>
      <c r="Y432" s="337">
        <f t="shared" si="183"/>
        <v>-16.248959968536209</v>
      </c>
      <c r="AA432" s="336">
        <f t="shared" si="178"/>
        <v>-3.2530772110860151</v>
      </c>
      <c r="AB432" s="337">
        <f t="shared" si="179"/>
        <v>-102.54889560875067</v>
      </c>
      <c r="AD432">
        <f t="shared" si="184"/>
        <v>0</v>
      </c>
      <c r="AE432">
        <f t="shared" si="187"/>
        <v>0</v>
      </c>
    </row>
    <row r="433" spans="1:31" x14ac:dyDescent="0.25">
      <c r="A433" s="338">
        <v>43652</v>
      </c>
      <c r="B433" s="355">
        <f t="shared" si="180"/>
        <v>43.652000000000001</v>
      </c>
      <c r="C433" s="328">
        <f t="shared" si="162"/>
        <v>14.673120895027271</v>
      </c>
      <c r="D433" s="329">
        <f t="shared" si="163"/>
        <v>1.5025916318601522</v>
      </c>
      <c r="E433" s="329">
        <f t="shared" si="164"/>
        <v>1.0001638288303678</v>
      </c>
      <c r="F433" s="330">
        <f t="shared" si="165"/>
        <v>1.8100081045285758E-2</v>
      </c>
      <c r="G433" s="329">
        <f t="shared" si="166"/>
        <v>1</v>
      </c>
      <c r="H433" s="330">
        <f t="shared" si="167"/>
        <v>0</v>
      </c>
      <c r="I433" s="328">
        <f t="shared" si="168"/>
        <v>79168.30529864438</v>
      </c>
      <c r="J433" s="331">
        <f t="shared" si="169"/>
        <v>1.5707836954773984</v>
      </c>
      <c r="K433" s="339">
        <f t="shared" si="185"/>
        <v>12.981544932334966</v>
      </c>
      <c r="L433" s="340">
        <f t="shared" si="186"/>
        <v>1.4936875038608914</v>
      </c>
      <c r="M433" s="328">
        <f t="shared" si="170"/>
        <v>1.0218585367711317</v>
      </c>
      <c r="N433" s="331">
        <f t="shared" si="171"/>
        <v>0.20720840663075804</v>
      </c>
      <c r="O433" s="332">
        <f t="shared" si="172"/>
        <v>1.0078716457453805</v>
      </c>
      <c r="P433" s="333">
        <f t="shared" si="173"/>
        <v>0.30738664729851367</v>
      </c>
      <c r="Q433" s="334">
        <f t="shared" si="174"/>
        <v>-2.1655147918254332</v>
      </c>
      <c r="R433" s="335">
        <f t="shared" si="175"/>
        <v>-118.95651186506181</v>
      </c>
      <c r="S433" s="337">
        <f t="shared" si="176"/>
        <v>61.043488134938187</v>
      </c>
      <c r="U433" s="310">
        <f t="shared" si="181"/>
        <v>43652</v>
      </c>
      <c r="V433" s="310">
        <f t="shared" si="182"/>
        <v>1905497104</v>
      </c>
      <c r="X433" s="336">
        <f t="shared" si="177"/>
        <v>1.1377441561146835</v>
      </c>
      <c r="Y433" s="337">
        <f t="shared" si="183"/>
        <v>-16.289453594344156</v>
      </c>
      <c r="AA433" s="336">
        <f t="shared" si="178"/>
        <v>-3.3032589479401171</v>
      </c>
      <c r="AB433" s="337">
        <f t="shared" si="179"/>
        <v>-102.66705827071767</v>
      </c>
      <c r="AD433">
        <f t="shared" si="184"/>
        <v>0</v>
      </c>
      <c r="AE433">
        <f t="shared" si="187"/>
        <v>0</v>
      </c>
    </row>
    <row r="434" spans="1:31" x14ac:dyDescent="0.25">
      <c r="A434" s="338">
        <v>43906</v>
      </c>
      <c r="B434" s="355">
        <f t="shared" si="180"/>
        <v>43.905999999999999</v>
      </c>
      <c r="C434" s="328">
        <f t="shared" si="162"/>
        <v>14.758104675462267</v>
      </c>
      <c r="D434" s="329">
        <f t="shared" si="163"/>
        <v>1.5029849899331849</v>
      </c>
      <c r="E434" s="329">
        <f t="shared" si="164"/>
        <v>1.0001657407762767</v>
      </c>
      <c r="F434" s="330">
        <f t="shared" si="165"/>
        <v>1.8205377658427096E-2</v>
      </c>
      <c r="G434" s="329">
        <f t="shared" si="166"/>
        <v>1</v>
      </c>
      <c r="H434" s="330">
        <f t="shared" si="167"/>
        <v>0</v>
      </c>
      <c r="I434" s="328">
        <f t="shared" si="168"/>
        <v>79628.965739005798</v>
      </c>
      <c r="J434" s="331">
        <f t="shared" si="169"/>
        <v>1.5707837685506605</v>
      </c>
      <c r="K434" s="339">
        <f t="shared" si="185"/>
        <v>13.056634331146372</v>
      </c>
      <c r="L434" s="340">
        <f t="shared" si="186"/>
        <v>1.4941318341855243</v>
      </c>
      <c r="M434" s="328">
        <f t="shared" si="170"/>
        <v>1.0221108957214959</v>
      </c>
      <c r="N434" s="331">
        <f t="shared" si="171"/>
        <v>0.20837959513337906</v>
      </c>
      <c r="O434" s="332">
        <f t="shared" si="172"/>
        <v>1.0079722340009756</v>
      </c>
      <c r="P434" s="333">
        <f t="shared" si="173"/>
        <v>0.30920246061342582</v>
      </c>
      <c r="Q434" s="334">
        <f t="shared" si="174"/>
        <v>-2.2189689620402926</v>
      </c>
      <c r="R434" s="335">
        <f t="shared" si="175"/>
        <v>-119.11870510316027</v>
      </c>
      <c r="S434" s="337">
        <f t="shared" si="176"/>
        <v>60.881294896839734</v>
      </c>
      <c r="U434" s="310">
        <f t="shared" si="181"/>
        <v>43906</v>
      </c>
      <c r="V434" s="310">
        <f t="shared" si="182"/>
        <v>1927736836</v>
      </c>
      <c r="X434" s="336">
        <f t="shared" si="177"/>
        <v>1.1353020243331235</v>
      </c>
      <c r="Y434" s="337">
        <f t="shared" si="183"/>
        <v>-16.331103687084557</v>
      </c>
      <c r="AA434" s="336">
        <f t="shared" si="178"/>
        <v>-3.3542709863734159</v>
      </c>
      <c r="AB434" s="337">
        <f t="shared" si="179"/>
        <v>-102.7876014160757</v>
      </c>
      <c r="AD434">
        <f t="shared" si="184"/>
        <v>0</v>
      </c>
      <c r="AE434">
        <f t="shared" si="187"/>
        <v>0</v>
      </c>
    </row>
    <row r="435" spans="1:31" x14ac:dyDescent="0.25">
      <c r="A435" s="338">
        <v>44160</v>
      </c>
      <c r="B435" s="355">
        <f t="shared" si="180"/>
        <v>44.16</v>
      </c>
      <c r="C435" s="328">
        <f t="shared" si="162"/>
        <v>14.843090713278462</v>
      </c>
      <c r="D435" s="329">
        <f t="shared" si="163"/>
        <v>1.5033738436206512</v>
      </c>
      <c r="E435" s="329">
        <f t="shared" si="164"/>
        <v>1.000167663811357</v>
      </c>
      <c r="F435" s="330">
        <f t="shared" si="165"/>
        <v>1.8310673867825613E-2</v>
      </c>
      <c r="G435" s="329">
        <f t="shared" si="166"/>
        <v>1</v>
      </c>
      <c r="H435" s="330">
        <f t="shared" si="167"/>
        <v>0</v>
      </c>
      <c r="I435" s="328">
        <f t="shared" si="168"/>
        <v>80089.626179367639</v>
      </c>
      <c r="J435" s="331">
        <f t="shared" si="169"/>
        <v>1.5707838407833152</v>
      </c>
      <c r="K435" s="339">
        <f t="shared" si="185"/>
        <v>13.131726278241286</v>
      </c>
      <c r="L435" s="340">
        <f t="shared" si="186"/>
        <v>1.494571082913946</v>
      </c>
      <c r="M435" s="328">
        <f t="shared" si="170"/>
        <v>1.0223646559902355</v>
      </c>
      <c r="N435" s="331">
        <f t="shared" si="171"/>
        <v>0.20955020384162076</v>
      </c>
      <c r="O435" s="332">
        <f t="shared" si="172"/>
        <v>1.0080736070062062</v>
      </c>
      <c r="P435" s="333">
        <f t="shared" si="173"/>
        <v>0.31101871489125216</v>
      </c>
      <c r="Q435" s="334">
        <f t="shared" si="174"/>
        <v>-2.2721492857590331</v>
      </c>
      <c r="R435" s="335">
        <f t="shared" si="175"/>
        <v>-119.28092343350502</v>
      </c>
      <c r="S435" s="337">
        <f t="shared" si="176"/>
        <v>60.719076566494977</v>
      </c>
      <c r="U435" s="310">
        <f t="shared" si="181"/>
        <v>44160</v>
      </c>
      <c r="V435" s="310">
        <f t="shared" si="182"/>
        <v>1950105600</v>
      </c>
      <c r="X435" s="336">
        <f t="shared" si="177"/>
        <v>1.1328536124262474</v>
      </c>
      <c r="Y435" s="337">
        <f t="shared" si="183"/>
        <v>-16.373011665907164</v>
      </c>
      <c r="AA435" s="336">
        <f t="shared" si="178"/>
        <v>-3.4050028981852805</v>
      </c>
      <c r="AB435" s="337">
        <f t="shared" si="179"/>
        <v>-102.90791176759787</v>
      </c>
      <c r="AD435">
        <f t="shared" si="184"/>
        <v>0</v>
      </c>
      <c r="AE435">
        <f t="shared" si="187"/>
        <v>0</v>
      </c>
    </row>
    <row r="436" spans="1:31" x14ac:dyDescent="0.25">
      <c r="A436" s="338">
        <v>44414</v>
      </c>
      <c r="B436" s="355">
        <f t="shared" si="180"/>
        <v>44.414000000000001</v>
      </c>
      <c r="C436" s="328">
        <f t="shared" si="162"/>
        <v>14.928078969921824</v>
      </c>
      <c r="D436" s="329">
        <f t="shared" si="163"/>
        <v>1.5037582697367879</v>
      </c>
      <c r="E436" s="329">
        <f t="shared" si="164"/>
        <v>1.0001695979355456</v>
      </c>
      <c r="F436" s="330">
        <f t="shared" si="165"/>
        <v>1.8415969671148748E-2</v>
      </c>
      <c r="G436" s="329">
        <f t="shared" si="166"/>
        <v>1</v>
      </c>
      <c r="H436" s="330">
        <f t="shared" si="167"/>
        <v>0</v>
      </c>
      <c r="I436" s="328">
        <f t="shared" si="168"/>
        <v>80550.286619729886</v>
      </c>
      <c r="J436" s="331">
        <f t="shared" si="169"/>
        <v>1.5707839121897849</v>
      </c>
      <c r="K436" s="339">
        <f t="shared" si="185"/>
        <v>13.206820730152266</v>
      </c>
      <c r="L436" s="340">
        <f t="shared" si="186"/>
        <v>1.4950053365576077</v>
      </c>
      <c r="M436" s="328">
        <f t="shared" si="170"/>
        <v>1.0226198165341507</v>
      </c>
      <c r="N436" s="331">
        <f t="shared" si="171"/>
        <v>0.21072022998007706</v>
      </c>
      <c r="O436" s="332">
        <f t="shared" si="172"/>
        <v>1.0081757681906987</v>
      </c>
      <c r="P436" s="333">
        <f t="shared" si="173"/>
        <v>0.31283541173899027</v>
      </c>
      <c r="Q436" s="334">
        <f t="shared" si="174"/>
        <v>-2.3250591325215022</v>
      </c>
      <c r="R436" s="335">
        <f t="shared" si="175"/>
        <v>-119.44316623450179</v>
      </c>
      <c r="S436" s="337">
        <f t="shared" si="176"/>
        <v>60.556833765498212</v>
      </c>
      <c r="U436" s="310">
        <f t="shared" si="181"/>
        <v>44414</v>
      </c>
      <c r="V436" s="310">
        <f t="shared" si="182"/>
        <v>1972603396</v>
      </c>
      <c r="X436" s="336">
        <f t="shared" si="177"/>
        <v>1.1303988221778321</v>
      </c>
      <c r="Y436" s="337">
        <f t="shared" si="183"/>
        <v>-16.415172415878214</v>
      </c>
      <c r="AA436" s="336">
        <f t="shared" si="178"/>
        <v>-3.4554579546993365</v>
      </c>
      <c r="AB436" s="337">
        <f t="shared" si="179"/>
        <v>-103.02799381862357</v>
      </c>
      <c r="AD436">
        <f t="shared" si="184"/>
        <v>0</v>
      </c>
      <c r="AE436">
        <f t="shared" si="187"/>
        <v>0</v>
      </c>
    </row>
    <row r="437" spans="1:31" x14ac:dyDescent="0.25">
      <c r="A437" s="338">
        <v>44668</v>
      </c>
      <c r="B437" s="355">
        <f t="shared" si="180"/>
        <v>44.667999999999999</v>
      </c>
      <c r="C437" s="328">
        <f t="shared" si="162"/>
        <v>15.013069407710331</v>
      </c>
      <c r="D437" s="329">
        <f t="shared" si="163"/>
        <v>1.5041383433617241</v>
      </c>
      <c r="E437" s="329">
        <f t="shared" si="164"/>
        <v>1.0001715431487779</v>
      </c>
      <c r="F437" s="330">
        <f t="shared" si="165"/>
        <v>1.852126506606399E-2</v>
      </c>
      <c r="G437" s="329">
        <f t="shared" si="166"/>
        <v>1</v>
      </c>
      <c r="H437" s="330">
        <f t="shared" si="167"/>
        <v>0</v>
      </c>
      <c r="I437" s="328">
        <f t="shared" si="168"/>
        <v>81010.947060092542</v>
      </c>
      <c r="J437" s="331">
        <f t="shared" si="169"/>
        <v>1.5707839827841632</v>
      </c>
      <c r="K437" s="339">
        <f t="shared" si="185"/>
        <v>13.281917644393477</v>
      </c>
      <c r="L437" s="340">
        <f t="shared" si="186"/>
        <v>1.4954346796790259</v>
      </c>
      <c r="M437" s="328">
        <f t="shared" si="170"/>
        <v>1.0228763763053286</v>
      </c>
      <c r="N437" s="331">
        <f t="shared" si="171"/>
        <v>0.21188967078248389</v>
      </c>
      <c r="O437" s="332">
        <f t="shared" si="172"/>
        <v>1.008278721001993</v>
      </c>
      <c r="P437" s="333">
        <f t="shared" si="173"/>
        <v>0.31465255274731391</v>
      </c>
      <c r="Q437" s="334">
        <f t="shared" si="174"/>
        <v>-2.3777018141759902</v>
      </c>
      <c r="R437" s="335">
        <f t="shared" si="175"/>
        <v>-119.60543289643458</v>
      </c>
      <c r="S437" s="337">
        <f t="shared" si="176"/>
        <v>60.394567103565421</v>
      </c>
      <c r="U437" s="310">
        <f t="shared" si="181"/>
        <v>44668</v>
      </c>
      <c r="V437" s="310">
        <f t="shared" si="182"/>
        <v>1995230224</v>
      </c>
      <c r="X437" s="336">
        <f t="shared" si="177"/>
        <v>1.1279375587039622</v>
      </c>
      <c r="Y437" s="337">
        <f t="shared" si="183"/>
        <v>-16.457580934234677</v>
      </c>
      <c r="AA437" s="336">
        <f t="shared" si="178"/>
        <v>-3.5056393728799544</v>
      </c>
      <c r="AB437" s="337">
        <f t="shared" si="179"/>
        <v>-103.14785196219989</v>
      </c>
      <c r="AD437">
        <f t="shared" si="184"/>
        <v>0</v>
      </c>
      <c r="AE437">
        <f t="shared" si="187"/>
        <v>0</v>
      </c>
    </row>
    <row r="438" spans="1:31" x14ac:dyDescent="0.25">
      <c r="A438" s="338">
        <v>44928.25</v>
      </c>
      <c r="B438" s="355">
        <f t="shared" si="180"/>
        <v>44.928249999999998</v>
      </c>
      <c r="C438" s="328">
        <f t="shared" si="162"/>
        <v>15.100153369438377</v>
      </c>
      <c r="D438" s="329">
        <f t="shared" si="163"/>
        <v>1.5045233314746709</v>
      </c>
      <c r="E438" s="329">
        <f t="shared" si="164"/>
        <v>1.0001735477281322</v>
      </c>
      <c r="F438" s="330">
        <f t="shared" si="165"/>
        <v>1.8629150964927493E-2</v>
      </c>
      <c r="G438" s="329">
        <f t="shared" si="166"/>
        <v>1</v>
      </c>
      <c r="H438" s="330">
        <f t="shared" si="167"/>
        <v>0</v>
      </c>
      <c r="I438" s="328">
        <f t="shared" si="168"/>
        <v>81482.942649086588</v>
      </c>
      <c r="J438" s="331">
        <f t="shared" si="169"/>
        <v>1.5707840542877005</v>
      </c>
      <c r="K438" s="339">
        <f t="shared" si="185"/>
        <v>13.35886492631081</v>
      </c>
      <c r="L438" s="340">
        <f t="shared" si="186"/>
        <v>1.4958695805279383</v>
      </c>
      <c r="M438" s="328">
        <f t="shared" si="170"/>
        <v>1.0231406992578076</v>
      </c>
      <c r="N438" s="331">
        <f t="shared" si="171"/>
        <v>0.21308727719441714</v>
      </c>
      <c r="O438" s="332">
        <f t="shared" si="172"/>
        <v>1.0083850318099004</v>
      </c>
      <c r="P438" s="333">
        <f t="shared" si="173"/>
        <v>0.31651486920589728</v>
      </c>
      <c r="Q438" s="334">
        <f t="shared" si="174"/>
        <v>-2.4313661344581119</v>
      </c>
      <c r="R438" s="335">
        <f t="shared" si="175"/>
        <v>-119.771716463803</v>
      </c>
      <c r="S438" s="337">
        <f t="shared" si="176"/>
        <v>60.228283536196997</v>
      </c>
      <c r="U438" s="310">
        <f t="shared" si="181"/>
        <v>44928.25</v>
      </c>
      <c r="V438" s="310">
        <f t="shared" si="182"/>
        <v>2018547648.0625</v>
      </c>
      <c r="X438" s="336">
        <f t="shared" si="177"/>
        <v>1.1254089227041013</v>
      </c>
      <c r="Y438" s="337">
        <f t="shared" si="183"/>
        <v>-16.501284840907779</v>
      </c>
      <c r="AA438" s="336">
        <f t="shared" si="178"/>
        <v>-3.5567750571622141</v>
      </c>
      <c r="AB438" s="337">
        <f t="shared" si="179"/>
        <v>-103.27043162289525</v>
      </c>
      <c r="AD438">
        <f t="shared" si="184"/>
        <v>0</v>
      </c>
      <c r="AE438">
        <f t="shared" si="187"/>
        <v>0</v>
      </c>
    </row>
    <row r="439" spans="1:31" x14ac:dyDescent="0.25">
      <c r="A439" s="338">
        <v>45188.5</v>
      </c>
      <c r="B439" s="355">
        <f t="shared" si="180"/>
        <v>45.188499999999998</v>
      </c>
      <c r="C439" s="328">
        <f t="shared" si="162"/>
        <v>15.18723954358183</v>
      </c>
      <c r="D439" s="329">
        <f t="shared" si="163"/>
        <v>1.5049039044709003</v>
      </c>
      <c r="E439" s="329">
        <f t="shared" si="164"/>
        <v>1.000175563948827</v>
      </c>
      <c r="F439" s="330">
        <f t="shared" si="165"/>
        <v>1.8737036430079512E-2</v>
      </c>
      <c r="G439" s="329">
        <f t="shared" si="166"/>
        <v>1</v>
      </c>
      <c r="H439" s="330">
        <f t="shared" si="167"/>
        <v>0</v>
      </c>
      <c r="I439" s="328">
        <f t="shared" si="168"/>
        <v>81954.938238081042</v>
      </c>
      <c r="J439" s="331">
        <f t="shared" si="169"/>
        <v>1.57078412496763</v>
      </c>
      <c r="K439" s="339">
        <f t="shared" si="185"/>
        <v>13.435814705966138</v>
      </c>
      <c r="L439" s="340">
        <f t="shared" si="186"/>
        <v>1.4962994999173458</v>
      </c>
      <c r="M439" s="328">
        <f t="shared" si="170"/>
        <v>1.0234064889019627</v>
      </c>
      <c r="N439" s="331">
        <f t="shared" si="171"/>
        <v>0.21428426325993383</v>
      </c>
      <c r="O439" s="332">
        <f t="shared" si="172"/>
        <v>1.0084921810670677</v>
      </c>
      <c r="P439" s="333">
        <f t="shared" si="173"/>
        <v>0.31837765528027839</v>
      </c>
      <c r="Q439" s="334">
        <f t="shared" si="174"/>
        <v>-2.4847568391741168</v>
      </c>
      <c r="R439" s="335">
        <f t="shared" si="175"/>
        <v>-119.93802382165525</v>
      </c>
      <c r="S439" s="337">
        <f t="shared" si="176"/>
        <v>60.06197617834475</v>
      </c>
      <c r="U439" s="310">
        <f t="shared" si="181"/>
        <v>45188.5</v>
      </c>
      <c r="V439" s="310">
        <f t="shared" si="182"/>
        <v>2042000532.25</v>
      </c>
      <c r="X439" s="336">
        <f t="shared" si="177"/>
        <v>1.1228732995769979</v>
      </c>
      <c r="Y439" s="337">
        <f t="shared" si="183"/>
        <v>-16.545238573765833</v>
      </c>
      <c r="AA439" s="336">
        <f t="shared" si="178"/>
        <v>-3.6076301387511194</v>
      </c>
      <c r="AB439" s="337">
        <f t="shared" si="179"/>
        <v>-103.39278524788942</v>
      </c>
      <c r="AD439">
        <f t="shared" si="184"/>
        <v>0</v>
      </c>
      <c r="AE439">
        <f t="shared" si="187"/>
        <v>0</v>
      </c>
    </row>
    <row r="440" spans="1:31" x14ac:dyDescent="0.25">
      <c r="A440" s="338">
        <v>45448.75</v>
      </c>
      <c r="B440" s="355">
        <f t="shared" si="180"/>
        <v>45.448749999999997</v>
      </c>
      <c r="C440" s="328">
        <f t="shared" si="162"/>
        <v>15.274327892298611</v>
      </c>
      <c r="D440" s="329">
        <f t="shared" si="163"/>
        <v>1.5052801377591147</v>
      </c>
      <c r="E440" s="329">
        <f t="shared" si="164"/>
        <v>1.0001775918107918</v>
      </c>
      <c r="F440" s="330">
        <f t="shared" si="165"/>
        <v>1.8844921459011257E-2</v>
      </c>
      <c r="G440" s="329">
        <f t="shared" si="166"/>
        <v>1</v>
      </c>
      <c r="H440" s="330">
        <f t="shared" si="167"/>
        <v>0</v>
      </c>
      <c r="I440" s="328">
        <f t="shared" si="168"/>
        <v>82426.933827075904</v>
      </c>
      <c r="J440" s="331">
        <f t="shared" si="169"/>
        <v>1.5707841948381005</v>
      </c>
      <c r="K440" s="339">
        <f t="shared" si="185"/>
        <v>13.512766940688616</v>
      </c>
      <c r="L440" s="340">
        <f t="shared" si="186"/>
        <v>1.4967245227918984</v>
      </c>
      <c r="M440" s="328">
        <f t="shared" si="170"/>
        <v>1.0236737440953458</v>
      </c>
      <c r="N440" s="331">
        <f t="shared" si="171"/>
        <v>0.215480626033556</v>
      </c>
      <c r="O440" s="332">
        <f t="shared" si="172"/>
        <v>1.0086001725401201</v>
      </c>
      <c r="P440" s="333">
        <f t="shared" si="173"/>
        <v>0.32024091262754001</v>
      </c>
      <c r="Q440" s="334">
        <f t="shared" si="174"/>
        <v>-2.5378773107830881</v>
      </c>
      <c r="R440" s="335">
        <f t="shared" si="175"/>
        <v>-120.10435435075652</v>
      </c>
      <c r="S440" s="337">
        <f t="shared" si="176"/>
        <v>59.895645649243477</v>
      </c>
      <c r="U440" s="310">
        <f t="shared" si="181"/>
        <v>45448.75</v>
      </c>
      <c r="V440" s="310">
        <f t="shared" si="182"/>
        <v>2065588876.5625</v>
      </c>
      <c r="X440" s="336">
        <f t="shared" si="177"/>
        <v>1.1203305974389597</v>
      </c>
      <c r="Y440" s="337">
        <f t="shared" si="183"/>
        <v>-16.589437097886147</v>
      </c>
      <c r="AA440" s="336">
        <f t="shared" si="178"/>
        <v>-3.6582079082220491</v>
      </c>
      <c r="AB440" s="337">
        <f t="shared" si="179"/>
        <v>-103.51491725287039</v>
      </c>
      <c r="AD440">
        <f t="shared" si="184"/>
        <v>0</v>
      </c>
      <c r="AE440">
        <f t="shared" si="187"/>
        <v>0</v>
      </c>
    </row>
    <row r="441" spans="1:31" x14ac:dyDescent="0.25">
      <c r="A441" s="338">
        <v>45709</v>
      </c>
      <c r="B441" s="355">
        <f t="shared" si="180"/>
        <v>45.709000000000003</v>
      </c>
      <c r="C441" s="328">
        <f t="shared" si="162"/>
        <v>15.361418378603853</v>
      </c>
      <c r="D441" s="329">
        <f t="shared" si="163"/>
        <v>1.5056521050428975</v>
      </c>
      <c r="E441" s="329">
        <f t="shared" si="164"/>
        <v>1.0001796313139559</v>
      </c>
      <c r="F441" s="330">
        <f t="shared" si="165"/>
        <v>1.8952806049214004E-2</v>
      </c>
      <c r="G441" s="329">
        <f t="shared" si="166"/>
        <v>1</v>
      </c>
      <c r="H441" s="330">
        <f t="shared" si="167"/>
        <v>0</v>
      </c>
      <c r="I441" s="328">
        <f t="shared" si="168"/>
        <v>82898.929416071143</v>
      </c>
      <c r="J441" s="331">
        <f t="shared" si="169"/>
        <v>1.5707842639129381</v>
      </c>
      <c r="K441" s="339">
        <f t="shared" si="185"/>
        <v>13.589721588772555</v>
      </c>
      <c r="L441" s="340">
        <f t="shared" si="186"/>
        <v>1.4971447321793467</v>
      </c>
      <c r="M441" s="328">
        <f t="shared" si="170"/>
        <v>1.0239424636904053</v>
      </c>
      <c r="N441" s="331">
        <f t="shared" si="171"/>
        <v>0.21667636258000925</v>
      </c>
      <c r="O441" s="332">
        <f t="shared" si="172"/>
        <v>1.0087090100152638</v>
      </c>
      <c r="P441" s="333">
        <f t="shared" si="173"/>
        <v>0.32210464288636825</v>
      </c>
      <c r="Q441" s="334">
        <f t="shared" si="174"/>
        <v>-2.5907308737904531</v>
      </c>
      <c r="R441" s="335">
        <f t="shared" si="175"/>
        <v>-120.2707074435183</v>
      </c>
      <c r="S441" s="337">
        <f t="shared" si="176"/>
        <v>59.729292556481695</v>
      </c>
      <c r="U441" s="310">
        <f t="shared" si="181"/>
        <v>45709</v>
      </c>
      <c r="V441" s="310">
        <f t="shared" si="182"/>
        <v>2089312681</v>
      </c>
      <c r="X441" s="336">
        <f t="shared" si="177"/>
        <v>1.1177807276160618</v>
      </c>
      <c r="Y441" s="337">
        <f t="shared" si="183"/>
        <v>-16.633875488742344</v>
      </c>
      <c r="AA441" s="336">
        <f t="shared" si="178"/>
        <v>-3.7085116014065167</v>
      </c>
      <c r="AB441" s="337">
        <f t="shared" si="179"/>
        <v>-103.63683195477596</v>
      </c>
      <c r="AD441">
        <f t="shared" si="184"/>
        <v>0</v>
      </c>
      <c r="AE441">
        <f t="shared" si="187"/>
        <v>0</v>
      </c>
    </row>
    <row r="442" spans="1:31" x14ac:dyDescent="0.25">
      <c r="A442" s="338">
        <v>45975.25</v>
      </c>
      <c r="B442" s="355">
        <f t="shared" si="180"/>
        <v>45.975250000000003</v>
      </c>
      <c r="C442" s="328">
        <f t="shared" si="162"/>
        <v>15.450518889122188</v>
      </c>
      <c r="D442" s="329">
        <f t="shared" si="163"/>
        <v>1.5060283083958041</v>
      </c>
      <c r="E442" s="329">
        <f t="shared" si="164"/>
        <v>1.000181729884162</v>
      </c>
      <c r="F442" s="330">
        <f t="shared" si="165"/>
        <v>1.9063177435583001E-2</v>
      </c>
      <c r="G442" s="329">
        <f t="shared" si="166"/>
        <v>1</v>
      </c>
      <c r="H442" s="330">
        <f t="shared" si="167"/>
        <v>0</v>
      </c>
      <c r="I442" s="328">
        <f t="shared" si="168"/>
        <v>83381.806747752576</v>
      </c>
      <c r="J442" s="331">
        <f t="shared" si="169"/>
        <v>1.5707843337710101</v>
      </c>
      <c r="K442" s="339">
        <f t="shared" si="185"/>
        <v>13.668452862372529</v>
      </c>
      <c r="L442" s="340">
        <f t="shared" si="186"/>
        <v>1.4975697327917679</v>
      </c>
      <c r="M442" s="328">
        <f t="shared" si="170"/>
        <v>1.0242188927808984</v>
      </c>
      <c r="N442" s="331">
        <f t="shared" si="171"/>
        <v>0.21789901543959947</v>
      </c>
      <c r="O442" s="332">
        <f t="shared" si="172"/>
        <v>1.0088212361639668</v>
      </c>
      <c r="P442" s="333">
        <f t="shared" si="173"/>
        <v>0.32401183207073964</v>
      </c>
      <c r="Q442" s="334">
        <f t="shared" si="174"/>
        <v>-2.6445301603513824</v>
      </c>
      <c r="R442" s="335">
        <f t="shared" si="175"/>
        <v>-120.44091849430714</v>
      </c>
      <c r="S442" s="337">
        <f t="shared" si="176"/>
        <v>59.559081505692859</v>
      </c>
      <c r="U442" s="310">
        <f t="shared" si="181"/>
        <v>45975.25</v>
      </c>
      <c r="V442" s="310">
        <f t="shared" si="182"/>
        <v>2113723612.5625</v>
      </c>
      <c r="X442" s="336">
        <f t="shared" si="177"/>
        <v>1.1151645644910255</v>
      </c>
      <c r="Y442" s="337">
        <f t="shared" si="183"/>
        <v>-16.679581598649175</v>
      </c>
      <c r="AA442" s="336">
        <f t="shared" si="178"/>
        <v>-3.7596947248424102</v>
      </c>
      <c r="AB442" s="337">
        <f t="shared" si="179"/>
        <v>-103.76133689565798</v>
      </c>
      <c r="AD442">
        <f t="shared" si="184"/>
        <v>0</v>
      </c>
      <c r="AE442">
        <f t="shared" si="187"/>
        <v>0</v>
      </c>
    </row>
    <row r="443" spans="1:31" x14ac:dyDescent="0.25">
      <c r="A443" s="338">
        <v>46241.5</v>
      </c>
      <c r="B443" s="355">
        <f t="shared" si="180"/>
        <v>46.241500000000002</v>
      </c>
      <c r="C443" s="328">
        <f t="shared" si="162"/>
        <v>15.539621561260262</v>
      </c>
      <c r="D443" s="329">
        <f t="shared" si="163"/>
        <v>1.5064001975742853</v>
      </c>
      <c r="E443" s="329">
        <f t="shared" si="164"/>
        <v>1.0001838406383736</v>
      </c>
      <c r="F443" s="330">
        <f t="shared" si="165"/>
        <v>1.9173548357448417E-2</v>
      </c>
      <c r="G443" s="329">
        <f t="shared" si="166"/>
        <v>1</v>
      </c>
      <c r="H443" s="330">
        <f t="shared" si="167"/>
        <v>0</v>
      </c>
      <c r="I443" s="328">
        <f t="shared" si="168"/>
        <v>83864.684079434417</v>
      </c>
      <c r="J443" s="331">
        <f t="shared" si="169"/>
        <v>1.5707844028246223</v>
      </c>
      <c r="K443" s="339">
        <f t="shared" si="185"/>
        <v>13.747186576564799</v>
      </c>
      <c r="L443" s="340">
        <f t="shared" si="186"/>
        <v>1.4979898653011896</v>
      </c>
      <c r="M443" s="328">
        <f t="shared" si="170"/>
        <v>1.0244968521281781</v>
      </c>
      <c r="N443" s="331">
        <f t="shared" si="171"/>
        <v>0.21912100668178708</v>
      </c>
      <c r="O443" s="332">
        <f t="shared" si="172"/>
        <v>1.0089343558526931</v>
      </c>
      <c r="P443" s="333">
        <f t="shared" si="173"/>
        <v>0.32591951963414195</v>
      </c>
      <c r="Q443" s="334">
        <f t="shared" si="174"/>
        <v>-2.6980569487078783</v>
      </c>
      <c r="R443" s="335">
        <f t="shared" si="175"/>
        <v>-120.61115191051762</v>
      </c>
      <c r="S443" s="337">
        <f t="shared" si="176"/>
        <v>59.38884808948238</v>
      </c>
      <c r="U443" s="310">
        <f t="shared" si="181"/>
        <v>46241.5</v>
      </c>
      <c r="V443" s="310">
        <f t="shared" si="182"/>
        <v>2138276322.25</v>
      </c>
      <c r="X443" s="336">
        <f t="shared" si="177"/>
        <v>1.1125407214481895</v>
      </c>
      <c r="Y443" s="337">
        <f t="shared" si="183"/>
        <v>-16.725528676335404</v>
      </c>
      <c r="AA443" s="336">
        <f t="shared" si="178"/>
        <v>-3.8105976701560698</v>
      </c>
      <c r="AB443" s="337">
        <f t="shared" si="179"/>
        <v>-103.88562323418225</v>
      </c>
      <c r="AD443">
        <f t="shared" si="184"/>
        <v>0</v>
      </c>
      <c r="AE443">
        <f t="shared" si="187"/>
        <v>0</v>
      </c>
    </row>
    <row r="444" spans="1:31" x14ac:dyDescent="0.25">
      <c r="A444" s="338">
        <v>46507.75</v>
      </c>
      <c r="B444" s="355">
        <f t="shared" si="180"/>
        <v>46.507750000000001</v>
      </c>
      <c r="C444" s="328">
        <f t="shared" si="162"/>
        <v>15.628726358046523</v>
      </c>
      <c r="D444" s="329">
        <f t="shared" si="163"/>
        <v>1.5067678462644054</v>
      </c>
      <c r="E444" s="329">
        <f t="shared" si="164"/>
        <v>1.0001859635765138</v>
      </c>
      <c r="F444" s="330">
        <f t="shared" si="165"/>
        <v>1.9283918812124188E-2</v>
      </c>
      <c r="G444" s="329">
        <f t="shared" si="166"/>
        <v>1</v>
      </c>
      <c r="H444" s="330">
        <f t="shared" si="167"/>
        <v>0</v>
      </c>
      <c r="I444" s="328">
        <f t="shared" si="168"/>
        <v>84347.561411116651</v>
      </c>
      <c r="J444" s="331">
        <f t="shared" si="169"/>
        <v>1.5707844710875911</v>
      </c>
      <c r="K444" s="339">
        <f t="shared" si="185"/>
        <v>13.825922689654442</v>
      </c>
      <c r="L444" s="340">
        <f t="shared" si="186"/>
        <v>1.4984052127268952</v>
      </c>
      <c r="M444" s="328">
        <f t="shared" si="170"/>
        <v>1.0247763404870485</v>
      </c>
      <c r="N444" s="331">
        <f t="shared" si="171"/>
        <v>0.22034233319692473</v>
      </c>
      <c r="O444" s="332">
        <f t="shared" si="172"/>
        <v>1.0090483731989461</v>
      </c>
      <c r="P444" s="333">
        <f t="shared" si="173"/>
        <v>0.32782770727078653</v>
      </c>
      <c r="Q444" s="334">
        <f t="shared" si="174"/>
        <v>-2.7513146188571795</v>
      </c>
      <c r="R444" s="335">
        <f t="shared" si="175"/>
        <v>-120.78140707724276</v>
      </c>
      <c r="S444" s="337">
        <f t="shared" si="176"/>
        <v>59.218592922757239</v>
      </c>
      <c r="U444" s="310">
        <f t="shared" si="181"/>
        <v>46507.75</v>
      </c>
      <c r="V444" s="310">
        <f t="shared" si="182"/>
        <v>2162970810.0625</v>
      </c>
      <c r="X444" s="336">
        <f t="shared" si="177"/>
        <v>1.1099091132906767</v>
      </c>
      <c r="Y444" s="337">
        <f t="shared" si="183"/>
        <v>-16.771711787768449</v>
      </c>
      <c r="AA444" s="336">
        <f t="shared" si="178"/>
        <v>-3.8612237321478577</v>
      </c>
      <c r="AB444" s="337">
        <f t="shared" si="179"/>
        <v>-104.00969528947432</v>
      </c>
      <c r="AD444">
        <f t="shared" si="184"/>
        <v>0</v>
      </c>
      <c r="AE444">
        <f t="shared" si="187"/>
        <v>0</v>
      </c>
    </row>
    <row r="445" spans="1:31" x14ac:dyDescent="0.25">
      <c r="A445" s="338">
        <v>46774</v>
      </c>
      <c r="B445" s="355">
        <f t="shared" si="180"/>
        <v>46.774000000000001</v>
      </c>
      <c r="C445" s="328">
        <f t="shared" si="162"/>
        <v>15.717833243346918</v>
      </c>
      <c r="D445" s="329">
        <f t="shared" si="163"/>
        <v>1.5071313264859221</v>
      </c>
      <c r="E445" s="329">
        <f t="shared" si="164"/>
        <v>1.0001880986985046</v>
      </c>
      <c r="F445" s="330">
        <f t="shared" si="165"/>
        <v>1.9394288796924303E-2</v>
      </c>
      <c r="G445" s="329">
        <f t="shared" si="166"/>
        <v>1</v>
      </c>
      <c r="H445" s="330">
        <f t="shared" si="167"/>
        <v>0</v>
      </c>
      <c r="I445" s="328">
        <f t="shared" si="168"/>
        <v>84830.438742799262</v>
      </c>
      <c r="J445" s="331">
        <f t="shared" si="169"/>
        <v>1.570784538573418</v>
      </c>
      <c r="K445" s="339">
        <f t="shared" si="185"/>
        <v>13.904661160889695</v>
      </c>
      <c r="L445" s="340">
        <f t="shared" si="186"/>
        <v>1.4988158562143925</v>
      </c>
      <c r="M445" s="328">
        <f t="shared" si="170"/>
        <v>1.0250573566068255</v>
      </c>
      <c r="N445" s="331">
        <f t="shared" si="171"/>
        <v>0.22156299188667947</v>
      </c>
      <c r="O445" s="332">
        <f t="shared" si="172"/>
        <v>1.009163292341489</v>
      </c>
      <c r="P445" s="333">
        <f t="shared" si="173"/>
        <v>0.32973639665428073</v>
      </c>
      <c r="Q445" s="334">
        <f t="shared" si="174"/>
        <v>-2.8043064929332173</v>
      </c>
      <c r="R445" s="335">
        <f t="shared" si="175"/>
        <v>-120.95168339091225</v>
      </c>
      <c r="S445" s="337">
        <f t="shared" si="176"/>
        <v>59.048316609087749</v>
      </c>
      <c r="U445" s="310">
        <f t="shared" si="181"/>
        <v>46774</v>
      </c>
      <c r="V445" s="310">
        <f t="shared" si="182"/>
        <v>2187807076</v>
      </c>
      <c r="X445" s="336">
        <f t="shared" si="177"/>
        <v>1.1072696578951218</v>
      </c>
      <c r="Y445" s="337">
        <f t="shared" si="183"/>
        <v>-16.818126106905328</v>
      </c>
      <c r="AA445" s="336">
        <f t="shared" si="178"/>
        <v>-3.9115761508283429</v>
      </c>
      <c r="AB445" s="337">
        <f t="shared" si="179"/>
        <v>-104.13355728400693</v>
      </c>
      <c r="AD445">
        <f t="shared" si="184"/>
        <v>0</v>
      </c>
      <c r="AE445">
        <f t="shared" si="187"/>
        <v>0</v>
      </c>
    </row>
    <row r="446" spans="1:31" x14ac:dyDescent="0.25">
      <c r="A446" s="338">
        <v>47046.25</v>
      </c>
      <c r="B446" s="355">
        <f t="shared" si="180"/>
        <v>47.046250000000001</v>
      </c>
      <c r="C446" s="328">
        <f t="shared" si="162"/>
        <v>15.808950293982379</v>
      </c>
      <c r="D446" s="329">
        <f t="shared" si="163"/>
        <v>1.5074987607133632</v>
      </c>
      <c r="E446" s="329">
        <f t="shared" si="164"/>
        <v>1.0001902945346322</v>
      </c>
      <c r="F446" s="330">
        <f t="shared" si="165"/>
        <v>1.9507145503973141E-2</v>
      </c>
      <c r="G446" s="329">
        <f t="shared" si="166"/>
        <v>1</v>
      </c>
      <c r="H446" s="330">
        <f t="shared" si="167"/>
        <v>0</v>
      </c>
      <c r="I446" s="328">
        <f t="shared" si="168"/>
        <v>85324.197817168082</v>
      </c>
      <c r="J446" s="331">
        <f t="shared" si="169"/>
        <v>1.5707846067901898</v>
      </c>
      <c r="K446" s="339">
        <f t="shared" si="185"/>
        <v>13.985176417169543</v>
      </c>
      <c r="L446" s="340">
        <f t="shared" si="186"/>
        <v>1.49923097213209</v>
      </c>
      <c r="M446" s="328">
        <f t="shared" si="170"/>
        <v>1.0253462839669709</v>
      </c>
      <c r="N446" s="331">
        <f t="shared" si="171"/>
        <v>0.22281046459252923</v>
      </c>
      <c r="O446" s="332">
        <f t="shared" si="172"/>
        <v>1.0092817380538008</v>
      </c>
      <c r="P446" s="333">
        <f t="shared" si="173"/>
        <v>0.33168861931288346</v>
      </c>
      <c r="Q446" s="334">
        <f t="shared" si="174"/>
        <v>-2.8582211037153393</v>
      </c>
      <c r="R446" s="335">
        <f t="shared" si="175"/>
        <v>-121.12581816713966</v>
      </c>
      <c r="S446" s="337">
        <f t="shared" si="176"/>
        <v>58.874181832860344</v>
      </c>
      <c r="U446" s="310">
        <f t="shared" si="181"/>
        <v>47046.25</v>
      </c>
      <c r="V446" s="310">
        <f t="shared" si="182"/>
        <v>2213349639.0625</v>
      </c>
      <c r="X446" s="336">
        <f t="shared" si="177"/>
        <v>1.1045625248806497</v>
      </c>
      <c r="Y446" s="337">
        <f t="shared" si="183"/>
        <v>-16.865820546503137</v>
      </c>
      <c r="AA446" s="336">
        <f t="shared" si="178"/>
        <v>-3.962783628595989</v>
      </c>
      <c r="AB446" s="337">
        <f t="shared" si="179"/>
        <v>-104.25999762063653</v>
      </c>
      <c r="AD446">
        <f t="shared" si="184"/>
        <v>0</v>
      </c>
      <c r="AE446">
        <f t="shared" si="187"/>
        <v>0</v>
      </c>
    </row>
    <row r="447" spans="1:31" x14ac:dyDescent="0.25">
      <c r="A447" s="338">
        <v>47318.5</v>
      </c>
      <c r="B447" s="355">
        <f t="shared" si="180"/>
        <v>47.3185</v>
      </c>
      <c r="C447" s="328">
        <f t="shared" si="162"/>
        <v>15.90006945448898</v>
      </c>
      <c r="D447" s="329">
        <f t="shared" si="163"/>
        <v>1.5078619836494882</v>
      </c>
      <c r="E447" s="329">
        <f t="shared" si="164"/>
        <v>1.0001925031097638</v>
      </c>
      <c r="F447" s="330">
        <f t="shared" si="165"/>
        <v>1.96200017140503E-2</v>
      </c>
      <c r="G447" s="329">
        <f t="shared" si="166"/>
        <v>1</v>
      </c>
      <c r="H447" s="330">
        <f t="shared" si="167"/>
        <v>0</v>
      </c>
      <c r="I447" s="328">
        <f t="shared" si="168"/>
        <v>85817.95689153728</v>
      </c>
      <c r="J447" s="331">
        <f t="shared" si="169"/>
        <v>1.5707846742219824</v>
      </c>
      <c r="K447" s="339">
        <f t="shared" si="185"/>
        <v>14.065694055801755</v>
      </c>
      <c r="L447" s="340">
        <f t="shared" si="186"/>
        <v>1.4996413355419158</v>
      </c>
      <c r="M447" s="328">
        <f t="shared" si="170"/>
        <v>1.0256368060584109</v>
      </c>
      <c r="N447" s="331">
        <f t="shared" si="171"/>
        <v>0.22405723251892334</v>
      </c>
      <c r="O447" s="332">
        <f t="shared" si="172"/>
        <v>1.0094011354848449</v>
      </c>
      <c r="P447" s="333">
        <f t="shared" si="173"/>
        <v>0.33364137005987293</v>
      </c>
      <c r="Q447" s="334">
        <f t="shared" si="174"/>
        <v>-2.9118646497651075</v>
      </c>
      <c r="R447" s="335">
        <f t="shared" si="175"/>
        <v>-121.2999738126374</v>
      </c>
      <c r="S447" s="337">
        <f t="shared" si="176"/>
        <v>58.700026187362596</v>
      </c>
      <c r="U447" s="310">
        <f t="shared" si="181"/>
        <v>47318.5</v>
      </c>
      <c r="V447" s="310">
        <f t="shared" si="182"/>
        <v>2239040442.25</v>
      </c>
      <c r="X447" s="336">
        <f t="shared" si="177"/>
        <v>1.1018470227008494</v>
      </c>
      <c r="Y447" s="337">
        <f t="shared" si="183"/>
        <v>-16.913746858880064</v>
      </c>
      <c r="AA447" s="336">
        <f t="shared" si="178"/>
        <v>-4.0137116724659583</v>
      </c>
      <c r="AB447" s="337">
        <f t="shared" si="179"/>
        <v>-104.38622695375734</v>
      </c>
      <c r="AD447">
        <f t="shared" si="184"/>
        <v>0</v>
      </c>
      <c r="AE447">
        <f t="shared" si="187"/>
        <v>0</v>
      </c>
    </row>
    <row r="448" spans="1:31" x14ac:dyDescent="0.25">
      <c r="A448" s="338">
        <v>47590.75</v>
      </c>
      <c r="B448" s="355">
        <f t="shared" si="180"/>
        <v>47.59075</v>
      </c>
      <c r="C448" s="328">
        <f t="shared" si="162"/>
        <v>15.991190688800055</v>
      </c>
      <c r="D448" s="329">
        <f t="shared" si="163"/>
        <v>1.5082210671881517</v>
      </c>
      <c r="E448" s="329">
        <f t="shared" si="164"/>
        <v>1.000194724423815</v>
      </c>
      <c r="F448" s="330">
        <f t="shared" si="165"/>
        <v>1.9732857424284277E-2</v>
      </c>
      <c r="G448" s="329">
        <f t="shared" si="166"/>
        <v>1</v>
      </c>
      <c r="H448" s="330">
        <f t="shared" si="167"/>
        <v>0</v>
      </c>
      <c r="I448" s="328">
        <f t="shared" si="168"/>
        <v>86311.715965906886</v>
      </c>
      <c r="J448" s="331">
        <f t="shared" si="169"/>
        <v>1.5707847408822677</v>
      </c>
      <c r="K448" s="339">
        <f t="shared" si="185"/>
        <v>14.146214036106603</v>
      </c>
      <c r="L448" s="340">
        <f t="shared" si="186"/>
        <v>1.5000470274580191</v>
      </c>
      <c r="M448" s="328">
        <f t="shared" si="170"/>
        <v>1.0259289215263596</v>
      </c>
      <c r="N448" s="331">
        <f t="shared" si="171"/>
        <v>0.22530329239022456</v>
      </c>
      <c r="O448" s="332">
        <f t="shared" si="172"/>
        <v>1.0095214891281761</v>
      </c>
      <c r="P448" s="333">
        <f t="shared" si="173"/>
        <v>0.33559465061699667</v>
      </c>
      <c r="Q448" s="334">
        <f t="shared" si="174"/>
        <v>-2.9652405037181433</v>
      </c>
      <c r="R448" s="335">
        <f t="shared" si="175"/>
        <v>-121.47414971675613</v>
      </c>
      <c r="S448" s="337">
        <f t="shared" si="176"/>
        <v>58.525850283243869</v>
      </c>
      <c r="U448" s="310">
        <f t="shared" si="181"/>
        <v>47590.75</v>
      </c>
      <c r="V448" s="310">
        <f t="shared" si="182"/>
        <v>2264879485.5625</v>
      </c>
      <c r="X448" s="336">
        <f t="shared" si="177"/>
        <v>1.0991230728775572</v>
      </c>
      <c r="Y448" s="337">
        <f t="shared" si="183"/>
        <v>-16.96190021535897</v>
      </c>
      <c r="AA448" s="336">
        <f t="shared" si="178"/>
        <v>-4.0643635765957011</v>
      </c>
      <c r="AB448" s="337">
        <f t="shared" si="179"/>
        <v>-104.51224950139716</v>
      </c>
      <c r="AD448">
        <f t="shared" si="184"/>
        <v>0</v>
      </c>
      <c r="AE448">
        <f t="shared" si="187"/>
        <v>0</v>
      </c>
    </row>
    <row r="449" spans="1:31" x14ac:dyDescent="0.25">
      <c r="A449" s="338">
        <v>47863</v>
      </c>
      <c r="B449" s="355">
        <f t="shared" si="180"/>
        <v>47.863</v>
      </c>
      <c r="C449" s="328">
        <f t="shared" si="162"/>
        <v>16.082313961665513</v>
      </c>
      <c r="D449" s="329">
        <f t="shared" si="163"/>
        <v>1.5085760815981151</v>
      </c>
      <c r="E449" s="329">
        <f t="shared" si="164"/>
        <v>1.000196958476701</v>
      </c>
      <c r="F449" s="330">
        <f t="shared" si="165"/>
        <v>1.9845712631803666E-2</v>
      </c>
      <c r="G449" s="329">
        <f t="shared" si="166"/>
        <v>1</v>
      </c>
      <c r="H449" s="330">
        <f t="shared" si="167"/>
        <v>0</v>
      </c>
      <c r="I449" s="328">
        <f t="shared" si="168"/>
        <v>86805.475040276855</v>
      </c>
      <c r="J449" s="331">
        <f t="shared" si="169"/>
        <v>1.5707848067842112</v>
      </c>
      <c r="K449" s="339">
        <f t="shared" si="185"/>
        <v>14.226736318324136</v>
      </c>
      <c r="L449" s="340">
        <f t="shared" si="186"/>
        <v>1.5004481270666448</v>
      </c>
      <c r="M449" s="328">
        <f t="shared" si="170"/>
        <v>1.0262226290101477</v>
      </c>
      <c r="N449" s="331">
        <f t="shared" si="171"/>
        <v>0.22654864094331012</v>
      </c>
      <c r="O449" s="332">
        <f t="shared" si="172"/>
        <v>1.0096428035003719</v>
      </c>
      <c r="P449" s="333">
        <f t="shared" si="173"/>
        <v>0.33754846268297567</v>
      </c>
      <c r="Q449" s="334">
        <f t="shared" si="174"/>
        <v>-3.0183519805506438</v>
      </c>
      <c r="R449" s="335">
        <f t="shared" si="175"/>
        <v>-121.64834527984696</v>
      </c>
      <c r="S449" s="337">
        <f t="shared" si="176"/>
        <v>58.351654720153036</v>
      </c>
      <c r="U449" s="310">
        <f t="shared" si="181"/>
        <v>47863</v>
      </c>
      <c r="V449" s="310">
        <f t="shared" si="182"/>
        <v>2290866769</v>
      </c>
      <c r="X449" s="336">
        <f t="shared" si="177"/>
        <v>1.0963905998705177</v>
      </c>
      <c r="Y449" s="337">
        <f t="shared" si="183"/>
        <v>-17.0102758926934</v>
      </c>
      <c r="AA449" s="336">
        <f t="shared" si="178"/>
        <v>-4.114742580421165</v>
      </c>
      <c r="AB449" s="337">
        <f t="shared" si="179"/>
        <v>-104.63806938715356</v>
      </c>
      <c r="AD449">
        <f t="shared" si="184"/>
        <v>0</v>
      </c>
      <c r="AE449">
        <f t="shared" si="187"/>
        <v>0</v>
      </c>
    </row>
    <row r="450" spans="1:31" x14ac:dyDescent="0.25">
      <c r="A450" s="338">
        <v>48141.75</v>
      </c>
      <c r="B450" s="355">
        <f t="shared" si="180"/>
        <v>48.141750000000002</v>
      </c>
      <c r="C450" s="328">
        <f t="shared" si="162"/>
        <v>16.175614889292106</v>
      </c>
      <c r="D450" s="329">
        <f t="shared" si="163"/>
        <v>1.5089354277286069</v>
      </c>
      <c r="E450" s="329">
        <f t="shared" si="164"/>
        <v>1.0001992590664441</v>
      </c>
      <c r="F450" s="330">
        <f t="shared" si="165"/>
        <v>1.9961261746496498E-2</v>
      </c>
      <c r="G450" s="329">
        <f t="shared" si="166"/>
        <v>1</v>
      </c>
      <c r="H450" s="330">
        <f t="shared" si="167"/>
        <v>0</v>
      </c>
      <c r="I450" s="328">
        <f t="shared" si="168"/>
        <v>87311.022669223545</v>
      </c>
      <c r="J450" s="331">
        <f t="shared" si="169"/>
        <v>1.5707848734872907</v>
      </c>
      <c r="K450" s="339">
        <f t="shared" si="185"/>
        <v>14.309183423694712</v>
      </c>
      <c r="L450" s="340">
        <f t="shared" si="186"/>
        <v>1.5008541257266188</v>
      </c>
      <c r="M450" s="328">
        <f t="shared" si="170"/>
        <v>1.0265249968505905</v>
      </c>
      <c r="N450" s="331">
        <f t="shared" si="171"/>
        <v>0.22782298194625628</v>
      </c>
      <c r="O450" s="332">
        <f t="shared" si="172"/>
        <v>1.0097680144170642</v>
      </c>
      <c r="P450" s="333">
        <f t="shared" si="173"/>
        <v>0.33954947468111452</v>
      </c>
      <c r="Q450" s="334">
        <f t="shared" si="174"/>
        <v>-3.0724609822537525</v>
      </c>
      <c r="R450" s="335">
        <f t="shared" si="175"/>
        <v>-121.82671953559209</v>
      </c>
      <c r="S450" s="337">
        <f t="shared" si="176"/>
        <v>58.17328046440791</v>
      </c>
      <c r="U450" s="310">
        <f t="shared" si="181"/>
        <v>48141.75</v>
      </c>
      <c r="V450" s="310">
        <f t="shared" si="182"/>
        <v>2317628093.0625</v>
      </c>
      <c r="X450" s="336">
        <f t="shared" si="177"/>
        <v>1.0935839820004869</v>
      </c>
      <c r="Y450" s="337">
        <f t="shared" si="183"/>
        <v>-17.060032065979993</v>
      </c>
      <c r="AA450" s="336">
        <f t="shared" si="178"/>
        <v>-4.1660449642542376</v>
      </c>
      <c r="AB450" s="337">
        <f t="shared" si="179"/>
        <v>-104.76668746961208</v>
      </c>
      <c r="AD450">
        <f t="shared" si="184"/>
        <v>0</v>
      </c>
      <c r="AE450">
        <f t="shared" si="187"/>
        <v>0</v>
      </c>
    </row>
    <row r="451" spans="1:31" x14ac:dyDescent="0.25">
      <c r="A451" s="338">
        <v>48420.5</v>
      </c>
      <c r="B451" s="355">
        <f t="shared" si="180"/>
        <v>48.420499999999997</v>
      </c>
      <c r="C451" s="328">
        <f t="shared" si="162"/>
        <v>16.268917881712252</v>
      </c>
      <c r="D451" s="329">
        <f t="shared" si="163"/>
        <v>1.5092906521713549</v>
      </c>
      <c r="E451" s="329">
        <f t="shared" si="164"/>
        <v>1.0002015730103839</v>
      </c>
      <c r="F451" s="330">
        <f t="shared" si="165"/>
        <v>2.0076810328091499E-2</v>
      </c>
      <c r="G451" s="329">
        <f t="shared" si="166"/>
        <v>1</v>
      </c>
      <c r="H451" s="330">
        <f t="shared" si="167"/>
        <v>0</v>
      </c>
      <c r="I451" s="328">
        <f t="shared" si="168"/>
        <v>87816.570298170613</v>
      </c>
      <c r="J451" s="331">
        <f t="shared" si="169"/>
        <v>1.5707849394223696</v>
      </c>
      <c r="K451" s="339">
        <f t="shared" si="185"/>
        <v>14.391632860693445</v>
      </c>
      <c r="L451" s="340">
        <f t="shared" si="186"/>
        <v>1.5012554725323175</v>
      </c>
      <c r="M451" s="328">
        <f t="shared" si="170"/>
        <v>1.0268290307278152</v>
      </c>
      <c r="N451" s="331">
        <f t="shared" si="171"/>
        <v>0.22909657037699435</v>
      </c>
      <c r="O451" s="332">
        <f t="shared" si="172"/>
        <v>1.0098942421416699</v>
      </c>
      <c r="P451" s="333">
        <f t="shared" si="173"/>
        <v>0.34155104740036968</v>
      </c>
      <c r="Q451" s="334">
        <f t="shared" si="174"/>
        <v>-3.1262996857837466</v>
      </c>
      <c r="R451" s="335">
        <f t="shared" si="175"/>
        <v>-122.00511316192514</v>
      </c>
      <c r="S451" s="337">
        <f t="shared" si="176"/>
        <v>57.994886838074862</v>
      </c>
      <c r="U451" s="310">
        <f t="shared" si="181"/>
        <v>48420.5</v>
      </c>
      <c r="V451" s="310">
        <f t="shared" si="182"/>
        <v>2344544820.25</v>
      </c>
      <c r="X451" s="336">
        <f t="shared" si="177"/>
        <v>1.0907682778570882</v>
      </c>
      <c r="Y451" s="337">
        <f t="shared" si="183"/>
        <v>-17.110011607669232</v>
      </c>
      <c r="AA451" s="336">
        <f t="shared" si="178"/>
        <v>-4.2170679636408348</v>
      </c>
      <c r="AB451" s="337">
        <f t="shared" si="179"/>
        <v>-104.8951015542559</v>
      </c>
      <c r="AD451">
        <f t="shared" si="184"/>
        <v>0</v>
      </c>
      <c r="AE451">
        <f t="shared" si="187"/>
        <v>0</v>
      </c>
    </row>
    <row r="452" spans="1:31" x14ac:dyDescent="0.25">
      <c r="A452" s="338">
        <v>48699.25</v>
      </c>
      <c r="B452" s="355">
        <f t="shared" si="180"/>
        <v>48.699249999999999</v>
      </c>
      <c r="C452" s="328">
        <f t="shared" si="162"/>
        <v>16.362222903603474</v>
      </c>
      <c r="D452" s="329">
        <f t="shared" si="163"/>
        <v>1.5096418253472899</v>
      </c>
      <c r="E452" s="329">
        <f t="shared" si="164"/>
        <v>1.000203900308428</v>
      </c>
      <c r="F452" s="330">
        <f t="shared" si="165"/>
        <v>2.01923583735069E-2</v>
      </c>
      <c r="G452" s="329">
        <f t="shared" si="166"/>
        <v>1</v>
      </c>
      <c r="H452" s="330">
        <f t="shared" si="167"/>
        <v>0</v>
      </c>
      <c r="I452" s="328">
        <f t="shared" si="168"/>
        <v>88322.117927118074</v>
      </c>
      <c r="J452" s="331">
        <f t="shared" si="169"/>
        <v>1.5707850046026361</v>
      </c>
      <c r="K452" s="339">
        <f t="shared" si="185"/>
        <v>14.474084589475032</v>
      </c>
      <c r="L452" s="340">
        <f t="shared" si="186"/>
        <v>1.5016522468512916</v>
      </c>
      <c r="M452" s="328">
        <f t="shared" si="170"/>
        <v>1.0271347291623718</v>
      </c>
      <c r="N452" s="331">
        <f t="shared" si="171"/>
        <v>0.23036940277406362</v>
      </c>
      <c r="O452" s="332">
        <f t="shared" si="172"/>
        <v>1.0100214915966979</v>
      </c>
      <c r="P452" s="333">
        <f t="shared" si="173"/>
        <v>0.34355318258820378</v>
      </c>
      <c r="Q452" s="334">
        <f t="shared" si="174"/>
        <v>-3.1798714698813191</v>
      </c>
      <c r="R452" s="335">
        <f t="shared" si="175"/>
        <v>-122.18352554896987</v>
      </c>
      <c r="S452" s="337">
        <f t="shared" si="176"/>
        <v>57.816474451030132</v>
      </c>
      <c r="U452" s="310">
        <f t="shared" si="181"/>
        <v>48699.25</v>
      </c>
      <c r="V452" s="310">
        <f t="shared" si="182"/>
        <v>2371616950.5625</v>
      </c>
      <c r="X452" s="336">
        <f t="shared" si="177"/>
        <v>1.0879434153134278</v>
      </c>
      <c r="Y452" s="337">
        <f t="shared" si="183"/>
        <v>-17.160209772763974</v>
      </c>
      <c r="AA452" s="336">
        <f t="shared" si="178"/>
        <v>-4.2678148851947482</v>
      </c>
      <c r="AB452" s="337">
        <f t="shared" si="179"/>
        <v>-105.02331577620592</v>
      </c>
      <c r="AD452">
        <f t="shared" si="184"/>
        <v>0</v>
      </c>
      <c r="AE452">
        <f t="shared" si="187"/>
        <v>0</v>
      </c>
    </row>
    <row r="453" spans="1:31" x14ac:dyDescent="0.25">
      <c r="A453" s="338">
        <v>48978</v>
      </c>
      <c r="B453" s="355">
        <f t="shared" si="180"/>
        <v>48.978000000000002</v>
      </c>
      <c r="C453" s="328">
        <f t="shared" si="162"/>
        <v>16.455529920443674</v>
      </c>
      <c r="D453" s="329">
        <f t="shared" si="163"/>
        <v>1.5099890160841738</v>
      </c>
      <c r="E453" s="329">
        <f t="shared" si="164"/>
        <v>1.0002062409604828</v>
      </c>
      <c r="F453" s="330">
        <f t="shared" si="165"/>
        <v>2.0307905879661005E-2</v>
      </c>
      <c r="G453" s="329">
        <f t="shared" si="166"/>
        <v>1</v>
      </c>
      <c r="H453" s="330">
        <f t="shared" si="167"/>
        <v>0</v>
      </c>
      <c r="I453" s="328">
        <f t="shared" si="168"/>
        <v>88827.665556065898</v>
      </c>
      <c r="J453" s="331">
        <f t="shared" si="169"/>
        <v>1.5707850690409777</v>
      </c>
      <c r="K453" s="339">
        <f t="shared" si="185"/>
        <v>14.556538571095849</v>
      </c>
      <c r="L453" s="340">
        <f t="shared" si="186"/>
        <v>1.5020445262586495</v>
      </c>
      <c r="M453" s="328">
        <f t="shared" si="170"/>
        <v>1.0274420906684758</v>
      </c>
      <c r="N453" s="331">
        <f t="shared" si="171"/>
        <v>0.23164147568991059</v>
      </c>
      <c r="O453" s="332">
        <f t="shared" si="172"/>
        <v>1.0101497677297027</v>
      </c>
      <c r="P453" s="333">
        <f t="shared" si="173"/>
        <v>0.34555588196621584</v>
      </c>
      <c r="Q453" s="334">
        <f t="shared" si="174"/>
        <v>-3.23317965552787</v>
      </c>
      <c r="R453" s="335">
        <f t="shared" si="175"/>
        <v>-122.3619560975654</v>
      </c>
      <c r="S453" s="337">
        <f t="shared" si="176"/>
        <v>57.638043902434603</v>
      </c>
      <c r="U453" s="310">
        <f t="shared" si="181"/>
        <v>48978</v>
      </c>
      <c r="V453" s="310">
        <f t="shared" si="182"/>
        <v>2398844484</v>
      </c>
      <c r="X453" s="336">
        <f t="shared" si="177"/>
        <v>1.0851093250663824</v>
      </c>
      <c r="Y453" s="337">
        <f t="shared" si="183"/>
        <v>-17.210621919746014</v>
      </c>
      <c r="AA453" s="336">
        <f t="shared" si="178"/>
        <v>-4.3182889805942528</v>
      </c>
      <c r="AB453" s="337">
        <f t="shared" si="179"/>
        <v>-105.15133417781938</v>
      </c>
      <c r="AD453">
        <f t="shared" si="184"/>
        <v>0</v>
      </c>
      <c r="AE453">
        <f t="shared" si="187"/>
        <v>0</v>
      </c>
    </row>
    <row r="454" spans="1:31" x14ac:dyDescent="0.25">
      <c r="A454" s="338">
        <v>49263.25</v>
      </c>
      <c r="B454" s="355">
        <f t="shared" si="180"/>
        <v>49.263249999999999</v>
      </c>
      <c r="C454" s="328">
        <f t="shared" si="162"/>
        <v>16.551014736355619</v>
      </c>
      <c r="D454" s="329">
        <f t="shared" si="163"/>
        <v>1.5103402501137855</v>
      </c>
      <c r="E454" s="329">
        <f t="shared" si="164"/>
        <v>1.0002086500173997</v>
      </c>
      <c r="F454" s="330">
        <f t="shared" si="165"/>
        <v>2.0426147205639553E-2</v>
      </c>
      <c r="G454" s="329">
        <f t="shared" si="166"/>
        <v>1</v>
      </c>
      <c r="H454" s="330">
        <f t="shared" si="167"/>
        <v>0</v>
      </c>
      <c r="I454" s="328">
        <f t="shared" si="168"/>
        <v>89345.001739590443</v>
      </c>
      <c r="J454" s="331">
        <f t="shared" si="169"/>
        <v>1.5707851342269796</v>
      </c>
      <c r="K454" s="339">
        <f t="shared" si="185"/>
        <v>14.640917538998835</v>
      </c>
      <c r="L454" s="340">
        <f t="shared" si="186"/>
        <v>1.5024413787395481</v>
      </c>
      <c r="M454" s="328">
        <f t="shared" si="170"/>
        <v>1.0277583394858956</v>
      </c>
      <c r="N454" s="331">
        <f t="shared" si="171"/>
        <v>0.23294242145787913</v>
      </c>
      <c r="O454" s="332">
        <f t="shared" si="172"/>
        <v>1.0102821031108389</v>
      </c>
      <c r="P454" s="333">
        <f t="shared" si="173"/>
        <v>0.34760586690708772</v>
      </c>
      <c r="Q454" s="334">
        <f t="shared" si="174"/>
        <v>-3.2874614174000505</v>
      </c>
      <c r="R454" s="335">
        <f t="shared" si="175"/>
        <v>-122.54456554604491</v>
      </c>
      <c r="S454" s="337">
        <f t="shared" si="176"/>
        <v>57.455434453955093</v>
      </c>
      <c r="U454" s="310">
        <f t="shared" si="181"/>
        <v>49263.25</v>
      </c>
      <c r="V454" s="310">
        <f t="shared" si="182"/>
        <v>2426867800.5625</v>
      </c>
      <c r="X454" s="336">
        <f t="shared" si="177"/>
        <v>1.082199525996947</v>
      </c>
      <c r="Y454" s="337">
        <f t="shared" si="183"/>
        <v>-17.262426384323231</v>
      </c>
      <c r="AA454" s="336">
        <f t="shared" si="178"/>
        <v>-4.3696609433969993</v>
      </c>
      <c r="AB454" s="337">
        <f t="shared" si="179"/>
        <v>-105.28213916172169</v>
      </c>
      <c r="AD454">
        <f t="shared" si="184"/>
        <v>0</v>
      </c>
      <c r="AE454">
        <f t="shared" si="187"/>
        <v>0</v>
      </c>
    </row>
    <row r="455" spans="1:31" x14ac:dyDescent="0.25">
      <c r="A455" s="338">
        <v>49548.5</v>
      </c>
      <c r="B455" s="355">
        <f t="shared" si="180"/>
        <v>49.548499999999997</v>
      </c>
      <c r="C455" s="328">
        <f t="shared" si="162"/>
        <v>16.646501570665148</v>
      </c>
      <c r="D455" s="329">
        <f t="shared" si="163"/>
        <v>1.5106874547234814</v>
      </c>
      <c r="E455" s="329">
        <f t="shared" si="164"/>
        <v>1.0002110730581775</v>
      </c>
      <c r="F455" s="330">
        <f t="shared" si="165"/>
        <v>2.0544387960385026E-2</v>
      </c>
      <c r="G455" s="329">
        <f t="shared" si="166"/>
        <v>1</v>
      </c>
      <c r="H455" s="330">
        <f t="shared" si="167"/>
        <v>0</v>
      </c>
      <c r="I455" s="328">
        <f t="shared" si="168"/>
        <v>89862.337923115381</v>
      </c>
      <c r="J455" s="331">
        <f t="shared" si="169"/>
        <v>1.5707851986624317</v>
      </c>
      <c r="K455" s="339">
        <f t="shared" si="185"/>
        <v>14.725298786301703</v>
      </c>
      <c r="L455" s="340">
        <f t="shared" si="186"/>
        <v>1.5028336830673323</v>
      </c>
      <c r="M455" s="328">
        <f t="shared" si="170"/>
        <v>1.0280763266712203</v>
      </c>
      <c r="N455" s="331">
        <f t="shared" si="171"/>
        <v>0.23424256465206278</v>
      </c>
      <c r="O455" s="332">
        <f t="shared" si="172"/>
        <v>1.0104155241719688</v>
      </c>
      <c r="P455" s="333">
        <f t="shared" si="173"/>
        <v>0.34965644622106345</v>
      </c>
      <c r="Q455" s="334">
        <f t="shared" si="174"/>
        <v>-3.3414740009439612</v>
      </c>
      <c r="R455" s="335">
        <f t="shared" si="175"/>
        <v>-122.72719277645302</v>
      </c>
      <c r="S455" s="337">
        <f t="shared" si="176"/>
        <v>57.272807223546977</v>
      </c>
      <c r="U455" s="310">
        <f t="shared" si="181"/>
        <v>49548.5</v>
      </c>
      <c r="V455" s="310">
        <f t="shared" si="182"/>
        <v>2455053852.25</v>
      </c>
      <c r="X455" s="336">
        <f t="shared" si="177"/>
        <v>1.0792799256787866</v>
      </c>
      <c r="Y455" s="337">
        <f t="shared" si="183"/>
        <v>-17.314445411784742</v>
      </c>
      <c r="AA455" s="336">
        <f t="shared" si="178"/>
        <v>-4.4207539266227478</v>
      </c>
      <c r="AB455" s="337">
        <f t="shared" si="179"/>
        <v>-105.41274736466828</v>
      </c>
      <c r="AD455">
        <f t="shared" si="184"/>
        <v>0</v>
      </c>
      <c r="AE455">
        <f t="shared" si="187"/>
        <v>0</v>
      </c>
    </row>
    <row r="456" spans="1:31" x14ac:dyDescent="0.25">
      <c r="A456" s="338">
        <v>49833.75</v>
      </c>
      <c r="B456" s="355">
        <f t="shared" si="180"/>
        <v>49.833750000000002</v>
      </c>
      <c r="C456" s="328">
        <f t="shared" si="162"/>
        <v>16.741990388836864</v>
      </c>
      <c r="D456" s="329">
        <f t="shared" si="163"/>
        <v>1.511030698774847</v>
      </c>
      <c r="E456" s="329">
        <f t="shared" si="164"/>
        <v>1.0002135100827143</v>
      </c>
      <c r="F456" s="330">
        <f t="shared" si="165"/>
        <v>2.0662628140595374E-2</v>
      </c>
      <c r="G456" s="329">
        <f t="shared" si="166"/>
        <v>1</v>
      </c>
      <c r="H456" s="330">
        <f t="shared" si="167"/>
        <v>0</v>
      </c>
      <c r="I456" s="328">
        <f t="shared" si="168"/>
        <v>90379.674106640683</v>
      </c>
      <c r="J456" s="331">
        <f t="shared" si="169"/>
        <v>1.5707852623602225</v>
      </c>
      <c r="K456" s="339">
        <f t="shared" si="185"/>
        <v>14.809682274042387</v>
      </c>
      <c r="L456" s="340">
        <f t="shared" si="186"/>
        <v>1.5032215168644156</v>
      </c>
      <c r="M456" s="328">
        <f t="shared" si="170"/>
        <v>1.0283960506119039</v>
      </c>
      <c r="N456" s="331">
        <f t="shared" si="171"/>
        <v>0.23554190162354008</v>
      </c>
      <c r="O456" s="332">
        <f t="shared" si="172"/>
        <v>1.0105500362959099</v>
      </c>
      <c r="P456" s="333">
        <f t="shared" si="173"/>
        <v>0.35170762166797165</v>
      </c>
      <c r="Q456" s="334">
        <f t="shared" si="174"/>
        <v>-3.3952207855674121</v>
      </c>
      <c r="R456" s="335">
        <f t="shared" si="175"/>
        <v>-122.90983717952187</v>
      </c>
      <c r="S456" s="337">
        <f t="shared" si="176"/>
        <v>57.090162820478128</v>
      </c>
      <c r="U456" s="310">
        <f t="shared" si="181"/>
        <v>49833.75</v>
      </c>
      <c r="V456" s="310">
        <f t="shared" si="182"/>
        <v>2483402639.0625</v>
      </c>
      <c r="X456" s="336">
        <f t="shared" si="177"/>
        <v>1.0763504584375549</v>
      </c>
      <c r="Y456" s="337">
        <f t="shared" si="183"/>
        <v>-17.366674346364558</v>
      </c>
      <c r="AA456" s="336">
        <f t="shared" si="178"/>
        <v>-4.4715712440049691</v>
      </c>
      <c r="AB456" s="337">
        <f t="shared" si="179"/>
        <v>-105.54316283315731</v>
      </c>
      <c r="AD456">
        <f t="shared" si="184"/>
        <v>0</v>
      </c>
      <c r="AE456">
        <f t="shared" si="187"/>
        <v>0</v>
      </c>
    </row>
    <row r="457" spans="1:31" x14ac:dyDescent="0.25">
      <c r="A457" s="338">
        <v>50119</v>
      </c>
      <c r="B457" s="355">
        <f t="shared" si="180"/>
        <v>50.119</v>
      </c>
      <c r="C457" s="328">
        <f t="shared" si="162"/>
        <v>16.837481157118088</v>
      </c>
      <c r="D457" s="329">
        <f t="shared" si="163"/>
        <v>1.5113700495711049</v>
      </c>
      <c r="E457" s="329">
        <f t="shared" si="164"/>
        <v>1.0002159610909083</v>
      </c>
      <c r="F457" s="330">
        <f t="shared" si="165"/>
        <v>2.0780867742968639E-2</v>
      </c>
      <c r="G457" s="329">
        <f t="shared" si="166"/>
        <v>1</v>
      </c>
      <c r="H457" s="330">
        <f t="shared" si="167"/>
        <v>0</v>
      </c>
      <c r="I457" s="328">
        <f t="shared" si="168"/>
        <v>90897.010290166334</v>
      </c>
      <c r="J457" s="331">
        <f t="shared" si="169"/>
        <v>1.5707853253329471</v>
      </c>
      <c r="K457" s="339">
        <f t="shared" si="185"/>
        <v>14.89406796414077</v>
      </c>
      <c r="L457" s="340">
        <f t="shared" si="186"/>
        <v>1.5036049559995133</v>
      </c>
      <c r="M457" s="328">
        <f t="shared" si="170"/>
        <v>1.028717509688603</v>
      </c>
      <c r="N457" s="331">
        <f t="shared" si="171"/>
        <v>0.23684042873880271</v>
      </c>
      <c r="O457" s="332">
        <f t="shared" si="172"/>
        <v>1.0106856448926484</v>
      </c>
      <c r="P457" s="333">
        <f t="shared" si="173"/>
        <v>0.35375939497865888</v>
      </c>
      <c r="Q457" s="334">
        <f t="shared" si="174"/>
        <v>-3.4487050929452732</v>
      </c>
      <c r="R457" s="335">
        <f t="shared" si="175"/>
        <v>-123.09249815638117</v>
      </c>
      <c r="S457" s="337">
        <f t="shared" si="176"/>
        <v>56.907501843618832</v>
      </c>
      <c r="U457" s="310">
        <f t="shared" si="181"/>
        <v>50119</v>
      </c>
      <c r="V457" s="310">
        <f t="shared" si="182"/>
        <v>2511914161</v>
      </c>
      <c r="X457" s="336">
        <f t="shared" si="177"/>
        <v>1.0734110613076837</v>
      </c>
      <c r="Y457" s="337">
        <f t="shared" si="183"/>
        <v>-17.419108633642416</v>
      </c>
      <c r="AA457" s="336">
        <f t="shared" si="178"/>
        <v>-4.5221161542529611</v>
      </c>
      <c r="AB457" s="337">
        <f t="shared" si="179"/>
        <v>-105.67338952273876</v>
      </c>
      <c r="AD457">
        <f t="shared" si="184"/>
        <v>0</v>
      </c>
      <c r="AE457">
        <f t="shared" si="187"/>
        <v>0</v>
      </c>
    </row>
    <row r="458" spans="1:31" x14ac:dyDescent="0.25">
      <c r="A458" s="338">
        <v>50410.75</v>
      </c>
      <c r="B458" s="355">
        <f t="shared" si="180"/>
        <v>50.41075</v>
      </c>
      <c r="C458" s="328">
        <f t="shared" si="162"/>
        <v>16.935149859186495</v>
      </c>
      <c r="D458" s="329">
        <f t="shared" si="163"/>
        <v>1.5117131743868499</v>
      </c>
      <c r="E458" s="329">
        <f t="shared" si="164"/>
        <v>1.0002184824154459</v>
      </c>
      <c r="F458" s="330">
        <f t="shared" si="165"/>
        <v>2.0901801073401498E-2</v>
      </c>
      <c r="G458" s="329">
        <f t="shared" si="166"/>
        <v>1</v>
      </c>
      <c r="H458" s="330">
        <f t="shared" si="167"/>
        <v>0</v>
      </c>
      <c r="I458" s="328">
        <f t="shared" si="168"/>
        <v>91426.135028268778</v>
      </c>
      <c r="J458" s="331">
        <f t="shared" si="169"/>
        <v>1.5707853890034247</v>
      </c>
      <c r="K458" s="339">
        <f t="shared" si="185"/>
        <v>14.980378792814877</v>
      </c>
      <c r="L458" s="340">
        <f t="shared" si="186"/>
        <v>1.5039926638496419</v>
      </c>
      <c r="M458" s="328">
        <f t="shared" si="170"/>
        <v>1.0290480870620482</v>
      </c>
      <c r="N458" s="331">
        <f t="shared" si="171"/>
        <v>0.23816770391019973</v>
      </c>
      <c r="O458" s="332">
        <f t="shared" si="172"/>
        <v>1.0108254835091215</v>
      </c>
      <c r="P458" s="333">
        <f t="shared" si="173"/>
        <v>0.35585854233493919</v>
      </c>
      <c r="Q458" s="334">
        <f t="shared" si="174"/>
        <v>-3.5031400348196935</v>
      </c>
      <c r="R458" s="335">
        <f t="shared" si="175"/>
        <v>-123.27933796516444</v>
      </c>
      <c r="S458" s="337">
        <f t="shared" si="176"/>
        <v>56.720662034835556</v>
      </c>
      <c r="U458" s="310">
        <f t="shared" si="181"/>
        <v>50410.75</v>
      </c>
      <c r="V458" s="310">
        <f t="shared" si="182"/>
        <v>2541243715.5625</v>
      </c>
      <c r="X458" s="336">
        <f t="shared" si="177"/>
        <v>1.0703943492918868</v>
      </c>
      <c r="Y458" s="337">
        <f t="shared" si="183"/>
        <v>-17.472945523830671</v>
      </c>
      <c r="AA458" s="336">
        <f t="shared" si="178"/>
        <v>-4.5735343841115821</v>
      </c>
      <c r="AB458" s="337">
        <f t="shared" si="179"/>
        <v>-105.80639244133377</v>
      </c>
      <c r="AD458">
        <f t="shared" si="184"/>
        <v>0</v>
      </c>
      <c r="AE458">
        <f t="shared" si="187"/>
        <v>0</v>
      </c>
    </row>
    <row r="459" spans="1:31" x14ac:dyDescent="0.25">
      <c r="A459" s="338">
        <v>50702.5</v>
      </c>
      <c r="B459" s="355">
        <f t="shared" si="180"/>
        <v>50.702500000000001</v>
      </c>
      <c r="C459" s="328">
        <f t="shared" si="162"/>
        <v>17.032820532242422</v>
      </c>
      <c r="D459" s="329">
        <f t="shared" si="163"/>
        <v>1.5120523641062582</v>
      </c>
      <c r="E459" s="329">
        <f t="shared" si="164"/>
        <v>1.0002210183679756</v>
      </c>
      <c r="F459" s="330">
        <f t="shared" si="165"/>
        <v>2.1022733792376139E-2</v>
      </c>
      <c r="G459" s="329">
        <f t="shared" si="166"/>
        <v>1</v>
      </c>
      <c r="H459" s="330">
        <f t="shared" si="167"/>
        <v>0</v>
      </c>
      <c r="I459" s="328">
        <f t="shared" si="168"/>
        <v>91955.259766371571</v>
      </c>
      <c r="J459" s="331">
        <f t="shared" si="169"/>
        <v>1.5707854519411628</v>
      </c>
      <c r="K459" s="339">
        <f t="shared" si="185"/>
        <v>15.066691847500648</v>
      </c>
      <c r="L459" s="340">
        <f t="shared" si="186"/>
        <v>1.5043759296073278</v>
      </c>
      <c r="M459" s="328">
        <f t="shared" si="170"/>
        <v>1.0293804761014937</v>
      </c>
      <c r="N459" s="331">
        <f t="shared" si="171"/>
        <v>0.23949412425736416</v>
      </c>
      <c r="O459" s="332">
        <f t="shared" si="172"/>
        <v>1.0109664806727796</v>
      </c>
      <c r="P459" s="333">
        <f t="shared" si="173"/>
        <v>0.35795831868155575</v>
      </c>
      <c r="Q459" s="334">
        <f t="shared" si="174"/>
        <v>-3.5573072505051839</v>
      </c>
      <c r="R459" s="335">
        <f t="shared" si="175"/>
        <v>-123.46619387640681</v>
      </c>
      <c r="S459" s="337">
        <f t="shared" si="176"/>
        <v>56.533806123593195</v>
      </c>
      <c r="U459" s="310">
        <f t="shared" si="181"/>
        <v>50702.5</v>
      </c>
      <c r="V459" s="310">
        <f t="shared" si="182"/>
        <v>2570743506.25</v>
      </c>
      <c r="X459" s="336">
        <f t="shared" si="177"/>
        <v>1.0673671247455081</v>
      </c>
      <c r="Y459" s="337">
        <f t="shared" si="183"/>
        <v>-17.526987907364713</v>
      </c>
      <c r="AA459" s="336">
        <f t="shared" si="178"/>
        <v>-4.6246743752506907</v>
      </c>
      <c r="AB459" s="337">
        <f t="shared" si="179"/>
        <v>-105.93920596904211</v>
      </c>
      <c r="AD459">
        <f t="shared" si="184"/>
        <v>0</v>
      </c>
      <c r="AE459">
        <f t="shared" si="187"/>
        <v>0</v>
      </c>
    </row>
    <row r="460" spans="1:31" x14ac:dyDescent="0.25">
      <c r="A460" s="338">
        <v>50994.25</v>
      </c>
      <c r="B460" s="355">
        <f t="shared" si="180"/>
        <v>50.994250000000001</v>
      </c>
      <c r="C460" s="328">
        <f t="shared" si="162"/>
        <v>17.130493142572714</v>
      </c>
      <c r="D460" s="329">
        <f t="shared" si="163"/>
        <v>1.5123876859606011</v>
      </c>
      <c r="E460" s="329">
        <f t="shared" si="164"/>
        <v>1.0002235689483858</v>
      </c>
      <c r="F460" s="330">
        <f t="shared" si="165"/>
        <v>2.1143665896360016E-2</v>
      </c>
      <c r="G460" s="329">
        <f t="shared" si="166"/>
        <v>1</v>
      </c>
      <c r="H460" s="330">
        <f t="shared" si="167"/>
        <v>0</v>
      </c>
      <c r="I460" s="328">
        <f t="shared" si="168"/>
        <v>92484.384504474714</v>
      </c>
      <c r="J460" s="331">
        <f t="shared" si="169"/>
        <v>1.5707855141587379</v>
      </c>
      <c r="K460" s="339">
        <f t="shared" si="185"/>
        <v>15.153007090159328</v>
      </c>
      <c r="L460" s="340">
        <f t="shared" si="186"/>
        <v>1.504754829068742</v>
      </c>
      <c r="M460" s="328">
        <f t="shared" si="170"/>
        <v>1.029714675052537</v>
      </c>
      <c r="N460" s="331">
        <f t="shared" si="171"/>
        <v>0.24081968594298553</v>
      </c>
      <c r="O460" s="332">
        <f t="shared" si="172"/>
        <v>1.0111086422596287</v>
      </c>
      <c r="P460" s="333">
        <f t="shared" si="173"/>
        <v>0.36005872577528963</v>
      </c>
      <c r="Q460" s="334">
        <f t="shared" si="174"/>
        <v>-3.6112101150157643</v>
      </c>
      <c r="R460" s="335">
        <f t="shared" si="175"/>
        <v>-123.65306528109308</v>
      </c>
      <c r="S460" s="337">
        <f t="shared" si="176"/>
        <v>56.346934718906923</v>
      </c>
      <c r="U460" s="310">
        <f t="shared" si="181"/>
        <v>50994.25</v>
      </c>
      <c r="V460" s="310">
        <f t="shared" si="182"/>
        <v>2600413533.0625</v>
      </c>
      <c r="X460" s="336">
        <f t="shared" si="177"/>
        <v>1.0643293285269246</v>
      </c>
      <c r="Y460" s="337">
        <f t="shared" si="183"/>
        <v>-17.581231222302684</v>
      </c>
      <c r="AA460" s="336">
        <f t="shared" si="178"/>
        <v>-4.6755394435426876</v>
      </c>
      <c r="AB460" s="337">
        <f t="shared" si="179"/>
        <v>-106.07183405879037</v>
      </c>
      <c r="AD460">
        <f t="shared" si="184"/>
        <v>0</v>
      </c>
      <c r="AE460">
        <f t="shared" si="187"/>
        <v>0</v>
      </c>
    </row>
    <row r="461" spans="1:31" x14ac:dyDescent="0.25">
      <c r="A461" s="338">
        <v>51286</v>
      </c>
      <c r="B461" s="355">
        <f t="shared" si="180"/>
        <v>51.286000000000001</v>
      </c>
      <c r="C461" s="328">
        <f t="shared" ref="C461:C524" si="188">SQRT(1+(A461/pole1)^2)</f>
        <v>17.22816765722807</v>
      </c>
      <c r="D461" s="329">
        <f t="shared" ref="D461:D524" si="189">ATAN(A461/pole1)</f>
        <v>1.5127192056600134</v>
      </c>
      <c r="E461" s="329">
        <f t="shared" ref="E461:E524" si="190">SQRT(1+(A461/Zero1)^2)</f>
        <v>1.0002261341565646</v>
      </c>
      <c r="F461" s="330">
        <f t="shared" ref="F461:F524" si="191">ATAN(A461/Zero1)</f>
        <v>2.1264597381820679E-2</v>
      </c>
      <c r="G461" s="329">
        <f t="shared" ref="G461:G524" si="192">IF(VIN_nom&gt;Vout, 1, SQRT(1+(A461/z_RHP)^2))</f>
        <v>1</v>
      </c>
      <c r="H461" s="330">
        <f t="shared" ref="H461:H524" si="193">IF(VIN_nom&gt;Vout, 0, -ATAN(A461/z_RHP))</f>
        <v>0</v>
      </c>
      <c r="I461" s="328">
        <f t="shared" ref="I461:I524" si="194">SQRT(1+(A461/Pole2)^2)</f>
        <v>93013.509242578235</v>
      </c>
      <c r="J461" s="331">
        <f t="shared" ref="J461:J524" si="195">ATAN(A461/Pole2)</f>
        <v>1.5707855756684401</v>
      </c>
      <c r="K461" s="339">
        <f t="shared" si="185"/>
        <v>15.239324483613002</v>
      </c>
      <c r="L461" s="340">
        <f t="shared" si="186"/>
        <v>1.5051294363178607</v>
      </c>
      <c r="M461" s="328">
        <f t="shared" ref="M461:M524" si="196">SQRT(1+(A461/pole4)^2)</f>
        <v>1.0300506821535058</v>
      </c>
      <c r="N461" s="331">
        <f t="shared" ref="N461:N524" si="197">ATAN(A461/pole4)</f>
        <v>0.24214438514679004</v>
      </c>
      <c r="O461" s="332">
        <f t="shared" ref="O461:O524" si="198">SQRT((1-(V461/pterm2))^2+(A461/pterm1)^2)</f>
        <v>1.0112519741750619</v>
      </c>
      <c r="P461" s="333">
        <f t="shared" ref="P461:P524" si="199">IF((ATAN((A461/pterm1)/(1-A461^2/pterm2))&gt;0),ATAN((A461/pterm1)/(1-A461^2/pterm2)),PI()+ATAN((A461/pterm1)/(1-A461^2/pterm2)))</f>
        <v>0.36215976534052019</v>
      </c>
      <c r="Q461" s="334">
        <f t="shared" ref="Q461:Q524" si="200">20*LOG10(((E461*K461*G461)/(C461*I461*O461*M461))*Adc)</f>
        <v>-3.6648519457764723</v>
      </c>
      <c r="R461" s="335">
        <f t="shared" ref="R461:R524" si="201">((F461+L461+H461)-(D461+J461+P461+N461))*radconv</f>
        <v>-123.83995158025813</v>
      </c>
      <c r="S461" s="337">
        <f t="shared" ref="S461:S524" si="202">IF(R461&gt;0,R461,R461+180)</f>
        <v>56.160048419741869</v>
      </c>
      <c r="U461" s="310">
        <f t="shared" si="181"/>
        <v>51286</v>
      </c>
      <c r="V461" s="310">
        <f t="shared" si="182"/>
        <v>2630253796</v>
      </c>
      <c r="X461" s="336">
        <f t="shared" ref="X461:X524" si="203">20*LOG10((K461/(I461*M461))*AEA*Afb_Ch2)</f>
        <v>1.0612809040883637</v>
      </c>
      <c r="Y461" s="337">
        <f t="shared" si="183"/>
        <v>-17.63567100576406</v>
      </c>
      <c r="AA461" s="336">
        <f t="shared" ref="AA461:AA524" si="204">20*LOG10((E461*G461/(C461*O461))*Am_Ch2)</f>
        <v>-4.7261328498648361</v>
      </c>
      <c r="AB461" s="337">
        <f t="shared" ref="AB461:AB524" si="205">(F461+H461-(D461+P461))*radconv</f>
        <v>-106.20428057449405</v>
      </c>
      <c r="AD461">
        <f t="shared" si="184"/>
        <v>0</v>
      </c>
      <c r="AE461">
        <f t="shared" si="187"/>
        <v>0</v>
      </c>
    </row>
    <row r="462" spans="1:31" x14ac:dyDescent="0.25">
      <c r="A462" s="338">
        <v>51584.75</v>
      </c>
      <c r="B462" s="355">
        <f t="shared" ref="B462:B525" si="206">A462/1000</f>
        <v>51.58475</v>
      </c>
      <c r="C462" s="328">
        <f t="shared" si="188"/>
        <v>17.328187630429994</v>
      </c>
      <c r="D462" s="329">
        <f t="shared" si="189"/>
        <v>1.5130548065569638</v>
      </c>
      <c r="E462" s="329">
        <f t="shared" si="190"/>
        <v>1.0002287760704656</v>
      </c>
      <c r="F462" s="330">
        <f t="shared" si="191"/>
        <v>2.1388429749273311E-2</v>
      </c>
      <c r="G462" s="329">
        <f t="shared" si="192"/>
        <v>1</v>
      </c>
      <c r="H462" s="330">
        <f t="shared" si="193"/>
        <v>0</v>
      </c>
      <c r="I462" s="328">
        <f t="shared" si="194"/>
        <v>93555.329347149018</v>
      </c>
      <c r="J462" s="331">
        <f t="shared" si="195"/>
        <v>1.5707856379329472</v>
      </c>
      <c r="K462" s="339">
        <f t="shared" si="185"/>
        <v>15.327715093652815</v>
      </c>
      <c r="L462" s="340">
        <f t="shared" si="186"/>
        <v>1.5055086592867164</v>
      </c>
      <c r="M462" s="328">
        <f t="shared" si="196"/>
        <v>1.0303966230189108</v>
      </c>
      <c r="N462" s="331">
        <f t="shared" si="197"/>
        <v>0.24349997030730233</v>
      </c>
      <c r="O462" s="332">
        <f t="shared" si="198"/>
        <v>1.0113999640584974</v>
      </c>
      <c r="P462" s="333">
        <f t="shared" si="199"/>
        <v>0.36431187263531384</v>
      </c>
      <c r="Q462" s="334">
        <f t="shared" si="200"/>
        <v>-3.7195137154737261</v>
      </c>
      <c r="R462" s="335">
        <f t="shared" si="201"/>
        <v>-124.03133668885327</v>
      </c>
      <c r="S462" s="337">
        <f t="shared" si="202"/>
        <v>55.968663311146727</v>
      </c>
      <c r="U462" s="310">
        <f t="shared" ref="U462:U525" si="207">IF(Q462&lt;0,A462,1000000000)</f>
        <v>51584.75</v>
      </c>
      <c r="V462" s="310">
        <f t="shared" ref="V462:V525" si="208">A462^2</f>
        <v>2660986432.5625</v>
      </c>
      <c r="X462" s="336">
        <f t="shared" si="203"/>
        <v>1.0581482681433907</v>
      </c>
      <c r="Y462" s="337">
        <f t="shared" ref="Y462:Y525" si="209">(L462-(J462+N462))*radconv</f>
        <v>-17.691616006179533</v>
      </c>
      <c r="AA462" s="336">
        <f t="shared" si="204"/>
        <v>-4.7776619836171195</v>
      </c>
      <c r="AB462" s="337">
        <f t="shared" si="205"/>
        <v>-106.33972068267373</v>
      </c>
      <c r="AD462">
        <f t="shared" ref="AD462:AD525" si="210">SUM((Q463&lt;0)*(Q462&gt;0))*A462</f>
        <v>0</v>
      </c>
      <c r="AE462">
        <f t="shared" si="187"/>
        <v>0</v>
      </c>
    </row>
    <row r="463" spans="1:31" x14ac:dyDescent="0.25">
      <c r="A463" s="338">
        <v>51883.5</v>
      </c>
      <c r="B463" s="355">
        <f t="shared" si="206"/>
        <v>51.883499999999998</v>
      </c>
      <c r="C463" s="328">
        <f t="shared" si="188"/>
        <v>17.42820953286946</v>
      </c>
      <c r="D463" s="329">
        <f t="shared" si="189"/>
        <v>1.5133865554096038</v>
      </c>
      <c r="E463" s="329">
        <f t="shared" si="190"/>
        <v>1.0002314333222486</v>
      </c>
      <c r="F463" s="330">
        <f t="shared" si="191"/>
        <v>2.1512261460669539E-2</v>
      </c>
      <c r="G463" s="329">
        <f t="shared" si="192"/>
        <v>1</v>
      </c>
      <c r="H463" s="330">
        <f t="shared" si="193"/>
        <v>0</v>
      </c>
      <c r="I463" s="328">
        <f t="shared" si="194"/>
        <v>94097.149451720165</v>
      </c>
      <c r="J463" s="331">
        <f t="shared" si="195"/>
        <v>1.5707856994804046</v>
      </c>
      <c r="K463" s="339">
        <f t="shared" si="185"/>
        <v>15.416107882694924</v>
      </c>
      <c r="L463" s="340">
        <f t="shared" si="186"/>
        <v>1.5058835335360954</v>
      </c>
      <c r="M463" s="328">
        <f t="shared" si="196"/>
        <v>1.0307444560796066</v>
      </c>
      <c r="N463" s="331">
        <f t="shared" si="197"/>
        <v>0.24485464304940777</v>
      </c>
      <c r="O463" s="332">
        <f t="shared" si="198"/>
        <v>1.0115491937309213</v>
      </c>
      <c r="P463" s="333">
        <f t="shared" si="199"/>
        <v>0.36646464667042528</v>
      </c>
      <c r="Q463" s="334">
        <f t="shared" si="200"/>
        <v>-3.7739086362129601</v>
      </c>
      <c r="R463" s="335">
        <f t="shared" si="201"/>
        <v>-124.22273617502694</v>
      </c>
      <c r="S463" s="337">
        <f t="shared" si="202"/>
        <v>55.777263824973062</v>
      </c>
      <c r="U463" s="310">
        <f t="shared" si="207"/>
        <v>51883.5</v>
      </c>
      <c r="V463" s="310">
        <f t="shared" si="208"/>
        <v>2691897572.25</v>
      </c>
      <c r="X463" s="336">
        <f t="shared" si="203"/>
        <v>1.0550043758130536</v>
      </c>
      <c r="Y463" s="337">
        <f t="shared" si="209"/>
        <v>-17.747757851059735</v>
      </c>
      <c r="AA463" s="336">
        <f t="shared" si="204"/>
        <v>-4.828913012026014</v>
      </c>
      <c r="AB463" s="337">
        <f t="shared" si="205"/>
        <v>-106.47497832396721</v>
      </c>
      <c r="AD463">
        <f t="shared" si="210"/>
        <v>0</v>
      </c>
      <c r="AE463">
        <f t="shared" si="187"/>
        <v>0</v>
      </c>
    </row>
    <row r="464" spans="1:31" x14ac:dyDescent="0.25">
      <c r="A464" s="338">
        <v>52182.25</v>
      </c>
      <c r="B464" s="355">
        <f t="shared" si="206"/>
        <v>52.182250000000003</v>
      </c>
      <c r="C464" s="328">
        <f t="shared" si="188"/>
        <v>17.528233331519864</v>
      </c>
      <c r="D464" s="329">
        <f t="shared" si="189"/>
        <v>1.5137145180886491</v>
      </c>
      <c r="E464" s="329">
        <f t="shared" si="190"/>
        <v>1.0002341059117916</v>
      </c>
      <c r="F464" s="330">
        <f t="shared" si="191"/>
        <v>2.1636092512216865E-2</v>
      </c>
      <c r="G464" s="329">
        <f t="shared" si="192"/>
        <v>1</v>
      </c>
      <c r="H464" s="330">
        <f t="shared" si="193"/>
        <v>0</v>
      </c>
      <c r="I464" s="328">
        <f t="shared" si="194"/>
        <v>94638.969556291675</v>
      </c>
      <c r="J464" s="331">
        <f t="shared" si="195"/>
        <v>1.5707857603231281</v>
      </c>
      <c r="K464" s="339">
        <f t="shared" si="185"/>
        <v>15.504502813471174</v>
      </c>
      <c r="L464" s="340">
        <f t="shared" si="186"/>
        <v>1.5062541333390369</v>
      </c>
      <c r="M464" s="328">
        <f t="shared" si="196"/>
        <v>1.0310941794206328</v>
      </c>
      <c r="N464" s="331">
        <f t="shared" si="197"/>
        <v>0.2462083993270042</v>
      </c>
      <c r="O464" s="332">
        <f t="shared" si="198"/>
        <v>1.0116996696282843</v>
      </c>
      <c r="P464" s="333">
        <f t="shared" si="199"/>
        <v>0.36861808919060024</v>
      </c>
      <c r="Q464" s="334">
        <f t="shared" si="200"/>
        <v>-3.8280400907386403</v>
      </c>
      <c r="R464" s="335">
        <f t="shared" si="201"/>
        <v>-124.41414942642643</v>
      </c>
      <c r="S464" s="337">
        <f t="shared" si="202"/>
        <v>55.585850573573566</v>
      </c>
      <c r="U464" s="310">
        <f t="shared" si="207"/>
        <v>52182.25</v>
      </c>
      <c r="V464" s="310">
        <f t="shared" si="208"/>
        <v>2722987215.0625</v>
      </c>
      <c r="X464" s="336">
        <f t="shared" si="203"/>
        <v>1.0518491742927256</v>
      </c>
      <c r="Y464" s="337">
        <f t="shared" si="209"/>
        <v>-17.804092053754058</v>
      </c>
      <c r="AA464" s="336">
        <f t="shared" si="204"/>
        <v>-4.8798892650313688</v>
      </c>
      <c r="AB464" s="337">
        <f t="shared" si="205"/>
        <v>-106.61005737267237</v>
      </c>
      <c r="AD464">
        <f t="shared" si="210"/>
        <v>0</v>
      </c>
      <c r="AE464">
        <f t="shared" si="187"/>
        <v>0</v>
      </c>
    </row>
    <row r="465" spans="1:31" x14ac:dyDescent="0.25">
      <c r="A465" s="338">
        <v>52481</v>
      </c>
      <c r="B465" s="355">
        <f t="shared" si="206"/>
        <v>52.481000000000002</v>
      </c>
      <c r="C465" s="328">
        <f t="shared" si="188"/>
        <v>17.628258994103561</v>
      </c>
      <c r="D465" s="329">
        <f t="shared" si="189"/>
        <v>1.5140387589730699</v>
      </c>
      <c r="E465" s="329">
        <f t="shared" si="190"/>
        <v>1.0002367938389718</v>
      </c>
      <c r="F465" s="330">
        <f t="shared" si="191"/>
        <v>2.1759922900122915E-2</v>
      </c>
      <c r="G465" s="329">
        <f t="shared" si="192"/>
        <v>1</v>
      </c>
      <c r="H465" s="330">
        <f t="shared" si="193"/>
        <v>0</v>
      </c>
      <c r="I465" s="328">
        <f t="shared" si="194"/>
        <v>95180.789660863535</v>
      </c>
      <c r="J465" s="331">
        <f t="shared" si="195"/>
        <v>1.5707858204731526</v>
      </c>
      <c r="K465" s="339">
        <f t="shared" si="185"/>
        <v>15.59289984955759</v>
      </c>
      <c r="L465" s="340">
        <f t="shared" si="186"/>
        <v>1.5066205312891054</v>
      </c>
      <c r="M465" s="328">
        <f t="shared" si="196"/>
        <v>1.0314457911192272</v>
      </c>
      <c r="N465" s="331">
        <f t="shared" si="197"/>
        <v>0.24756123511289832</v>
      </c>
      <c r="O465" s="332">
        <f t="shared" si="198"/>
        <v>1.0118513982184465</v>
      </c>
      <c r="P465" s="333">
        <f t="shared" si="199"/>
        <v>0.37077220190419624</v>
      </c>
      <c r="Q465" s="334">
        <f t="shared" si="200"/>
        <v>-3.8819114040780445</v>
      </c>
      <c r="R465" s="335">
        <f t="shared" si="201"/>
        <v>-124.60557584043747</v>
      </c>
      <c r="S465" s="337">
        <f t="shared" si="202"/>
        <v>55.394424159562533</v>
      </c>
      <c r="U465" s="310">
        <f t="shared" si="207"/>
        <v>52481</v>
      </c>
      <c r="V465" s="310">
        <f t="shared" si="208"/>
        <v>2754255361</v>
      </c>
      <c r="X465" s="336">
        <f t="shared" si="203"/>
        <v>1.0486826132739853</v>
      </c>
      <c r="Y465" s="337">
        <f t="shared" si="209"/>
        <v>-17.860614224906019</v>
      </c>
      <c r="AA465" s="336">
        <f t="shared" si="204"/>
        <v>-4.9305940173520311</v>
      </c>
      <c r="AB465" s="337">
        <f t="shared" si="205"/>
        <v>-106.74496161553145</v>
      </c>
      <c r="AD465">
        <f t="shared" si="210"/>
        <v>0</v>
      </c>
      <c r="AE465">
        <f t="shared" si="187"/>
        <v>0</v>
      </c>
    </row>
    <row r="466" spans="1:31" x14ac:dyDescent="0.25">
      <c r="A466" s="338">
        <v>52786.5</v>
      </c>
      <c r="B466" s="355">
        <f t="shared" si="206"/>
        <v>52.786499999999997</v>
      </c>
      <c r="C466" s="328">
        <f t="shared" si="188"/>
        <v>17.730546545448657</v>
      </c>
      <c r="D466" s="329">
        <f t="shared" si="189"/>
        <v>1.5143665424811878</v>
      </c>
      <c r="E466" s="329">
        <f t="shared" si="190"/>
        <v>1.0002395583587953</v>
      </c>
      <c r="F466" s="330">
        <f t="shared" si="191"/>
        <v>2.1886550439175784E-2</v>
      </c>
      <c r="G466" s="329">
        <f t="shared" si="192"/>
        <v>1</v>
      </c>
      <c r="H466" s="330">
        <f t="shared" si="193"/>
        <v>0</v>
      </c>
      <c r="I466" s="328">
        <f t="shared" si="194"/>
        <v>95734.851725957429</v>
      </c>
      <c r="J466" s="331">
        <f t="shared" si="195"/>
        <v>1.5707858812781179</v>
      </c>
      <c r="K466" s="339">
        <f t="shared" si="185"/>
        <v>15.683296280959873</v>
      </c>
      <c r="L466" s="340">
        <f t="shared" si="186"/>
        <v>1.5069909362829026</v>
      </c>
      <c r="M466" s="328">
        <f t="shared" si="196"/>
        <v>1.0318072980093369</v>
      </c>
      <c r="N466" s="331">
        <f t="shared" si="197"/>
        <v>0.24894368096354128</v>
      </c>
      <c r="O466" s="332">
        <f t="shared" si="198"/>
        <v>1.0120078572262035</v>
      </c>
      <c r="P466" s="333">
        <f t="shared" si="199"/>
        <v>0.37297567976670903</v>
      </c>
      <c r="Q466" s="334">
        <f t="shared" si="200"/>
        <v>-3.9367342748193455</v>
      </c>
      <c r="R466" s="335">
        <f t="shared" si="201"/>
        <v>-124.80134036414491</v>
      </c>
      <c r="S466" s="337">
        <f t="shared" si="202"/>
        <v>55.198659635855094</v>
      </c>
      <c r="U466" s="310">
        <f t="shared" si="207"/>
        <v>52786.5</v>
      </c>
      <c r="V466" s="310">
        <f t="shared" si="208"/>
        <v>2786414582.25</v>
      </c>
      <c r="X466" s="336">
        <f t="shared" si="203"/>
        <v>1.0454327092518187</v>
      </c>
      <c r="Y466" s="337">
        <f t="shared" si="209"/>
        <v>-17.918603378632227</v>
      </c>
      <c r="AA466" s="336">
        <f t="shared" si="204"/>
        <v>-4.9821669840711653</v>
      </c>
      <c r="AB466" s="337">
        <f t="shared" si="205"/>
        <v>-106.88273698551266</v>
      </c>
      <c r="AD466">
        <f t="shared" si="210"/>
        <v>0</v>
      </c>
      <c r="AE466">
        <f t="shared" si="187"/>
        <v>0</v>
      </c>
    </row>
    <row r="467" spans="1:31" x14ac:dyDescent="0.25">
      <c r="A467" s="338">
        <v>53092</v>
      </c>
      <c r="B467" s="355">
        <f t="shared" si="206"/>
        <v>53.091999999999999</v>
      </c>
      <c r="C467" s="328">
        <f t="shared" si="188"/>
        <v>17.832835979945628</v>
      </c>
      <c r="D467" s="329">
        <f t="shared" si="189"/>
        <v>1.5146905656808201</v>
      </c>
      <c r="E467" s="329">
        <f t="shared" si="190"/>
        <v>1.0002423389169046</v>
      </c>
      <c r="F467" s="330">
        <f t="shared" si="191"/>
        <v>2.20131772762392E-2</v>
      </c>
      <c r="G467" s="329">
        <f t="shared" si="192"/>
        <v>1</v>
      </c>
      <c r="H467" s="330">
        <f t="shared" si="193"/>
        <v>0</v>
      </c>
      <c r="I467" s="328">
        <f t="shared" si="194"/>
        <v>96288.913791051687</v>
      </c>
      <c r="J467" s="331">
        <f t="shared" si="195"/>
        <v>1.5707859413833196</v>
      </c>
      <c r="K467" s="339">
        <f t="shared" si="185"/>
        <v>15.773694839445431</v>
      </c>
      <c r="L467" s="340">
        <f t="shared" si="186"/>
        <v>1.5073570957672739</v>
      </c>
      <c r="M467" s="328">
        <f t="shared" si="196"/>
        <v>1.0321707754611986</v>
      </c>
      <c r="N467" s="331">
        <f t="shared" si="197"/>
        <v>0.25032515580022319</v>
      </c>
      <c r="O467" s="332">
        <f t="shared" si="198"/>
        <v>1.0121656399546555</v>
      </c>
      <c r="P467" s="333">
        <f t="shared" si="199"/>
        <v>0.37517986194560449</v>
      </c>
      <c r="Q467" s="334">
        <f t="shared" si="200"/>
        <v>-3.9912919696556211</v>
      </c>
      <c r="R467" s="335">
        <f t="shared" si="201"/>
        <v>-124.99711740730031</v>
      </c>
      <c r="S467" s="337">
        <f t="shared" si="202"/>
        <v>55.002882592699692</v>
      </c>
      <c r="U467" s="310">
        <f t="shared" si="207"/>
        <v>53092</v>
      </c>
      <c r="V467" s="310">
        <f t="shared" si="208"/>
        <v>2818760464</v>
      </c>
      <c r="X467" s="336">
        <f t="shared" si="203"/>
        <v>1.0421708278548434</v>
      </c>
      <c r="Y467" s="337">
        <f t="shared" si="209"/>
        <v>-17.976780107035317</v>
      </c>
      <c r="AA467" s="336">
        <f t="shared" si="204"/>
        <v>-5.0334627975104675</v>
      </c>
      <c r="AB467" s="337">
        <f t="shared" si="205"/>
        <v>-107.02033730026498</v>
      </c>
      <c r="AD467">
        <f t="shared" si="210"/>
        <v>0</v>
      </c>
      <c r="AE467">
        <f t="shared" si="187"/>
        <v>0</v>
      </c>
    </row>
    <row r="468" spans="1:31" x14ac:dyDescent="0.25">
      <c r="A468" s="338">
        <v>53397.5</v>
      </c>
      <c r="B468" s="355">
        <f t="shared" si="206"/>
        <v>53.397500000000001</v>
      </c>
      <c r="C468" s="328">
        <f t="shared" si="188"/>
        <v>17.935127265373929</v>
      </c>
      <c r="D468" s="329">
        <f t="shared" si="189"/>
        <v>1.5150108928430195</v>
      </c>
      <c r="E468" s="329">
        <f t="shared" si="190"/>
        <v>1.0002451355131665</v>
      </c>
      <c r="F468" s="330">
        <f t="shared" si="191"/>
        <v>2.2139803407258268E-2</v>
      </c>
      <c r="G468" s="329">
        <f t="shared" si="192"/>
        <v>1</v>
      </c>
      <c r="H468" s="330">
        <f t="shared" si="193"/>
        <v>0</v>
      </c>
      <c r="I468" s="328">
        <f t="shared" si="194"/>
        <v>96842.975856146295</v>
      </c>
      <c r="J468" s="331">
        <f t="shared" si="195"/>
        <v>1.5707860008007688</v>
      </c>
      <c r="K468" s="339">
        <f t="shared" si="185"/>
        <v>15.864095488651911</v>
      </c>
      <c r="L468" s="340">
        <f t="shared" si="186"/>
        <v>1.5077190822215714</v>
      </c>
      <c r="M468" s="328">
        <f t="shared" si="196"/>
        <v>1.0325362213937574</v>
      </c>
      <c r="N468" s="331">
        <f t="shared" si="197"/>
        <v>0.25170565537818529</v>
      </c>
      <c r="O468" s="332">
        <f t="shared" si="198"/>
        <v>1.0123247534228932</v>
      </c>
      <c r="P468" s="333">
        <f t="shared" si="199"/>
        <v>0.37738475014837286</v>
      </c>
      <c r="Q468" s="334">
        <f t="shared" si="200"/>
        <v>-4.0455878653404822</v>
      </c>
      <c r="R468" s="335">
        <f t="shared" si="201"/>
        <v>-125.19290635514859</v>
      </c>
      <c r="S468" s="337">
        <f t="shared" si="202"/>
        <v>54.807093644851406</v>
      </c>
      <c r="U468" s="310">
        <f t="shared" si="207"/>
        <v>53397.5</v>
      </c>
      <c r="V468" s="310">
        <f t="shared" si="208"/>
        <v>2851293006.25</v>
      </c>
      <c r="X468" s="336">
        <f t="shared" si="203"/>
        <v>1.0388969228656373</v>
      </c>
      <c r="Y468" s="337">
        <f t="shared" si="209"/>
        <v>-18.035140014835754</v>
      </c>
      <c r="AA468" s="336">
        <f t="shared" si="204"/>
        <v>-5.0844847882061197</v>
      </c>
      <c r="AB468" s="337">
        <f t="shared" si="205"/>
        <v>-107.1577663403128</v>
      </c>
      <c r="AD468">
        <f t="shared" si="210"/>
        <v>0</v>
      </c>
      <c r="AE468">
        <f t="shared" si="187"/>
        <v>0</v>
      </c>
    </row>
    <row r="469" spans="1:31" x14ac:dyDescent="0.25">
      <c r="A469" s="338">
        <v>53703</v>
      </c>
      <c r="B469" s="355">
        <f t="shared" si="206"/>
        <v>53.703000000000003</v>
      </c>
      <c r="C469" s="328">
        <f t="shared" si="188"/>
        <v>18.037420370243336</v>
      </c>
      <c r="D469" s="329">
        <f t="shared" si="189"/>
        <v>1.5153275867839471</v>
      </c>
      <c r="E469" s="329">
        <f t="shared" si="190"/>
        <v>1.0002479481474458</v>
      </c>
      <c r="F469" s="330">
        <f t="shared" si="191"/>
        <v>2.2266428828178243E-2</v>
      </c>
      <c r="G469" s="329">
        <f t="shared" si="192"/>
        <v>1</v>
      </c>
      <c r="H469" s="330">
        <f t="shared" si="193"/>
        <v>0</v>
      </c>
      <c r="I469" s="328">
        <f t="shared" si="194"/>
        <v>97397.037921241237</v>
      </c>
      <c r="J469" s="331">
        <f t="shared" si="195"/>
        <v>1.5707860595422023</v>
      </c>
      <c r="K469" s="339">
        <f t="shared" si="185"/>
        <v>15.954498193040276</v>
      </c>
      <c r="L469" s="340">
        <f t="shared" si="186"/>
        <v>1.5080769664868239</v>
      </c>
      <c r="M469" s="328">
        <f t="shared" si="196"/>
        <v>1.0329036337176416</v>
      </c>
      <c r="N469" s="331">
        <f t="shared" si="197"/>
        <v>0.25308517547352904</v>
      </c>
      <c r="O469" s="332">
        <f t="shared" si="198"/>
        <v>1.0124852046844368</v>
      </c>
      <c r="P469" s="333">
        <f t="shared" si="199"/>
        <v>0.37959034604187325</v>
      </c>
      <c r="Q469" s="334">
        <f t="shared" si="200"/>
        <v>-4.0996252810963476</v>
      </c>
      <c r="R469" s="335">
        <f t="shared" si="201"/>
        <v>-125.38870660229576</v>
      </c>
      <c r="S469" s="337">
        <f t="shared" si="202"/>
        <v>54.611293397704245</v>
      </c>
      <c r="U469" s="310">
        <f t="shared" si="207"/>
        <v>53703</v>
      </c>
      <c r="V469" s="310">
        <f t="shared" si="208"/>
        <v>2884012209</v>
      </c>
      <c r="X469" s="336">
        <f t="shared" si="203"/>
        <v>1.0356109504566129</v>
      </c>
      <c r="Y469" s="337">
        <f t="shared" si="209"/>
        <v>-18.093678801802437</v>
      </c>
      <c r="AA469" s="336">
        <f t="shared" si="204"/>
        <v>-5.1352362315529634</v>
      </c>
      <c r="AB469" s="337">
        <f t="shared" si="205"/>
        <v>-107.29502780049334</v>
      </c>
      <c r="AD469">
        <f t="shared" si="210"/>
        <v>0</v>
      </c>
      <c r="AE469">
        <f t="shared" si="187"/>
        <v>0</v>
      </c>
    </row>
    <row r="470" spans="1:31" x14ac:dyDescent="0.25">
      <c r="A470" s="338">
        <v>54015.75</v>
      </c>
      <c r="B470" s="355">
        <f t="shared" si="206"/>
        <v>54.015749999999997</v>
      </c>
      <c r="C470" s="328">
        <f t="shared" si="188"/>
        <v>18.142142905475893</v>
      </c>
      <c r="D470" s="329">
        <f t="shared" si="189"/>
        <v>1.5156480968971351</v>
      </c>
      <c r="E470" s="329">
        <f t="shared" si="190"/>
        <v>1.0002508441433062</v>
      </c>
      <c r="F470" s="330">
        <f t="shared" si="191"/>
        <v>2.2396058531552229E-2</v>
      </c>
      <c r="G470" s="329">
        <f t="shared" si="192"/>
        <v>1</v>
      </c>
      <c r="H470" s="330">
        <f t="shared" si="193"/>
        <v>0</v>
      </c>
      <c r="I470" s="328">
        <f t="shared" si="194"/>
        <v>97964.24875874877</v>
      </c>
      <c r="J470" s="331">
        <f t="shared" si="195"/>
        <v>1.5707861189893686</v>
      </c>
      <c r="K470" s="339">
        <f t="shared" si="185"/>
        <v>16.047048389778222</v>
      </c>
      <c r="L470" s="340">
        <f t="shared" si="186"/>
        <v>1.5084391668335249</v>
      </c>
      <c r="M470" s="328">
        <f t="shared" si="196"/>
        <v>1.0332818000725574</v>
      </c>
      <c r="N470" s="331">
        <f t="shared" si="197"/>
        <v>0.25449641475725171</v>
      </c>
      <c r="O470" s="332">
        <f t="shared" si="198"/>
        <v>1.0126508569015276</v>
      </c>
      <c r="P470" s="333">
        <f t="shared" si="199"/>
        <v>0.38184901900682344</v>
      </c>
      <c r="Q470" s="334">
        <f t="shared" si="200"/>
        <v>-4.1546807430647972</v>
      </c>
      <c r="R470" s="335">
        <f t="shared" si="201"/>
        <v>-125.58916458229884</v>
      </c>
      <c r="S470" s="337">
        <f t="shared" si="202"/>
        <v>54.410835417701165</v>
      </c>
      <c r="U470" s="310">
        <f t="shared" si="207"/>
        <v>54015.75</v>
      </c>
      <c r="V470" s="310">
        <f t="shared" si="208"/>
        <v>2917701248.0625</v>
      </c>
      <c r="X470" s="336">
        <f t="shared" si="203"/>
        <v>1.0322344529878662</v>
      </c>
      <c r="Y470" s="337">
        <f t="shared" si="209"/>
        <v>-18.153787711579085</v>
      </c>
      <c r="AA470" s="336">
        <f t="shared" si="204"/>
        <v>-5.1869151960526612</v>
      </c>
      <c r="AB470" s="337">
        <f t="shared" si="205"/>
        <v>-107.43537687071972</v>
      </c>
      <c r="AD470">
        <f t="shared" si="210"/>
        <v>0</v>
      </c>
      <c r="AE470">
        <f t="shared" si="187"/>
        <v>0</v>
      </c>
    </row>
    <row r="471" spans="1:31" x14ac:dyDescent="0.25">
      <c r="A471" s="338">
        <v>54328.5</v>
      </c>
      <c r="B471" s="355">
        <f t="shared" si="206"/>
        <v>54.328499999999998</v>
      </c>
      <c r="C471" s="328">
        <f t="shared" si="188"/>
        <v>18.246867282999286</v>
      </c>
      <c r="D471" s="329">
        <f t="shared" si="189"/>
        <v>1.5159649280305325</v>
      </c>
      <c r="E471" s="329">
        <f t="shared" si="190"/>
        <v>1.0002537569471444</v>
      </c>
      <c r="F471" s="330">
        <f t="shared" si="191"/>
        <v>2.252568748212426E-2</v>
      </c>
      <c r="G471" s="329">
        <f t="shared" si="192"/>
        <v>1</v>
      </c>
      <c r="H471" s="330">
        <f t="shared" si="193"/>
        <v>0</v>
      </c>
      <c r="I471" s="328">
        <f t="shared" si="194"/>
        <v>98531.459596256624</v>
      </c>
      <c r="J471" s="331">
        <f t="shared" si="195"/>
        <v>1.5707861777521024</v>
      </c>
      <c r="K471" s="339">
        <f t="shared" ref="K471:K534" si="211">SQRT(1+(A471/Zero2)^2)</f>
        <v>16.139600667569802</v>
      </c>
      <c r="L471" s="340">
        <f t="shared" ref="L471:L534" si="212">ATAN(A471/Zero2)</f>
        <v>1.5087972131627434</v>
      </c>
      <c r="M471" s="328">
        <f t="shared" si="196"/>
        <v>1.0336620227995543</v>
      </c>
      <c r="N471" s="331">
        <f t="shared" si="197"/>
        <v>0.25590661862596359</v>
      </c>
      <c r="O471" s="332">
        <f t="shared" si="198"/>
        <v>1.0128179262312773</v>
      </c>
      <c r="P471" s="333">
        <f t="shared" si="199"/>
        <v>0.38410843705423642</v>
      </c>
      <c r="Q471" s="334">
        <f t="shared" si="200"/>
        <v>-4.2094721719726271</v>
      </c>
      <c r="R471" s="335">
        <f t="shared" si="201"/>
        <v>-125.78963314904433</v>
      </c>
      <c r="S471" s="337">
        <f t="shared" si="202"/>
        <v>54.210366850955666</v>
      </c>
      <c r="U471" s="310">
        <f t="shared" si="207"/>
        <v>54328.5</v>
      </c>
      <c r="V471" s="310">
        <f t="shared" si="208"/>
        <v>2951585912.25</v>
      </c>
      <c r="X471" s="336">
        <f t="shared" si="203"/>
        <v>1.0288452229310816</v>
      </c>
      <c r="Y471" s="337">
        <f t="shared" si="209"/>
        <v>-18.214075264900448</v>
      </c>
      <c r="AA471" s="336">
        <f t="shared" si="204"/>
        <v>-5.2383173949037101</v>
      </c>
      <c r="AB471" s="337">
        <f t="shared" si="205"/>
        <v>-107.57555788414389</v>
      </c>
      <c r="AD471">
        <f t="shared" si="210"/>
        <v>0</v>
      </c>
      <c r="AE471">
        <f t="shared" si="187"/>
        <v>0</v>
      </c>
    </row>
    <row r="472" spans="1:31" x14ac:dyDescent="0.25">
      <c r="A472" s="338">
        <v>54641.25</v>
      </c>
      <c r="B472" s="355">
        <f t="shared" si="206"/>
        <v>54.641249999999999</v>
      </c>
      <c r="C472" s="328">
        <f t="shared" si="188"/>
        <v>18.351593471274104</v>
      </c>
      <c r="D472" s="329">
        <f t="shared" si="189"/>
        <v>1.5162781431039711</v>
      </c>
      <c r="E472" s="329">
        <f t="shared" si="190"/>
        <v>1.0002566865588132</v>
      </c>
      <c r="F472" s="330">
        <f t="shared" si="191"/>
        <v>2.2655315675544449E-2</v>
      </c>
      <c r="G472" s="329">
        <f t="shared" si="192"/>
        <v>1</v>
      </c>
      <c r="H472" s="330">
        <f t="shared" si="193"/>
        <v>0</v>
      </c>
      <c r="I472" s="328">
        <f t="shared" si="194"/>
        <v>99098.670433764812</v>
      </c>
      <c r="J472" s="331">
        <f t="shared" si="195"/>
        <v>1.5707862358421558</v>
      </c>
      <c r="K472" s="339">
        <f t="shared" si="211"/>
        <v>16.232154990817847</v>
      </c>
      <c r="L472" s="340">
        <f t="shared" si="212"/>
        <v>1.5091511764394139</v>
      </c>
      <c r="M472" s="328">
        <f t="shared" si="196"/>
        <v>1.0340442996302208</v>
      </c>
      <c r="N472" s="331">
        <f t="shared" si="197"/>
        <v>0.25731578261607596</v>
      </c>
      <c r="O472" s="332">
        <f t="shared" si="198"/>
        <v>1.0129864203527299</v>
      </c>
      <c r="P472" s="333">
        <f t="shared" si="199"/>
        <v>0.38636860183876981</v>
      </c>
      <c r="Q472" s="334">
        <f t="shared" si="200"/>
        <v>-4.2640029501002301</v>
      </c>
      <c r="R472" s="335">
        <f t="shared" si="201"/>
        <v>-125.99011168156464</v>
      </c>
      <c r="S472" s="337">
        <f t="shared" si="202"/>
        <v>54.009888318435358</v>
      </c>
      <c r="U472" s="310">
        <f t="shared" si="207"/>
        <v>54641.25</v>
      </c>
      <c r="V472" s="310">
        <f t="shared" si="208"/>
        <v>2985666201.5625</v>
      </c>
      <c r="X472" s="336">
        <f t="shared" si="203"/>
        <v>1.0254432205488615</v>
      </c>
      <c r="Y472" s="337">
        <f t="shared" si="209"/>
        <v>-18.274537140703842</v>
      </c>
      <c r="AA472" s="336">
        <f t="shared" si="204"/>
        <v>-5.2894461706490912</v>
      </c>
      <c r="AB472" s="337">
        <f t="shared" si="205"/>
        <v>-107.71557454086077</v>
      </c>
      <c r="AD472">
        <f t="shared" si="210"/>
        <v>0</v>
      </c>
      <c r="AE472">
        <f t="shared" si="187"/>
        <v>0</v>
      </c>
    </row>
    <row r="473" spans="1:31" x14ac:dyDescent="0.25">
      <c r="A473" s="338">
        <v>54954</v>
      </c>
      <c r="B473" s="355">
        <f t="shared" si="206"/>
        <v>54.954000000000001</v>
      </c>
      <c r="C473" s="328">
        <f t="shared" si="188"/>
        <v>18.456321439476262</v>
      </c>
      <c r="D473" s="329">
        <f t="shared" si="189"/>
        <v>1.5165878036120362</v>
      </c>
      <c r="E473" s="329">
        <f t="shared" si="190"/>
        <v>1.0002596329781652</v>
      </c>
      <c r="F473" s="330">
        <f t="shared" si="191"/>
        <v>2.2784943107463058E-2</v>
      </c>
      <c r="G473" s="329">
        <f t="shared" si="192"/>
        <v>1</v>
      </c>
      <c r="H473" s="330">
        <f t="shared" si="193"/>
        <v>0</v>
      </c>
      <c r="I473" s="328">
        <f t="shared" si="194"/>
        <v>99665.881271273349</v>
      </c>
      <c r="J473" s="331">
        <f t="shared" si="195"/>
        <v>1.5707862932710139</v>
      </c>
      <c r="K473" s="339">
        <f t="shared" si="211"/>
        <v>16.324711324731691</v>
      </c>
      <c r="L473" s="340">
        <f t="shared" si="212"/>
        <v>1.5095011260232143</v>
      </c>
      <c r="M473" s="328">
        <f t="shared" si="196"/>
        <v>1.0344286282872526</v>
      </c>
      <c r="N473" s="331">
        <f t="shared" si="197"/>
        <v>0.25872390228709996</v>
      </c>
      <c r="O473" s="332">
        <f t="shared" si="198"/>
        <v>1.0131563469822051</v>
      </c>
      <c r="P473" s="333">
        <f t="shared" si="199"/>
        <v>0.38862951496952347</v>
      </c>
      <c r="Q473" s="334">
        <f t="shared" si="200"/>
        <v>-4.3182764021249982</v>
      </c>
      <c r="R473" s="335">
        <f t="shared" si="201"/>
        <v>-126.19059956790365</v>
      </c>
      <c r="S473" s="337">
        <f t="shared" si="202"/>
        <v>53.809400432096353</v>
      </c>
      <c r="U473" s="310">
        <f t="shared" si="207"/>
        <v>54954</v>
      </c>
      <c r="V473" s="310">
        <f t="shared" si="208"/>
        <v>3019942116</v>
      </c>
      <c r="X473" s="336">
        <f t="shared" si="203"/>
        <v>1.0220284084026663</v>
      </c>
      <c r="Y473" s="337">
        <f t="shared" si="209"/>
        <v>-18.335169111209222</v>
      </c>
      <c r="AA473" s="336">
        <f t="shared" si="204"/>
        <v>-5.3403048105276625</v>
      </c>
      <c r="AB473" s="337">
        <f t="shared" si="205"/>
        <v>-107.85543045669442</v>
      </c>
      <c r="AD473">
        <f t="shared" si="210"/>
        <v>0</v>
      </c>
      <c r="AE473">
        <f t="shared" si="187"/>
        <v>0</v>
      </c>
    </row>
    <row r="474" spans="1:31" x14ac:dyDescent="0.25">
      <c r="A474" s="338">
        <v>55274</v>
      </c>
      <c r="B474" s="355">
        <f t="shared" si="206"/>
        <v>55.274000000000001</v>
      </c>
      <c r="C474" s="328">
        <f t="shared" si="188"/>
        <v>18.563478965219392</v>
      </c>
      <c r="D474" s="329">
        <f t="shared" si="189"/>
        <v>1.5169010260690208</v>
      </c>
      <c r="E474" s="329">
        <f t="shared" si="190"/>
        <v>1.0002626650962883</v>
      </c>
      <c r="F474" s="330">
        <f t="shared" si="191"/>
        <v>2.2917574699118173E-2</v>
      </c>
      <c r="G474" s="329">
        <f t="shared" si="192"/>
        <v>1</v>
      </c>
      <c r="H474" s="330">
        <f t="shared" si="193"/>
        <v>0</v>
      </c>
      <c r="I474" s="328">
        <f t="shared" si="194"/>
        <v>100246.24088119449</v>
      </c>
      <c r="J474" s="331">
        <f t="shared" si="195"/>
        <v>1.570786351358499</v>
      </c>
      <c r="K474" s="339">
        <f t="shared" si="211"/>
        <v>16.419415294775419</v>
      </c>
      <c r="L474" s="340">
        <f t="shared" si="212"/>
        <v>1.5098551043196091</v>
      </c>
      <c r="M474" s="328">
        <f t="shared" si="196"/>
        <v>1.0348239875812593</v>
      </c>
      <c r="N474" s="331">
        <f t="shared" si="197"/>
        <v>0.26016357870041995</v>
      </c>
      <c r="O474" s="332">
        <f t="shared" si="198"/>
        <v>1.0133317035498977</v>
      </c>
      <c r="P474" s="333">
        <f t="shared" si="199"/>
        <v>0.3909436155551454</v>
      </c>
      <c r="Q474" s="334">
        <f t="shared" si="200"/>
        <v>-4.3735450574147592</v>
      </c>
      <c r="R474" s="335">
        <f t="shared" si="201"/>
        <v>-126.39574410755782</v>
      </c>
      <c r="S474" s="337">
        <f t="shared" si="202"/>
        <v>53.604255892442183</v>
      </c>
      <c r="U474" s="310">
        <f t="shared" si="207"/>
        <v>55274</v>
      </c>
      <c r="V474" s="310">
        <f t="shared" si="208"/>
        <v>3055215076</v>
      </c>
      <c r="X474" s="336">
        <f t="shared" si="203"/>
        <v>1.0185211405968251</v>
      </c>
      <c r="Y474" s="337">
        <f t="shared" si="209"/>
        <v>-18.397378359373153</v>
      </c>
      <c r="AA474" s="336">
        <f t="shared" si="204"/>
        <v>-5.3920661980115856</v>
      </c>
      <c r="AB474" s="337">
        <f t="shared" si="205"/>
        <v>-107.99836574818464</v>
      </c>
      <c r="AD474">
        <f t="shared" si="210"/>
        <v>0</v>
      </c>
      <c r="AE474">
        <f t="shared" ref="AE474:AE537" si="213">IF(AD474&gt;0,S474,0)</f>
        <v>0</v>
      </c>
    </row>
    <row r="475" spans="1:31" x14ac:dyDescent="0.25">
      <c r="A475" s="338">
        <v>55594</v>
      </c>
      <c r="B475" s="355">
        <f t="shared" si="206"/>
        <v>55.594000000000001</v>
      </c>
      <c r="C475" s="328">
        <f t="shared" si="188"/>
        <v>18.670638291288519</v>
      </c>
      <c r="D475" s="329">
        <f t="shared" si="189"/>
        <v>1.5172106531024314</v>
      </c>
      <c r="E475" s="329">
        <f t="shared" si="190"/>
        <v>1.0002657148100644</v>
      </c>
      <c r="F475" s="330">
        <f t="shared" si="191"/>
        <v>2.3050205484344517E-2</v>
      </c>
      <c r="G475" s="329">
        <f t="shared" si="192"/>
        <v>1</v>
      </c>
      <c r="H475" s="330">
        <f t="shared" si="193"/>
        <v>0</v>
      </c>
      <c r="I475" s="328">
        <f t="shared" si="194"/>
        <v>100826.60049111597</v>
      </c>
      <c r="J475" s="331">
        <f t="shared" si="195"/>
        <v>1.5707864087772787</v>
      </c>
      <c r="K475" s="339">
        <f t="shared" si="211"/>
        <v>16.514121298585312</v>
      </c>
      <c r="L475" s="340">
        <f t="shared" si="212"/>
        <v>1.510205022634767</v>
      </c>
      <c r="M475" s="328">
        <f t="shared" si="196"/>
        <v>1.0352214900811518</v>
      </c>
      <c r="N475" s="331">
        <f t="shared" si="197"/>
        <v>0.26160215248476409</v>
      </c>
      <c r="O475" s="332">
        <f t="shared" si="198"/>
        <v>1.0135085762732441</v>
      </c>
      <c r="P475" s="333">
        <f t="shared" si="199"/>
        <v>0.39325850284578023</v>
      </c>
      <c r="Q475" s="334">
        <f t="shared" si="200"/>
        <v>-4.4285511807866689</v>
      </c>
      <c r="R475" s="335">
        <f t="shared" si="201"/>
        <v>-126.60089717118662</v>
      </c>
      <c r="S475" s="337">
        <f t="shared" si="202"/>
        <v>53.399102828813383</v>
      </c>
      <c r="U475" s="310">
        <f t="shared" si="207"/>
        <v>55594</v>
      </c>
      <c r="V475" s="310">
        <f t="shared" si="208"/>
        <v>3090692836</v>
      </c>
      <c r="X475" s="336">
        <f t="shared" si="203"/>
        <v>1.0150003899991513</v>
      </c>
      <c r="Y475" s="337">
        <f t="shared" si="209"/>
        <v>-18.45975701302638</v>
      </c>
      <c r="AA475" s="336">
        <f t="shared" si="204"/>
        <v>-5.4435515707858197</v>
      </c>
      <c r="AB475" s="337">
        <f t="shared" si="205"/>
        <v>-108.14114015816024</v>
      </c>
      <c r="AD475">
        <f t="shared" si="210"/>
        <v>0</v>
      </c>
      <c r="AE475">
        <f t="shared" si="213"/>
        <v>0</v>
      </c>
    </row>
    <row r="476" spans="1:31" x14ac:dyDescent="0.25">
      <c r="A476" s="338">
        <v>55914</v>
      </c>
      <c r="B476" s="355">
        <f t="shared" si="206"/>
        <v>55.914000000000001</v>
      </c>
      <c r="C476" s="328">
        <f t="shared" si="188"/>
        <v>18.777799386861854</v>
      </c>
      <c r="D476" s="329">
        <f t="shared" si="189"/>
        <v>1.5175167462074477</v>
      </c>
      <c r="E476" s="329">
        <f t="shared" si="190"/>
        <v>1.0002687821193323</v>
      </c>
      <c r="F476" s="330">
        <f t="shared" si="191"/>
        <v>2.3182835458483292E-2</v>
      </c>
      <c r="G476" s="329">
        <f t="shared" si="192"/>
        <v>1</v>
      </c>
      <c r="H476" s="330">
        <f t="shared" si="193"/>
        <v>0</v>
      </c>
      <c r="I476" s="328">
        <f t="shared" si="194"/>
        <v>101406.96010103775</v>
      </c>
      <c r="J476" s="331">
        <f t="shared" si="195"/>
        <v>1.5707864655388346</v>
      </c>
      <c r="K476" s="339">
        <f t="shared" si="211"/>
        <v>16.608829301370875</v>
      </c>
      <c r="L476" s="340">
        <f t="shared" si="212"/>
        <v>1.510550950335565</v>
      </c>
      <c r="M476" s="328">
        <f t="shared" si="196"/>
        <v>1.0356211333190499</v>
      </c>
      <c r="N476" s="331">
        <f t="shared" si="197"/>
        <v>0.26303961895899852</v>
      </c>
      <c r="O476" s="332">
        <f t="shared" si="198"/>
        <v>1.0136869735379754</v>
      </c>
      <c r="P476" s="333">
        <f t="shared" si="199"/>
        <v>0.3955741784154268</v>
      </c>
      <c r="Q476" s="334">
        <f t="shared" si="200"/>
        <v>-4.4832981547401758</v>
      </c>
      <c r="R476" s="335">
        <f t="shared" si="201"/>
        <v>-126.80605813067415</v>
      </c>
      <c r="S476" s="337">
        <f t="shared" si="202"/>
        <v>53.193941869325855</v>
      </c>
      <c r="U476" s="310">
        <f t="shared" si="207"/>
        <v>55914</v>
      </c>
      <c r="V476" s="310">
        <f t="shared" si="208"/>
        <v>3126375396</v>
      </c>
      <c r="X476" s="336">
        <f t="shared" si="203"/>
        <v>1.0114661235021298</v>
      </c>
      <c r="Y476" s="337">
        <f t="shared" si="209"/>
        <v>-18.522300830188236</v>
      </c>
      <c r="AA476" s="336">
        <f t="shared" si="204"/>
        <v>-5.4947642782423056</v>
      </c>
      <c r="AB476" s="337">
        <f t="shared" si="205"/>
        <v>-108.2837573004859</v>
      </c>
      <c r="AD476">
        <f t="shared" si="210"/>
        <v>0</v>
      </c>
      <c r="AE476">
        <f t="shared" si="213"/>
        <v>0</v>
      </c>
    </row>
    <row r="477" spans="1:31" x14ac:dyDescent="0.25">
      <c r="A477" s="338">
        <v>56234</v>
      </c>
      <c r="B477" s="355">
        <f t="shared" si="206"/>
        <v>56.234000000000002</v>
      </c>
      <c r="C477" s="328">
        <f t="shared" si="188"/>
        <v>18.884962221816707</v>
      </c>
      <c r="D477" s="329">
        <f t="shared" si="189"/>
        <v>1.5178193654861136</v>
      </c>
      <c r="E477" s="329">
        <f t="shared" si="190"/>
        <v>1.0002718670239301</v>
      </c>
      <c r="F477" s="330">
        <f t="shared" si="191"/>
        <v>2.3315464616875871E-2</v>
      </c>
      <c r="G477" s="329">
        <f t="shared" si="192"/>
        <v>1</v>
      </c>
      <c r="H477" s="330">
        <f t="shared" si="193"/>
        <v>0</v>
      </c>
      <c r="I477" s="328">
        <f t="shared" si="194"/>
        <v>101987.31971095987</v>
      </c>
      <c r="J477" s="331">
        <f t="shared" si="195"/>
        <v>1.5707865216543866</v>
      </c>
      <c r="K477" s="339">
        <f t="shared" si="211"/>
        <v>16.703539269129905</v>
      </c>
      <c r="L477" s="340">
        <f t="shared" si="212"/>
        <v>1.5108929552194943</v>
      </c>
      <c r="M477" s="328">
        <f t="shared" si="196"/>
        <v>1.0360229148176003</v>
      </c>
      <c r="N477" s="331">
        <f t="shared" si="197"/>
        <v>0.26447597346749702</v>
      </c>
      <c r="O477" s="332">
        <f t="shared" si="198"/>
        <v>1.0138669037700487</v>
      </c>
      <c r="P477" s="333">
        <f t="shared" si="199"/>
        <v>0.39789064378712824</v>
      </c>
      <c r="Q477" s="334">
        <f t="shared" si="200"/>
        <v>-4.5377893042234643</v>
      </c>
      <c r="R477" s="335">
        <f t="shared" si="201"/>
        <v>-127.01122636652968</v>
      </c>
      <c r="S477" s="337">
        <f t="shared" si="202"/>
        <v>52.988773633470316</v>
      </c>
      <c r="U477" s="310">
        <f t="shared" si="207"/>
        <v>56234</v>
      </c>
      <c r="V477" s="310">
        <f t="shared" si="208"/>
        <v>3162262756</v>
      </c>
      <c r="X477" s="336">
        <f t="shared" si="203"/>
        <v>1.0079183102053997</v>
      </c>
      <c r="Y477" s="337">
        <f t="shared" si="209"/>
        <v>-18.585005660243723</v>
      </c>
      <c r="AA477" s="336">
        <f t="shared" si="204"/>
        <v>-5.5457076144288653</v>
      </c>
      <c r="AB477" s="337">
        <f t="shared" si="205"/>
        <v>-108.42622070628599</v>
      </c>
      <c r="AD477">
        <f t="shared" si="210"/>
        <v>0</v>
      </c>
      <c r="AE477">
        <f t="shared" si="213"/>
        <v>0</v>
      </c>
    </row>
    <row r="478" spans="1:31" x14ac:dyDescent="0.25">
      <c r="A478" s="338">
        <v>56561.5</v>
      </c>
      <c r="B478" s="355">
        <f t="shared" si="206"/>
        <v>56.561500000000002</v>
      </c>
      <c r="C478" s="328">
        <f t="shared" si="188"/>
        <v>18.994638456004562</v>
      </c>
      <c r="D478" s="329">
        <f t="shared" si="189"/>
        <v>1.5181255417936901</v>
      </c>
      <c r="E478" s="329">
        <f t="shared" si="190"/>
        <v>1.0002750424495583</v>
      </c>
      <c r="F478" s="330">
        <f t="shared" si="191"/>
        <v>2.3451201421658258E-2</v>
      </c>
      <c r="G478" s="329">
        <f t="shared" si="192"/>
        <v>1</v>
      </c>
      <c r="H478" s="330">
        <f t="shared" si="193"/>
        <v>0</v>
      </c>
      <c r="I478" s="328">
        <f t="shared" si="194"/>
        <v>102581.28149923986</v>
      </c>
      <c r="J478" s="331">
        <f t="shared" si="195"/>
        <v>1.5707865784276955</v>
      </c>
      <c r="K478" s="339">
        <f t="shared" si="211"/>
        <v>16.80047100167463</v>
      </c>
      <c r="L478" s="340">
        <f t="shared" si="212"/>
        <v>1.5112389831843085</v>
      </c>
      <c r="M478" s="328">
        <f t="shared" si="196"/>
        <v>1.0364363244961552</v>
      </c>
      <c r="N478" s="331">
        <f t="shared" si="197"/>
        <v>0.26594483633967819</v>
      </c>
      <c r="O478" s="332">
        <f t="shared" si="198"/>
        <v>1.0140526472334106</v>
      </c>
      <c r="P478" s="333">
        <f t="shared" si="199"/>
        <v>0.40026222063700978</v>
      </c>
      <c r="Q478" s="334">
        <f t="shared" si="200"/>
        <v>-4.5932961120860281</v>
      </c>
      <c r="R478" s="335">
        <f t="shared" si="201"/>
        <v>-127.22121012938425</v>
      </c>
      <c r="S478" s="337">
        <f t="shared" si="202"/>
        <v>52.778789870615753</v>
      </c>
      <c r="U478" s="310">
        <f t="shared" si="207"/>
        <v>56561.5</v>
      </c>
      <c r="V478" s="310">
        <f t="shared" si="208"/>
        <v>3199203282.25</v>
      </c>
      <c r="X478" s="336">
        <f t="shared" si="203"/>
        <v>1.0042732882555141</v>
      </c>
      <c r="Y478" s="337">
        <f t="shared" si="209"/>
        <v>-18.649342614470314</v>
      </c>
      <c r="AA478" s="336">
        <f t="shared" si="204"/>
        <v>-5.597569400341543</v>
      </c>
      <c r="AB478" s="337">
        <f t="shared" si="205"/>
        <v>-108.57186751491396</v>
      </c>
      <c r="AD478">
        <f t="shared" si="210"/>
        <v>0</v>
      </c>
      <c r="AE478">
        <f t="shared" si="213"/>
        <v>0</v>
      </c>
    </row>
    <row r="479" spans="1:31" x14ac:dyDescent="0.25">
      <c r="A479" s="338">
        <v>56889</v>
      </c>
      <c r="B479" s="355">
        <f t="shared" si="206"/>
        <v>56.889000000000003</v>
      </c>
      <c r="C479" s="328">
        <f t="shared" si="188"/>
        <v>19.104316450379489</v>
      </c>
      <c r="D479" s="329">
        <f t="shared" si="189"/>
        <v>1.5184282026093623</v>
      </c>
      <c r="E479" s="329">
        <f t="shared" si="190"/>
        <v>1.0002782363046168</v>
      </c>
      <c r="F479" s="330">
        <f t="shared" si="191"/>
        <v>2.3586937362135314E-2</v>
      </c>
      <c r="G479" s="329">
        <f t="shared" si="192"/>
        <v>1</v>
      </c>
      <c r="H479" s="330">
        <f t="shared" si="193"/>
        <v>0</v>
      </c>
      <c r="I479" s="328">
        <f t="shared" si="194"/>
        <v>103175.24328752019</v>
      </c>
      <c r="J479" s="331">
        <f t="shared" si="195"/>
        <v>1.5707866345473365</v>
      </c>
      <c r="K479" s="339">
        <f t="shared" si="211"/>
        <v>16.897404722750384</v>
      </c>
      <c r="L479" s="340">
        <f t="shared" si="212"/>
        <v>1.5115810411388109</v>
      </c>
      <c r="M479" s="328">
        <f t="shared" si="196"/>
        <v>1.0368519685603268</v>
      </c>
      <c r="N479" s="331">
        <f t="shared" si="197"/>
        <v>0.26741252472680893</v>
      </c>
      <c r="O479" s="332">
        <f t="shared" si="198"/>
        <v>1.0142400143503403</v>
      </c>
      <c r="P479" s="333">
        <f t="shared" si="199"/>
        <v>0.40263462780813258</v>
      </c>
      <c r="Q479" s="334">
        <f t="shared" si="200"/>
        <v>-4.6485418310513342</v>
      </c>
      <c r="R479" s="335">
        <f t="shared" si="201"/>
        <v>-127.4312002271602</v>
      </c>
      <c r="S479" s="337">
        <f t="shared" si="202"/>
        <v>52.568799772839796</v>
      </c>
      <c r="U479" s="310">
        <f t="shared" si="207"/>
        <v>56889</v>
      </c>
      <c r="V479" s="310">
        <f t="shared" si="208"/>
        <v>3236358321</v>
      </c>
      <c r="X479" s="336">
        <f t="shared" si="203"/>
        <v>1.0006140183434666</v>
      </c>
      <c r="Y479" s="337">
        <f t="shared" si="209"/>
        <v>-18.713839703043678</v>
      </c>
      <c r="AA479" s="336">
        <f t="shared" si="204"/>
        <v>-5.6491558493948002</v>
      </c>
      <c r="AB479" s="337">
        <f t="shared" si="205"/>
        <v>-108.71736052411654</v>
      </c>
      <c r="AD479">
        <f t="shared" si="210"/>
        <v>0</v>
      </c>
      <c r="AE479">
        <f t="shared" si="213"/>
        <v>0</v>
      </c>
    </row>
    <row r="480" spans="1:31" x14ac:dyDescent="0.25">
      <c r="A480" s="338">
        <v>57216.5</v>
      </c>
      <c r="B480" s="355">
        <f t="shared" si="206"/>
        <v>57.216500000000003</v>
      </c>
      <c r="C480" s="328">
        <f t="shared" si="188"/>
        <v>19.213996174798815</v>
      </c>
      <c r="D480" s="329">
        <f t="shared" si="189"/>
        <v>1.5187274080799058</v>
      </c>
      <c r="E480" s="329">
        <f t="shared" si="190"/>
        <v>1.0002814485889293</v>
      </c>
      <c r="F480" s="330">
        <f t="shared" si="191"/>
        <v>2.3722672433313677E-2</v>
      </c>
      <c r="G480" s="329">
        <f t="shared" si="192"/>
        <v>1</v>
      </c>
      <c r="H480" s="330">
        <f t="shared" si="193"/>
        <v>0</v>
      </c>
      <c r="I480" s="328">
        <f t="shared" si="194"/>
        <v>103769.20507580084</v>
      </c>
      <c r="J480" s="331">
        <f t="shared" si="195"/>
        <v>1.5707866900245342</v>
      </c>
      <c r="K480" s="339">
        <f t="shared" si="211"/>
        <v>16.994340398330117</v>
      </c>
      <c r="L480" s="340">
        <f t="shared" si="212"/>
        <v>1.5119191969370511</v>
      </c>
      <c r="M480" s="328">
        <f t="shared" si="196"/>
        <v>1.0372698443240953</v>
      </c>
      <c r="N480" s="331">
        <f t="shared" si="197"/>
        <v>0.26887903372146443</v>
      </c>
      <c r="O480" s="332">
        <f t="shared" si="198"/>
        <v>1.0144290142830423</v>
      </c>
      <c r="P480" s="333">
        <f t="shared" si="199"/>
        <v>0.40500786676569384</v>
      </c>
      <c r="Q480" s="334">
        <f t="shared" si="200"/>
        <v>-4.7035298465852371</v>
      </c>
      <c r="R480" s="335">
        <f t="shared" si="201"/>
        <v>-127.64119602196739</v>
      </c>
      <c r="S480" s="337">
        <f t="shared" si="202"/>
        <v>52.358803978032611</v>
      </c>
      <c r="U480" s="310">
        <f t="shared" si="207"/>
        <v>57216.5</v>
      </c>
      <c r="V480" s="310">
        <f t="shared" si="208"/>
        <v>3273727872.25</v>
      </c>
      <c r="X480" s="336">
        <f t="shared" si="203"/>
        <v>0.99694047406804343</v>
      </c>
      <c r="Y480" s="337">
        <f t="shared" si="209"/>
        <v>-18.778492757681533</v>
      </c>
      <c r="AA480" s="336">
        <f t="shared" si="204"/>
        <v>-5.700470320653281</v>
      </c>
      <c r="AB480" s="337">
        <f t="shared" si="205"/>
        <v>-108.86270326428584</v>
      </c>
      <c r="AD480">
        <f t="shared" si="210"/>
        <v>0</v>
      </c>
      <c r="AE480">
        <f t="shared" si="213"/>
        <v>0</v>
      </c>
    </row>
    <row r="481" spans="1:31" x14ac:dyDescent="0.25">
      <c r="A481" s="338">
        <v>57544</v>
      </c>
      <c r="B481" s="355">
        <f t="shared" si="206"/>
        <v>57.543999999999997</v>
      </c>
      <c r="C481" s="328">
        <f t="shared" si="188"/>
        <v>19.323677599803734</v>
      </c>
      <c r="D481" s="329">
        <f t="shared" si="189"/>
        <v>1.5190232169890276</v>
      </c>
      <c r="E481" s="329">
        <f t="shared" si="190"/>
        <v>1.0002846793023183</v>
      </c>
      <c r="F481" s="330">
        <f t="shared" si="191"/>
        <v>2.3858406630200168E-2</v>
      </c>
      <c r="G481" s="329">
        <f t="shared" si="192"/>
        <v>1</v>
      </c>
      <c r="H481" s="330">
        <f t="shared" si="193"/>
        <v>0</v>
      </c>
      <c r="I481" s="328">
        <f t="shared" si="194"/>
        <v>104363.16686408181</v>
      </c>
      <c r="J481" s="331">
        <f t="shared" si="195"/>
        <v>1.5707867448702573</v>
      </c>
      <c r="K481" s="339">
        <f t="shared" si="211"/>
        <v>17.091277995158073</v>
      </c>
      <c r="L481" s="340">
        <f t="shared" si="212"/>
        <v>1.512253516897289</v>
      </c>
      <c r="M481" s="328">
        <f t="shared" si="196"/>
        <v>1.0376899490913576</v>
      </c>
      <c r="N481" s="331">
        <f t="shared" si="197"/>
        <v>0.27034435844439492</v>
      </c>
      <c r="O481" s="332">
        <f t="shared" si="198"/>
        <v>1.0146196562371226</v>
      </c>
      <c r="P481" s="333">
        <f t="shared" si="199"/>
        <v>0.40738193891786073</v>
      </c>
      <c r="Q481" s="334">
        <f t="shared" si="200"/>
        <v>-4.7582634865952489</v>
      </c>
      <c r="R481" s="335">
        <f t="shared" si="201"/>
        <v>-127.85119688414383</v>
      </c>
      <c r="S481" s="337">
        <f t="shared" si="202"/>
        <v>52.148803115856168</v>
      </c>
      <c r="U481" s="310">
        <f t="shared" si="207"/>
        <v>57544</v>
      </c>
      <c r="V481" s="310">
        <f t="shared" si="208"/>
        <v>3311311936</v>
      </c>
      <c r="X481" s="336">
        <f t="shared" si="203"/>
        <v>0.99325263114980378</v>
      </c>
      <c r="Y481" s="337">
        <f t="shared" si="209"/>
        <v>-18.843297699695526</v>
      </c>
      <c r="AA481" s="336">
        <f t="shared" si="204"/>
        <v>-5.7515161177450551</v>
      </c>
      <c r="AB481" s="337">
        <f t="shared" si="205"/>
        <v>-109.00789918444832</v>
      </c>
      <c r="AD481">
        <f t="shared" si="210"/>
        <v>0</v>
      </c>
      <c r="AE481">
        <f t="shared" si="213"/>
        <v>0</v>
      </c>
    </row>
    <row r="482" spans="1:31" x14ac:dyDescent="0.25">
      <c r="A482" s="338">
        <v>57879</v>
      </c>
      <c r="B482" s="355">
        <f t="shared" si="206"/>
        <v>57.878999999999998</v>
      </c>
      <c r="C482" s="328">
        <f t="shared" si="188"/>
        <v>19.435872542601736</v>
      </c>
      <c r="D482" s="329">
        <f t="shared" si="189"/>
        <v>1.519322345914049</v>
      </c>
      <c r="E482" s="329">
        <f t="shared" si="190"/>
        <v>1.0002880030682926</v>
      </c>
      <c r="F482" s="330">
        <f t="shared" si="191"/>
        <v>2.3997248334049977E-2</v>
      </c>
      <c r="G482" s="329">
        <f t="shared" si="192"/>
        <v>1</v>
      </c>
      <c r="H482" s="330">
        <f t="shared" si="193"/>
        <v>0</v>
      </c>
      <c r="I482" s="328">
        <f t="shared" si="194"/>
        <v>104970.73083072067</v>
      </c>
      <c r="J482" s="331">
        <f t="shared" si="195"/>
        <v>1.5707868003298324</v>
      </c>
      <c r="K482" s="339">
        <f t="shared" si="211"/>
        <v>17.190437490816947</v>
      </c>
      <c r="L482" s="340">
        <f t="shared" si="212"/>
        <v>1.5125915920032817</v>
      </c>
      <c r="M482" s="328">
        <f t="shared" si="196"/>
        <v>1.0381219779140833</v>
      </c>
      <c r="N482" s="331">
        <f t="shared" si="197"/>
        <v>0.27184200990160734</v>
      </c>
      <c r="O482" s="332">
        <f t="shared" si="198"/>
        <v>1.014816372536999</v>
      </c>
      <c r="P482" s="333">
        <f t="shared" si="199"/>
        <v>0.40981124257679724</v>
      </c>
      <c r="Q482" s="334">
        <f t="shared" si="200"/>
        <v>-4.813990798839888</v>
      </c>
      <c r="R482" s="335">
        <f t="shared" si="201"/>
        <v>-128.06601152103272</v>
      </c>
      <c r="S482" s="337">
        <f t="shared" si="202"/>
        <v>51.933988478967279</v>
      </c>
      <c r="U482" s="310">
        <f t="shared" si="207"/>
        <v>57879</v>
      </c>
      <c r="V482" s="310">
        <f t="shared" si="208"/>
        <v>3349978641</v>
      </c>
      <c r="X482" s="336">
        <f t="shared" si="203"/>
        <v>0.98946551708729569</v>
      </c>
      <c r="Y482" s="337">
        <f t="shared" si="209"/>
        <v>-18.909739708319094</v>
      </c>
      <c r="AA482" s="336">
        <f t="shared" si="204"/>
        <v>-5.8034563159271801</v>
      </c>
      <c r="AB482" s="337">
        <f t="shared" si="205"/>
        <v>-109.15627181271361</v>
      </c>
      <c r="AD482">
        <f t="shared" si="210"/>
        <v>0</v>
      </c>
      <c r="AE482">
        <f t="shared" si="213"/>
        <v>0</v>
      </c>
    </row>
    <row r="483" spans="1:31" x14ac:dyDescent="0.25">
      <c r="A483" s="338">
        <v>58214</v>
      </c>
      <c r="B483" s="355">
        <f t="shared" si="206"/>
        <v>58.213999999999999</v>
      </c>
      <c r="C483" s="328">
        <f t="shared" si="188"/>
        <v>19.548069204522118</v>
      </c>
      <c r="D483" s="329">
        <f t="shared" si="189"/>
        <v>1.5196180411484705</v>
      </c>
      <c r="E483" s="329">
        <f t="shared" si="190"/>
        <v>1.0002913461167091</v>
      </c>
      <c r="F483" s="330">
        <f t="shared" si="191"/>
        <v>2.4136089112537507E-2</v>
      </c>
      <c r="G483" s="329">
        <f t="shared" si="192"/>
        <v>1</v>
      </c>
      <c r="H483" s="330">
        <f t="shared" si="193"/>
        <v>0</v>
      </c>
      <c r="I483" s="328">
        <f t="shared" si="194"/>
        <v>105578.29479735985</v>
      </c>
      <c r="J483" s="331">
        <f t="shared" si="195"/>
        <v>1.5707868551511091</v>
      </c>
      <c r="K483" s="339">
        <f t="shared" si="211"/>
        <v>17.289598928716092</v>
      </c>
      <c r="L483" s="340">
        <f t="shared" si="212"/>
        <v>1.5129257892071077</v>
      </c>
      <c r="M483" s="328">
        <f t="shared" si="196"/>
        <v>1.0385563332624823</v>
      </c>
      <c r="N483" s="331">
        <f t="shared" si="197"/>
        <v>0.27333841198751102</v>
      </c>
      <c r="O483" s="332">
        <f t="shared" si="198"/>
        <v>1.0150148265494039</v>
      </c>
      <c r="P483" s="333">
        <f t="shared" si="199"/>
        <v>0.41224142082554999</v>
      </c>
      <c r="Q483" s="334">
        <f t="shared" si="200"/>
        <v>-4.8694588164965849</v>
      </c>
      <c r="R483" s="335">
        <f t="shared" si="201"/>
        <v>-128.28083015241941</v>
      </c>
      <c r="S483" s="337">
        <f t="shared" si="202"/>
        <v>51.719169847580588</v>
      </c>
      <c r="U483" s="310">
        <f t="shared" si="207"/>
        <v>58214</v>
      </c>
      <c r="V483" s="310">
        <f t="shared" si="208"/>
        <v>3388869796</v>
      </c>
      <c r="X483" s="336">
        <f t="shared" si="203"/>
        <v>0.98566339709708506</v>
      </c>
      <c r="Y483" s="337">
        <f t="shared" si="209"/>
        <v>-18.976332284095527</v>
      </c>
      <c r="AA483" s="336">
        <f t="shared" si="204"/>
        <v>-5.8551222135936722</v>
      </c>
      <c r="AB483" s="337">
        <f t="shared" si="205"/>
        <v>-109.30449786832386</v>
      </c>
      <c r="AD483">
        <f t="shared" si="210"/>
        <v>0</v>
      </c>
      <c r="AE483">
        <f t="shared" si="213"/>
        <v>0</v>
      </c>
    </row>
    <row r="484" spans="1:31" x14ac:dyDescent="0.25">
      <c r="A484" s="338">
        <v>58549</v>
      </c>
      <c r="B484" s="355">
        <f t="shared" si="206"/>
        <v>58.548999999999999</v>
      </c>
      <c r="C484" s="328">
        <f t="shared" si="188"/>
        <v>19.660267556132961</v>
      </c>
      <c r="D484" s="329">
        <f t="shared" si="189"/>
        <v>1.5199103614268881</v>
      </c>
      <c r="E484" s="329">
        <f t="shared" si="190"/>
        <v>1.0002947084473746</v>
      </c>
      <c r="F484" s="330">
        <f t="shared" si="191"/>
        <v>2.427492896031927E-2</v>
      </c>
      <c r="G484" s="329">
        <f t="shared" si="192"/>
        <v>1</v>
      </c>
      <c r="H484" s="330">
        <f t="shared" si="193"/>
        <v>0</v>
      </c>
      <c r="I484" s="328">
        <f t="shared" si="194"/>
        <v>106185.85876399935</v>
      </c>
      <c r="J484" s="331">
        <f t="shared" si="195"/>
        <v>1.5707869093450435</v>
      </c>
      <c r="K484" s="339">
        <f t="shared" si="211"/>
        <v>17.388762275627958</v>
      </c>
      <c r="L484" s="340">
        <f t="shared" si="212"/>
        <v>1.5132561747773103</v>
      </c>
      <c r="M484" s="328">
        <f t="shared" si="196"/>
        <v>1.0389930122187137</v>
      </c>
      <c r="N484" s="331">
        <f t="shared" si="197"/>
        <v>0.27483355957169364</v>
      </c>
      <c r="O484" s="332">
        <f t="shared" si="198"/>
        <v>1.0152150282666847</v>
      </c>
      <c r="P484" s="333">
        <f t="shared" si="199"/>
        <v>0.41467247498421617</v>
      </c>
      <c r="Q484" s="334">
        <f t="shared" si="200"/>
        <v>-4.9246709228975947</v>
      </c>
      <c r="R484" s="335">
        <f t="shared" si="201"/>
        <v>-128.49565212925935</v>
      </c>
      <c r="S484" s="337">
        <f t="shared" si="202"/>
        <v>51.504347870740645</v>
      </c>
      <c r="U484" s="310">
        <f t="shared" si="207"/>
        <v>58549</v>
      </c>
      <c r="V484" s="310">
        <f t="shared" si="208"/>
        <v>3427985401</v>
      </c>
      <c r="X484" s="336">
        <f t="shared" si="203"/>
        <v>0.98184625164506756</v>
      </c>
      <c r="Y484" s="337">
        <f t="shared" si="209"/>
        <v>-19.043071336793723</v>
      </c>
      <c r="AA484" s="336">
        <f t="shared" si="204"/>
        <v>-5.9065171745426621</v>
      </c>
      <c r="AB484" s="337">
        <f t="shared" si="205"/>
        <v>-109.45258079246564</v>
      </c>
      <c r="AD484">
        <f t="shared" si="210"/>
        <v>0</v>
      </c>
      <c r="AE484">
        <f t="shared" si="213"/>
        <v>0</v>
      </c>
    </row>
    <row r="485" spans="1:31" x14ac:dyDescent="0.25">
      <c r="A485" s="338">
        <v>58884</v>
      </c>
      <c r="B485" s="355">
        <f t="shared" si="206"/>
        <v>58.884</v>
      </c>
      <c r="C485" s="328">
        <f t="shared" si="188"/>
        <v>19.772467568669953</v>
      </c>
      <c r="D485" s="329">
        <f t="shared" si="189"/>
        <v>1.5201993641530631</v>
      </c>
      <c r="E485" s="329">
        <f t="shared" si="190"/>
        <v>1.0002980900600944</v>
      </c>
      <c r="F485" s="330">
        <f t="shared" si="191"/>
        <v>2.4413767872051979E-2</v>
      </c>
      <c r="G485" s="329">
        <f t="shared" si="192"/>
        <v>1</v>
      </c>
      <c r="H485" s="330">
        <f t="shared" si="193"/>
        <v>0</v>
      </c>
      <c r="I485" s="328">
        <f t="shared" si="194"/>
        <v>106793.42273063915</v>
      </c>
      <c r="J485" s="331">
        <f t="shared" si="195"/>
        <v>1.570786962922343</v>
      </c>
      <c r="K485" s="339">
        <f t="shared" si="211"/>
        <v>17.487927499078008</v>
      </c>
      <c r="L485" s="340">
        <f t="shared" si="212"/>
        <v>1.5135828134827027</v>
      </c>
      <c r="M485" s="328">
        <f t="shared" si="196"/>
        <v>1.0394320118542431</v>
      </c>
      <c r="N485" s="331">
        <f t="shared" si="197"/>
        <v>0.27632744755477645</v>
      </c>
      <c r="O485" s="332">
        <f t="shared" si="198"/>
        <v>1.0154169877278549</v>
      </c>
      <c r="P485" s="333">
        <f t="shared" si="199"/>
        <v>0.41710440630922369</v>
      </c>
      <c r="Q485" s="334">
        <f t="shared" si="200"/>
        <v>-4.9796304439283601</v>
      </c>
      <c r="R485" s="335">
        <f t="shared" si="201"/>
        <v>-128.71047681030106</v>
      </c>
      <c r="S485" s="337">
        <f t="shared" si="202"/>
        <v>51.28952318969894</v>
      </c>
      <c r="U485" s="310">
        <f t="shared" si="207"/>
        <v>58884</v>
      </c>
      <c r="V485" s="310">
        <f t="shared" si="208"/>
        <v>3467325456</v>
      </c>
      <c r="X485" s="336">
        <f t="shared" si="203"/>
        <v>0.97801406323299855</v>
      </c>
      <c r="Y485" s="337">
        <f t="shared" si="209"/>
        <v>-19.109952863874629</v>
      </c>
      <c r="AA485" s="336">
        <f t="shared" si="204"/>
        <v>-5.9576445071613628</v>
      </c>
      <c r="AB485" s="337">
        <f t="shared" si="205"/>
        <v>-109.60052394642642</v>
      </c>
      <c r="AD485">
        <f t="shared" si="210"/>
        <v>0</v>
      </c>
      <c r="AE485">
        <f t="shared" si="213"/>
        <v>0</v>
      </c>
    </row>
    <row r="486" spans="1:31" x14ac:dyDescent="0.25">
      <c r="A486" s="338">
        <v>59227</v>
      </c>
      <c r="B486" s="355">
        <f t="shared" si="206"/>
        <v>59.226999999999997</v>
      </c>
      <c r="C486" s="328">
        <f t="shared" si="188"/>
        <v>19.887348676028427</v>
      </c>
      <c r="D486" s="329">
        <f t="shared" si="189"/>
        <v>1.5204918896921669</v>
      </c>
      <c r="E486" s="329">
        <f t="shared" si="190"/>
        <v>1.0003015724057935</v>
      </c>
      <c r="F486" s="330">
        <f t="shared" si="191"/>
        <v>2.4555921364459644E-2</v>
      </c>
      <c r="G486" s="329">
        <f t="shared" si="192"/>
        <v>1</v>
      </c>
      <c r="H486" s="330">
        <f t="shared" si="193"/>
        <v>0</v>
      </c>
      <c r="I486" s="328">
        <f t="shared" si="194"/>
        <v>107415.49568752739</v>
      </c>
      <c r="J486" s="331">
        <f t="shared" si="195"/>
        <v>1.5707870171511287</v>
      </c>
      <c r="K486" s="339">
        <f t="shared" si="211"/>
        <v>17.589462758413553</v>
      </c>
      <c r="L486" s="340">
        <f t="shared" si="212"/>
        <v>1.5139134364765638</v>
      </c>
      <c r="M486" s="328">
        <f t="shared" si="196"/>
        <v>1.0398838964634232</v>
      </c>
      <c r="N486" s="331">
        <f t="shared" si="197"/>
        <v>0.27785570010155902</v>
      </c>
      <c r="O486" s="332">
        <f t="shared" si="198"/>
        <v>1.0156256018436627</v>
      </c>
      <c r="P486" s="333">
        <f t="shared" si="199"/>
        <v>0.41959532368845409</v>
      </c>
      <c r="Q486" s="334">
        <f t="shared" si="200"/>
        <v>-5.0356441403355126</v>
      </c>
      <c r="R486" s="335">
        <f t="shared" si="201"/>
        <v>-128.93043377301359</v>
      </c>
      <c r="S486" s="337">
        <f t="shared" si="202"/>
        <v>51.06956622698641</v>
      </c>
      <c r="U486" s="310">
        <f t="shared" si="207"/>
        <v>59227</v>
      </c>
      <c r="V486" s="310">
        <f t="shared" si="208"/>
        <v>3507837529</v>
      </c>
      <c r="X486" s="336">
        <f t="shared" si="203"/>
        <v>0.97407475756710171</v>
      </c>
      <c r="Y486" s="337">
        <f t="shared" si="209"/>
        <v>-19.178575089836141</v>
      </c>
      <c r="AA486" s="336">
        <f t="shared" si="204"/>
        <v>-6.0097188979026148</v>
      </c>
      <c r="AB486" s="337">
        <f t="shared" si="205"/>
        <v>-109.75185868317745</v>
      </c>
      <c r="AD486">
        <f t="shared" si="210"/>
        <v>0</v>
      </c>
      <c r="AE486">
        <f t="shared" si="213"/>
        <v>0</v>
      </c>
    </row>
    <row r="487" spans="1:31" x14ac:dyDescent="0.25">
      <c r="A487" s="338">
        <v>59570</v>
      </c>
      <c r="B487" s="355">
        <f t="shared" si="206"/>
        <v>59.57</v>
      </c>
      <c r="C487" s="328">
        <f t="shared" si="188"/>
        <v>20.002231465622827</v>
      </c>
      <c r="D487" s="329">
        <f t="shared" si="189"/>
        <v>1.5207810550156955</v>
      </c>
      <c r="E487" s="329">
        <f t="shared" si="190"/>
        <v>1.0003050749650615</v>
      </c>
      <c r="F487" s="330">
        <f t="shared" si="191"/>
        <v>2.4698073864241495E-2</v>
      </c>
      <c r="G487" s="329">
        <f t="shared" si="192"/>
        <v>1</v>
      </c>
      <c r="H487" s="330">
        <f t="shared" si="193"/>
        <v>0</v>
      </c>
      <c r="I487" s="328">
        <f t="shared" si="194"/>
        <v>108037.56864441594</v>
      </c>
      <c r="J487" s="331">
        <f t="shared" si="195"/>
        <v>1.570787070755423</v>
      </c>
      <c r="K487" s="339">
        <f t="shared" si="211"/>
        <v>17.690999918410117</v>
      </c>
      <c r="L487" s="340">
        <f t="shared" si="212"/>
        <v>1.514240264296949</v>
      </c>
      <c r="M487" s="328">
        <f t="shared" si="196"/>
        <v>1.0403382076663286</v>
      </c>
      <c r="N487" s="331">
        <f t="shared" si="197"/>
        <v>0.27938262144938708</v>
      </c>
      <c r="O487" s="332">
        <f t="shared" si="198"/>
        <v>1.0158360801064192</v>
      </c>
      <c r="P487" s="333">
        <f t="shared" si="199"/>
        <v>0.42208716308869648</v>
      </c>
      <c r="Q487" s="334">
        <f t="shared" si="200"/>
        <v>-5.0913999211553609</v>
      </c>
      <c r="R487" s="335">
        <f t="shared" si="201"/>
        <v>-129.1503922339015</v>
      </c>
      <c r="S487" s="337">
        <f t="shared" si="202"/>
        <v>50.849607766098501</v>
      </c>
      <c r="U487" s="310">
        <f t="shared" si="207"/>
        <v>59570</v>
      </c>
      <c r="V487" s="310">
        <f t="shared" si="208"/>
        <v>3548584900</v>
      </c>
      <c r="X487" s="336">
        <f t="shared" si="203"/>
        <v>0.97011965102495212</v>
      </c>
      <c r="Y487" s="337">
        <f t="shared" si="209"/>
        <v>-19.24733845535798</v>
      </c>
      <c r="AA487" s="336">
        <f t="shared" si="204"/>
        <v>-6.0615195721803117</v>
      </c>
      <c r="AB487" s="337">
        <f t="shared" si="205"/>
        <v>-109.90305377854351</v>
      </c>
      <c r="AD487">
        <f t="shared" si="210"/>
        <v>0</v>
      </c>
      <c r="AE487">
        <f t="shared" si="213"/>
        <v>0</v>
      </c>
    </row>
    <row r="488" spans="1:31" x14ac:dyDescent="0.25">
      <c r="A488" s="338">
        <v>59913</v>
      </c>
      <c r="B488" s="355">
        <f t="shared" si="206"/>
        <v>59.912999999999997</v>
      </c>
      <c r="C488" s="328">
        <f t="shared" si="188"/>
        <v>20.117115908632922</v>
      </c>
      <c r="D488" s="329">
        <f t="shared" si="189"/>
        <v>1.5210669176432374</v>
      </c>
      <c r="E488" s="329">
        <f t="shared" si="190"/>
        <v>1.0003085977376853</v>
      </c>
      <c r="F488" s="330">
        <f t="shared" si="191"/>
        <v>2.4840225365662938E-2</v>
      </c>
      <c r="G488" s="329">
        <f t="shared" si="192"/>
        <v>1</v>
      </c>
      <c r="H488" s="330">
        <f t="shared" si="193"/>
        <v>0</v>
      </c>
      <c r="I488" s="328">
        <f t="shared" si="194"/>
        <v>108659.6416013048</v>
      </c>
      <c r="J488" s="331">
        <f t="shared" si="195"/>
        <v>1.5707871237459514</v>
      </c>
      <c r="K488" s="339">
        <f t="shared" si="211"/>
        <v>17.792538946528026</v>
      </c>
      <c r="L488" s="340">
        <f t="shared" si="212"/>
        <v>1.5145633618486829</v>
      </c>
      <c r="M488" s="328">
        <f t="shared" si="196"/>
        <v>1.0407949422853056</v>
      </c>
      <c r="N488" s="331">
        <f t="shared" si="197"/>
        <v>0.28090820622616014</v>
      </c>
      <c r="O488" s="332">
        <f t="shared" si="198"/>
        <v>1.0160484334422766</v>
      </c>
      <c r="P488" s="333">
        <f t="shared" si="199"/>
        <v>0.42457992564907826</v>
      </c>
      <c r="Q488" s="334">
        <f t="shared" si="200"/>
        <v>-5.1469011775398412</v>
      </c>
      <c r="R488" s="335">
        <f t="shared" si="201"/>
        <v>-129.3703515282335</v>
      </c>
      <c r="S488" s="337">
        <f t="shared" si="202"/>
        <v>50.629648471766501</v>
      </c>
      <c r="U488" s="310">
        <f t="shared" si="207"/>
        <v>59913</v>
      </c>
      <c r="V488" s="310">
        <f t="shared" si="208"/>
        <v>3589567569</v>
      </c>
      <c r="X488" s="336">
        <f t="shared" si="203"/>
        <v>0.96614873103652354</v>
      </c>
      <c r="Y488" s="337">
        <f t="shared" si="209"/>
        <v>-19.316238934483483</v>
      </c>
      <c r="AA488" s="336">
        <f t="shared" si="204"/>
        <v>-6.1130499085763663</v>
      </c>
      <c r="AB488" s="337">
        <f t="shared" si="205"/>
        <v>-110.05411259375001</v>
      </c>
      <c r="AD488">
        <f t="shared" si="210"/>
        <v>0</v>
      </c>
      <c r="AE488">
        <f t="shared" si="213"/>
        <v>0</v>
      </c>
    </row>
    <row r="489" spans="1:31" x14ac:dyDescent="0.25">
      <c r="A489" s="338">
        <v>60256</v>
      </c>
      <c r="B489" s="355">
        <f t="shared" si="206"/>
        <v>60.256</v>
      </c>
      <c r="C489" s="328">
        <f t="shared" si="188"/>
        <v>20.232001976892683</v>
      </c>
      <c r="D489" s="329">
        <f t="shared" si="189"/>
        <v>1.5213495337900844</v>
      </c>
      <c r="E489" s="329">
        <f t="shared" si="190"/>
        <v>1.0003121407234519</v>
      </c>
      <c r="F489" s="330">
        <f t="shared" si="191"/>
        <v>2.4982375862989632E-2</v>
      </c>
      <c r="G489" s="329">
        <f t="shared" si="192"/>
        <v>1</v>
      </c>
      <c r="H489" s="330">
        <f t="shared" si="193"/>
        <v>0</v>
      </c>
      <c r="I489" s="328">
        <f t="shared" si="194"/>
        <v>109281.71455819394</v>
      </c>
      <c r="J489" s="331">
        <f t="shared" si="195"/>
        <v>1.5707871761331957</v>
      </c>
      <c r="K489" s="339">
        <f t="shared" si="211"/>
        <v>17.894079810965618</v>
      </c>
      <c r="L489" s="340">
        <f t="shared" si="212"/>
        <v>1.5148827925665238</v>
      </c>
      <c r="M489" s="328">
        <f t="shared" si="196"/>
        <v>1.0412540971313398</v>
      </c>
      <c r="N489" s="331">
        <f t="shared" si="197"/>
        <v>0.28243244909406445</v>
      </c>
      <c r="O489" s="332">
        <f t="shared" si="198"/>
        <v>1.0162626728276833</v>
      </c>
      <c r="P489" s="333">
        <f t="shared" si="199"/>
        <v>0.42707361243740355</v>
      </c>
      <c r="Q489" s="334">
        <f t="shared" si="200"/>
        <v>-5.2021512430843044</v>
      </c>
      <c r="R489" s="335">
        <f t="shared" si="201"/>
        <v>-129.59031099864018</v>
      </c>
      <c r="S489" s="337">
        <f t="shared" si="202"/>
        <v>50.409689001359823</v>
      </c>
      <c r="U489" s="310">
        <f t="shared" si="207"/>
        <v>60256</v>
      </c>
      <c r="V489" s="310">
        <f t="shared" si="208"/>
        <v>3630785536</v>
      </c>
      <c r="X489" s="336">
        <f t="shared" si="203"/>
        <v>0.96216198699303879</v>
      </c>
      <c r="Y489" s="337">
        <f t="shared" si="209"/>
        <v>-19.385272587435082</v>
      </c>
      <c r="AA489" s="336">
        <f t="shared" si="204"/>
        <v>-6.1643132300773429</v>
      </c>
      <c r="AB489" s="337">
        <f t="shared" si="205"/>
        <v>-110.20503841120511</v>
      </c>
      <c r="AD489">
        <f t="shared" si="210"/>
        <v>0</v>
      </c>
      <c r="AE489">
        <f t="shared" si="213"/>
        <v>0</v>
      </c>
    </row>
    <row r="490" spans="1:31" x14ac:dyDescent="0.25">
      <c r="A490" s="338">
        <v>60607</v>
      </c>
      <c r="B490" s="355">
        <f t="shared" si="206"/>
        <v>60.606999999999999</v>
      </c>
      <c r="C490" s="328">
        <f t="shared" si="188"/>
        <v>20.349569257428858</v>
      </c>
      <c r="D490" s="329">
        <f t="shared" si="189"/>
        <v>1.5216354379437149</v>
      </c>
      <c r="E490" s="329">
        <f t="shared" si="190"/>
        <v>1.0003157872700366</v>
      </c>
      <c r="F490" s="330">
        <f t="shared" si="191"/>
        <v>2.5127840778331863E-2</v>
      </c>
      <c r="G490" s="329">
        <f t="shared" si="192"/>
        <v>1</v>
      </c>
      <c r="H490" s="330">
        <f t="shared" si="193"/>
        <v>0</v>
      </c>
      <c r="I490" s="328">
        <f t="shared" si="194"/>
        <v>109918.29650533154</v>
      </c>
      <c r="J490" s="331">
        <f t="shared" si="195"/>
        <v>1.5707872291284315</v>
      </c>
      <c r="K490" s="339">
        <f t="shared" si="211"/>
        <v>17.997990844085614</v>
      </c>
      <c r="L490" s="340">
        <f t="shared" si="212"/>
        <v>1.5152059421292858</v>
      </c>
      <c r="M490" s="328">
        <f t="shared" si="196"/>
        <v>1.0417264633473822</v>
      </c>
      <c r="N490" s="331">
        <f t="shared" si="197"/>
        <v>0.28399084806196906</v>
      </c>
      <c r="O490" s="332">
        <f t="shared" si="198"/>
        <v>1.0164838731011638</v>
      </c>
      <c r="P490" s="333">
        <f t="shared" si="199"/>
        <v>0.42962641886939151</v>
      </c>
      <c r="Q490" s="334">
        <f t="shared" si="200"/>
        <v>-5.2584333116586324</v>
      </c>
      <c r="R490" s="335">
        <f t="shared" si="201"/>
        <v>-129.81540022296014</v>
      </c>
      <c r="S490" s="337">
        <f t="shared" si="202"/>
        <v>50.184599777039864</v>
      </c>
      <c r="U490" s="310">
        <f t="shared" si="207"/>
        <v>60607</v>
      </c>
      <c r="V490" s="310">
        <f t="shared" si="208"/>
        <v>3673208449</v>
      </c>
      <c r="X490" s="336">
        <f t="shared" si="203"/>
        <v>0.95806586661843884</v>
      </c>
      <c r="Y490" s="337">
        <f t="shared" si="209"/>
        <v>-19.456050201480018</v>
      </c>
      <c r="AA490" s="336">
        <f t="shared" si="204"/>
        <v>-6.2164991782770729</v>
      </c>
      <c r="AB490" s="337">
        <f t="shared" si="205"/>
        <v>-110.35935002148014</v>
      </c>
      <c r="AD490">
        <f t="shared" si="210"/>
        <v>0</v>
      </c>
      <c r="AE490">
        <f t="shared" si="213"/>
        <v>0</v>
      </c>
    </row>
    <row r="491" spans="1:31" x14ac:dyDescent="0.25">
      <c r="A491" s="338">
        <v>60958</v>
      </c>
      <c r="B491" s="355">
        <f t="shared" si="206"/>
        <v>60.957999999999998</v>
      </c>
      <c r="C491" s="328">
        <f t="shared" si="188"/>
        <v>20.467138182253091</v>
      </c>
      <c r="D491" s="329">
        <f t="shared" si="189"/>
        <v>1.5219180574945357</v>
      </c>
      <c r="E491" s="329">
        <f t="shared" si="190"/>
        <v>1.0003194549831904</v>
      </c>
      <c r="F491" s="330">
        <f t="shared" si="191"/>
        <v>2.5273304630045689E-2</v>
      </c>
      <c r="G491" s="329">
        <f t="shared" si="192"/>
        <v>1</v>
      </c>
      <c r="H491" s="330">
        <f t="shared" si="193"/>
        <v>0</v>
      </c>
      <c r="I491" s="328">
        <f t="shared" si="194"/>
        <v>110554.87845246945</v>
      </c>
      <c r="J491" s="331">
        <f t="shared" si="195"/>
        <v>1.5707872815133677</v>
      </c>
      <c r="K491" s="339">
        <f t="shared" si="211"/>
        <v>18.101903735079834</v>
      </c>
      <c r="L491" s="340">
        <f t="shared" si="212"/>
        <v>1.5155253816837808</v>
      </c>
      <c r="M491" s="328">
        <f t="shared" si="196"/>
        <v>1.042201357211042</v>
      </c>
      <c r="N491" s="331">
        <f t="shared" si="197"/>
        <v>0.28554783059502281</v>
      </c>
      <c r="O491" s="332">
        <f t="shared" si="198"/>
        <v>1.0167070718463527</v>
      </c>
      <c r="P491" s="333">
        <f t="shared" si="199"/>
        <v>0.43218019517705947</v>
      </c>
      <c r="Q491" s="334">
        <f t="shared" si="200"/>
        <v>-5.3144592196590867</v>
      </c>
      <c r="R491" s="335">
        <f t="shared" si="201"/>
        <v>-130.04048826123542</v>
      </c>
      <c r="S491" s="337">
        <f t="shared" si="202"/>
        <v>49.959511738764576</v>
      </c>
      <c r="U491" s="310">
        <f t="shared" si="207"/>
        <v>60958</v>
      </c>
      <c r="V491" s="310">
        <f t="shared" si="208"/>
        <v>3715877764</v>
      </c>
      <c r="X491" s="336">
        <f t="shared" si="203"/>
        <v>0.95395315897378496</v>
      </c>
      <c r="Y491" s="337">
        <f t="shared" si="209"/>
        <v>-19.526959192634258</v>
      </c>
      <c r="AA491" s="336">
        <f t="shared" si="204"/>
        <v>-6.2684123786328714</v>
      </c>
      <c r="AB491" s="337">
        <f t="shared" si="205"/>
        <v>-110.51352906860119</v>
      </c>
      <c r="AD491">
        <f t="shared" si="210"/>
        <v>0</v>
      </c>
      <c r="AE491">
        <f t="shared" si="213"/>
        <v>0</v>
      </c>
    </row>
    <row r="492" spans="1:31" x14ac:dyDescent="0.25">
      <c r="A492" s="338">
        <v>61309</v>
      </c>
      <c r="B492" s="355">
        <f t="shared" si="206"/>
        <v>61.308999999999997</v>
      </c>
      <c r="C492" s="328">
        <f t="shared" si="188"/>
        <v>20.584708723191483</v>
      </c>
      <c r="D492" s="329">
        <f t="shared" si="189"/>
        <v>1.5221974486775021</v>
      </c>
      <c r="E492" s="329">
        <f t="shared" si="190"/>
        <v>1.0003231438626805</v>
      </c>
      <c r="F492" s="330">
        <f t="shared" si="191"/>
        <v>2.5418767411986901E-2</v>
      </c>
      <c r="G492" s="329">
        <f t="shared" si="192"/>
        <v>1</v>
      </c>
      <c r="H492" s="330">
        <f t="shared" si="193"/>
        <v>0</v>
      </c>
      <c r="I492" s="328">
        <f t="shared" si="194"/>
        <v>111191.46039960766</v>
      </c>
      <c r="J492" s="331">
        <f t="shared" si="195"/>
        <v>1.5707873332984859</v>
      </c>
      <c r="K492" s="339">
        <f t="shared" si="211"/>
        <v>18.205818452135855</v>
      </c>
      <c r="L492" s="340">
        <f t="shared" si="212"/>
        <v>1.51584117469193</v>
      </c>
      <c r="M492" s="328">
        <f t="shared" si="196"/>
        <v>1.042678775268626</v>
      </c>
      <c r="N492" s="331">
        <f t="shared" si="197"/>
        <v>0.28710339108491323</v>
      </c>
      <c r="O492" s="332">
        <f t="shared" si="198"/>
        <v>1.0169322809876795</v>
      </c>
      <c r="P492" s="333">
        <f t="shared" si="199"/>
        <v>0.43473494227052217</v>
      </c>
      <c r="Q492" s="334">
        <f t="shared" si="200"/>
        <v>-5.3702323606765434</v>
      </c>
      <c r="R492" s="335">
        <f t="shared" si="201"/>
        <v>-130.26557443115709</v>
      </c>
      <c r="S492" s="337">
        <f t="shared" si="202"/>
        <v>49.734425568842909</v>
      </c>
      <c r="U492" s="310">
        <f t="shared" si="207"/>
        <v>61309</v>
      </c>
      <c r="V492" s="310">
        <f t="shared" si="208"/>
        <v>3758793481</v>
      </c>
      <c r="X492" s="336">
        <f t="shared" si="203"/>
        <v>0.94982385866361052</v>
      </c>
      <c r="Y492" s="337">
        <f t="shared" si="209"/>
        <v>-19.597995604065481</v>
      </c>
      <c r="AA492" s="336">
        <f t="shared" si="204"/>
        <v>-6.3200562193401542</v>
      </c>
      <c r="AB492" s="337">
        <f t="shared" si="205"/>
        <v>-110.66757882709163</v>
      </c>
      <c r="AD492">
        <f t="shared" si="210"/>
        <v>0</v>
      </c>
      <c r="AE492">
        <f t="shared" si="213"/>
        <v>0</v>
      </c>
    </row>
    <row r="493" spans="1:31" x14ac:dyDescent="0.25">
      <c r="A493" s="338">
        <v>61660</v>
      </c>
      <c r="B493" s="355">
        <f t="shared" si="206"/>
        <v>61.66</v>
      </c>
      <c r="C493" s="328">
        <f t="shared" si="188"/>
        <v>20.702280852709752</v>
      </c>
      <c r="D493" s="329">
        <f t="shared" si="189"/>
        <v>1.5224736664521366</v>
      </c>
      <c r="E493" s="329">
        <f t="shared" si="190"/>
        <v>1.0003268539082728</v>
      </c>
      <c r="F493" s="330">
        <f t="shared" si="191"/>
        <v>2.5564229118011546E-2</v>
      </c>
      <c r="G493" s="329">
        <f t="shared" si="192"/>
        <v>1</v>
      </c>
      <c r="H493" s="330">
        <f t="shared" si="193"/>
        <v>0</v>
      </c>
      <c r="I493" s="328">
        <f t="shared" si="194"/>
        <v>111828.04234674617</v>
      </c>
      <c r="J493" s="331">
        <f t="shared" si="195"/>
        <v>1.5707873844940299</v>
      </c>
      <c r="K493" s="339">
        <f t="shared" si="211"/>
        <v>18.309734964162882</v>
      </c>
      <c r="L493" s="340">
        <f t="shared" si="212"/>
        <v>1.5161533831778953</v>
      </c>
      <c r="M493" s="328">
        <f t="shared" si="196"/>
        <v>1.0431587140544221</v>
      </c>
      <c r="N493" s="331">
        <f t="shared" si="197"/>
        <v>0.28865752396109567</v>
      </c>
      <c r="O493" s="332">
        <f t="shared" si="198"/>
        <v>1.0171595125035813</v>
      </c>
      <c r="P493" s="333">
        <f t="shared" si="199"/>
        <v>0.43729066098020891</v>
      </c>
      <c r="Q493" s="334">
        <f t="shared" si="200"/>
        <v>-5.4257560707603645</v>
      </c>
      <c r="R493" s="335">
        <f t="shared" si="201"/>
        <v>-130.4906580573014</v>
      </c>
      <c r="S493" s="337">
        <f t="shared" si="202"/>
        <v>49.509341942698597</v>
      </c>
      <c r="U493" s="310">
        <f t="shared" si="207"/>
        <v>61660</v>
      </c>
      <c r="V493" s="310">
        <f t="shared" si="208"/>
        <v>3801955600</v>
      </c>
      <c r="X493" s="336">
        <f t="shared" si="203"/>
        <v>0.94567796217777111</v>
      </c>
      <c r="Y493" s="337">
        <f t="shared" si="209"/>
        <v>-19.669155563469204</v>
      </c>
      <c r="AA493" s="336">
        <f t="shared" si="204"/>
        <v>-6.3714340329381383</v>
      </c>
      <c r="AB493" s="337">
        <f t="shared" si="205"/>
        <v>-110.82150249383226</v>
      </c>
      <c r="AD493">
        <f t="shared" si="210"/>
        <v>0</v>
      </c>
      <c r="AE493">
        <f t="shared" si="213"/>
        <v>0</v>
      </c>
    </row>
    <row r="494" spans="1:31" x14ac:dyDescent="0.25">
      <c r="A494" s="338">
        <v>62019</v>
      </c>
      <c r="B494" s="355">
        <f t="shared" si="206"/>
        <v>62.018999999999998</v>
      </c>
      <c r="C494" s="328">
        <f t="shared" si="188"/>
        <v>20.822534304138966</v>
      </c>
      <c r="D494" s="329">
        <f t="shared" si="189"/>
        <v>1.5227529530489525</v>
      </c>
      <c r="E494" s="329">
        <f t="shared" si="190"/>
        <v>1.0003306704082904</v>
      </c>
      <c r="F494" s="330">
        <f t="shared" si="191"/>
        <v>2.5713005071172183E-2</v>
      </c>
      <c r="G494" s="329">
        <f t="shared" si="192"/>
        <v>1</v>
      </c>
      <c r="H494" s="330">
        <f t="shared" si="193"/>
        <v>0</v>
      </c>
      <c r="I494" s="328">
        <f t="shared" si="194"/>
        <v>112479.13328413313</v>
      </c>
      <c r="J494" s="331">
        <f t="shared" si="195"/>
        <v>1.5707874362569736</v>
      </c>
      <c r="K494" s="339">
        <f t="shared" si="211"/>
        <v>18.416021768833168</v>
      </c>
      <c r="L494" s="340">
        <f t="shared" si="212"/>
        <v>1.5164690627094672</v>
      </c>
      <c r="M494" s="328">
        <f t="shared" si="196"/>
        <v>1.0436521955528313</v>
      </c>
      <c r="N494" s="331">
        <f t="shared" si="197"/>
        <v>0.2902455961108063</v>
      </c>
      <c r="O494" s="332">
        <f t="shared" si="198"/>
        <v>1.0173940276677524</v>
      </c>
      <c r="P494" s="333">
        <f t="shared" si="199"/>
        <v>0.43990563555686291</v>
      </c>
      <c r="Q494" s="334">
        <f t="shared" si="200"/>
        <v>-5.4822906734861228</v>
      </c>
      <c r="R494" s="335">
        <f t="shared" si="201"/>
        <v>-130.72086846610489</v>
      </c>
      <c r="S494" s="337">
        <f t="shared" si="202"/>
        <v>49.279131533895111</v>
      </c>
      <c r="U494" s="310">
        <f t="shared" si="207"/>
        <v>62019</v>
      </c>
      <c r="V494" s="310">
        <f t="shared" si="208"/>
        <v>3846356361</v>
      </c>
      <c r="X494" s="336">
        <f t="shared" si="203"/>
        <v>0.94142040270133132</v>
      </c>
      <c r="Y494" s="337">
        <f t="shared" si="209"/>
        <v>-19.742061256253663</v>
      </c>
      <c r="AA494" s="336">
        <f t="shared" si="204"/>
        <v>-6.4237110761874527</v>
      </c>
      <c r="AB494" s="337">
        <f t="shared" si="205"/>
        <v>-110.97880720985127</v>
      </c>
      <c r="AD494">
        <f t="shared" si="210"/>
        <v>0</v>
      </c>
      <c r="AE494">
        <f t="shared" si="213"/>
        <v>0</v>
      </c>
    </row>
    <row r="495" spans="1:31" x14ac:dyDescent="0.25">
      <c r="A495" s="338">
        <v>62378</v>
      </c>
      <c r="B495" s="355">
        <f t="shared" si="206"/>
        <v>62.378</v>
      </c>
      <c r="C495" s="328">
        <f t="shared" si="188"/>
        <v>20.942789361094615</v>
      </c>
      <c r="D495" s="329">
        <f t="shared" si="189"/>
        <v>1.5230290322982003</v>
      </c>
      <c r="E495" s="329">
        <f t="shared" si="190"/>
        <v>1.000334509049742</v>
      </c>
      <c r="F495" s="330">
        <f t="shared" si="191"/>
        <v>2.5861779885812688E-2</v>
      </c>
      <c r="G495" s="329">
        <f t="shared" si="192"/>
        <v>1</v>
      </c>
      <c r="H495" s="330">
        <f t="shared" si="193"/>
        <v>0</v>
      </c>
      <c r="I495" s="328">
        <f t="shared" si="194"/>
        <v>113130.22422152042</v>
      </c>
      <c r="J495" s="331">
        <f t="shared" si="195"/>
        <v>1.5707874874241017</v>
      </c>
      <c r="K495" s="339">
        <f t="shared" si="211"/>
        <v>18.522310387663442</v>
      </c>
      <c r="L495" s="340">
        <f t="shared" si="212"/>
        <v>1.5167811192744169</v>
      </c>
      <c r="M495" s="328">
        <f t="shared" si="196"/>
        <v>1.0441483066222768</v>
      </c>
      <c r="N495" s="331">
        <f t="shared" si="197"/>
        <v>0.29183216316233701</v>
      </c>
      <c r="O495" s="332">
        <f t="shared" si="198"/>
        <v>1.0176306839637199</v>
      </c>
      <c r="P495" s="333">
        <f t="shared" si="199"/>
        <v>0.44252162804516465</v>
      </c>
      <c r="Q495" s="334">
        <f t="shared" si="200"/>
        <v>-5.53857122621808</v>
      </c>
      <c r="R495" s="335">
        <f t="shared" si="201"/>
        <v>-130.95107480548862</v>
      </c>
      <c r="S495" s="337">
        <f t="shared" si="202"/>
        <v>49.048925194511384</v>
      </c>
      <c r="U495" s="310">
        <f t="shared" si="207"/>
        <v>62378</v>
      </c>
      <c r="V495" s="310">
        <f t="shared" si="208"/>
        <v>3891014884</v>
      </c>
      <c r="X495" s="336">
        <f t="shared" si="203"/>
        <v>0.93714548025735334</v>
      </c>
      <c r="Y495" s="337">
        <f t="shared" si="209"/>
        <v>-19.815088259823856</v>
      </c>
      <c r="AA495" s="336">
        <f t="shared" si="204"/>
        <v>-6.4757167064754348</v>
      </c>
      <c r="AB495" s="337">
        <f t="shared" si="205"/>
        <v>-111.13598654566478</v>
      </c>
      <c r="AD495">
        <f t="shared" si="210"/>
        <v>0</v>
      </c>
      <c r="AE495">
        <f t="shared" si="213"/>
        <v>0</v>
      </c>
    </row>
    <row r="496" spans="1:31" x14ac:dyDescent="0.25">
      <c r="A496" s="338">
        <v>62737</v>
      </c>
      <c r="B496" s="355">
        <f t="shared" si="206"/>
        <v>62.737000000000002</v>
      </c>
      <c r="C496" s="328">
        <f t="shared" si="188"/>
        <v>21.063045996077438</v>
      </c>
      <c r="D496" s="329">
        <f t="shared" si="189"/>
        <v>1.5233019590931915</v>
      </c>
      <c r="E496" s="329">
        <f t="shared" si="190"/>
        <v>1.0003383698323731</v>
      </c>
      <c r="F496" s="330">
        <f t="shared" si="191"/>
        <v>2.6010553555360263E-2</v>
      </c>
      <c r="G496" s="329">
        <f t="shared" si="192"/>
        <v>1</v>
      </c>
      <c r="H496" s="330">
        <f t="shared" si="193"/>
        <v>0</v>
      </c>
      <c r="I496" s="328">
        <f t="shared" si="194"/>
        <v>113781.31515890799</v>
      </c>
      <c r="J496" s="331">
        <f t="shared" si="195"/>
        <v>1.5707875380056422</v>
      </c>
      <c r="K496" s="339">
        <f t="shared" si="211"/>
        <v>18.628600789600721</v>
      </c>
      <c r="L496" s="340">
        <f t="shared" si="212"/>
        <v>1.5170896148268209</v>
      </c>
      <c r="M496" s="328">
        <f t="shared" si="196"/>
        <v>1.0446470435163469</v>
      </c>
      <c r="N496" s="331">
        <f t="shared" si="197"/>
        <v>0.29341721927834885</v>
      </c>
      <c r="O496" s="332">
        <f t="shared" si="198"/>
        <v>1.0178694943811393</v>
      </c>
      <c r="P496" s="333">
        <f t="shared" si="199"/>
        <v>0.44513863907255863</v>
      </c>
      <c r="Q496" s="334">
        <f t="shared" si="200"/>
        <v>-5.5946011199753451</v>
      </c>
      <c r="R496" s="335">
        <f t="shared" si="201"/>
        <v>-131.1812763733582</v>
      </c>
      <c r="S496" s="337">
        <f t="shared" si="202"/>
        <v>48.818723626641798</v>
      </c>
      <c r="U496" s="310">
        <f t="shared" si="207"/>
        <v>62737</v>
      </c>
      <c r="V496" s="310">
        <f t="shared" si="208"/>
        <v>3935931169</v>
      </c>
      <c r="X496" s="336">
        <f t="shared" si="203"/>
        <v>0.93285319682180501</v>
      </c>
      <c r="Y496" s="337">
        <f t="shared" si="209"/>
        <v>-19.888232690603797</v>
      </c>
      <c r="AA496" s="336">
        <f t="shared" si="204"/>
        <v>-6.527454316797149</v>
      </c>
      <c r="AB496" s="337">
        <f t="shared" si="205"/>
        <v>-111.2930436827544</v>
      </c>
      <c r="AD496">
        <f t="shared" si="210"/>
        <v>0</v>
      </c>
      <c r="AE496">
        <f t="shared" si="213"/>
        <v>0</v>
      </c>
    </row>
    <row r="497" spans="1:31" x14ac:dyDescent="0.25">
      <c r="A497" s="338">
        <v>63096</v>
      </c>
      <c r="B497" s="355">
        <f t="shared" si="206"/>
        <v>63.095999999999997</v>
      </c>
      <c r="C497" s="328">
        <f t="shared" si="188"/>
        <v>21.183304182212279</v>
      </c>
      <c r="D497" s="329">
        <f t="shared" si="189"/>
        <v>1.5235717870826182</v>
      </c>
      <c r="E497" s="329">
        <f t="shared" si="190"/>
        <v>1.0003422527559269</v>
      </c>
      <c r="F497" s="330">
        <f t="shared" si="191"/>
        <v>2.6159326073242402E-2</v>
      </c>
      <c r="G497" s="329">
        <f t="shared" si="192"/>
        <v>1</v>
      </c>
      <c r="H497" s="330">
        <f t="shared" si="193"/>
        <v>0</v>
      </c>
      <c r="I497" s="328">
        <f t="shared" si="194"/>
        <v>114432.40609629583</v>
      </c>
      <c r="J497" s="331">
        <f t="shared" si="195"/>
        <v>1.5707875880115911</v>
      </c>
      <c r="K497" s="339">
        <f t="shared" si="211"/>
        <v>18.734892944296206</v>
      </c>
      <c r="L497" s="340">
        <f t="shared" si="212"/>
        <v>1.5173946099175206</v>
      </c>
      <c r="M497" s="328">
        <f t="shared" si="196"/>
        <v>1.0451484024759707</v>
      </c>
      <c r="N497" s="331">
        <f t="shared" si="197"/>
        <v>0.29500075866298425</v>
      </c>
      <c r="O497" s="332">
        <f t="shared" si="198"/>
        <v>1.0181104719674341</v>
      </c>
      <c r="P497" s="333">
        <f t="shared" si="199"/>
        <v>0.44775666917769336</v>
      </c>
      <c r="Q497" s="334">
        <f t="shared" si="200"/>
        <v>-5.6503836883664436</v>
      </c>
      <c r="R497" s="335">
        <f t="shared" si="201"/>
        <v>-131.411472473983</v>
      </c>
      <c r="S497" s="337">
        <f t="shared" si="202"/>
        <v>48.588527526017003</v>
      </c>
      <c r="U497" s="310">
        <f t="shared" si="207"/>
        <v>63096</v>
      </c>
      <c r="V497" s="310">
        <f t="shared" si="208"/>
        <v>3981105216</v>
      </c>
      <c r="X497" s="336">
        <f t="shared" si="203"/>
        <v>0.92854355617930595</v>
      </c>
      <c r="Y497" s="337">
        <f t="shared" si="209"/>
        <v>-19.961490747780388</v>
      </c>
      <c r="AA497" s="336">
        <f t="shared" si="204"/>
        <v>-6.5789272445457492</v>
      </c>
      <c r="AB497" s="337">
        <f t="shared" si="205"/>
        <v>-111.44998172620259</v>
      </c>
      <c r="AD497">
        <f t="shared" si="210"/>
        <v>0</v>
      </c>
      <c r="AE497">
        <f t="shared" si="213"/>
        <v>0</v>
      </c>
    </row>
    <row r="498" spans="1:31" x14ac:dyDescent="0.25">
      <c r="A498" s="338">
        <v>63463.25</v>
      </c>
      <c r="B498" s="355">
        <f t="shared" si="206"/>
        <v>63.463250000000002</v>
      </c>
      <c r="C498" s="328">
        <f t="shared" si="188"/>
        <v>21.306327539406297</v>
      </c>
      <c r="D498" s="329">
        <f t="shared" si="189"/>
        <v>1.5238446640817116</v>
      </c>
      <c r="E498" s="329">
        <f t="shared" si="190"/>
        <v>1.0003462478207257</v>
      </c>
      <c r="F498" s="330">
        <f t="shared" si="191"/>
        <v>2.6311516259658062E-2</v>
      </c>
      <c r="G498" s="329">
        <f t="shared" si="192"/>
        <v>1</v>
      </c>
      <c r="H498" s="330">
        <f t="shared" si="193"/>
        <v>0</v>
      </c>
      <c r="I498" s="328">
        <f t="shared" si="194"/>
        <v>115098.45942987743</v>
      </c>
      <c r="J498" s="331">
        <f t="shared" si="195"/>
        <v>1.5707876385813013</v>
      </c>
      <c r="K498" s="339">
        <f t="shared" si="211"/>
        <v>18.843629528714672</v>
      </c>
      <c r="L498" s="340">
        <f t="shared" si="212"/>
        <v>1.5177030536028431</v>
      </c>
      <c r="M498" s="328">
        <f t="shared" si="196"/>
        <v>1.0456639921257707</v>
      </c>
      <c r="N498" s="331">
        <f t="shared" si="197"/>
        <v>0.29661911316232847</v>
      </c>
      <c r="O498" s="332">
        <f t="shared" si="198"/>
        <v>1.0183592434488049</v>
      </c>
      <c r="P498" s="333">
        <f t="shared" si="199"/>
        <v>0.45043591787060855</v>
      </c>
      <c r="Q498" s="334">
        <f t="shared" si="200"/>
        <v>-5.7071956689806012</v>
      </c>
      <c r="R498" s="335">
        <f t="shared" si="201"/>
        <v>-131.64695222024429</v>
      </c>
      <c r="S498" s="337">
        <f t="shared" si="202"/>
        <v>48.353047779755713</v>
      </c>
      <c r="U498" s="310">
        <f t="shared" si="207"/>
        <v>63463.25</v>
      </c>
      <c r="V498" s="310">
        <f t="shared" si="208"/>
        <v>4027584100.5625</v>
      </c>
      <c r="X498" s="336">
        <f t="shared" si="203"/>
        <v>0.92411692350910202</v>
      </c>
      <c r="Y498" s="337">
        <f t="shared" si="209"/>
        <v>-20.03654600647911</v>
      </c>
      <c r="AA498" s="336">
        <f t="shared" si="204"/>
        <v>-6.6313125924897047</v>
      </c>
      <c r="AB498" s="337">
        <f t="shared" si="205"/>
        <v>-111.61040621376522</v>
      </c>
      <c r="AD498">
        <f t="shared" si="210"/>
        <v>0</v>
      </c>
      <c r="AE498">
        <f t="shared" si="213"/>
        <v>0</v>
      </c>
    </row>
    <row r="499" spans="1:31" x14ac:dyDescent="0.25">
      <c r="A499" s="338">
        <v>63830.5</v>
      </c>
      <c r="B499" s="355">
        <f t="shared" si="206"/>
        <v>63.830500000000001</v>
      </c>
      <c r="C499" s="328">
        <f t="shared" si="188"/>
        <v>21.429352464893043</v>
      </c>
      <c r="D499" s="329">
        <f t="shared" si="189"/>
        <v>1.5241144079521323</v>
      </c>
      <c r="E499" s="329">
        <f t="shared" si="190"/>
        <v>1.0003502660552117</v>
      </c>
      <c r="F499" s="330">
        <f t="shared" si="191"/>
        <v>2.6463705226955219E-2</v>
      </c>
      <c r="G499" s="329">
        <f t="shared" si="192"/>
        <v>1</v>
      </c>
      <c r="H499" s="330">
        <f t="shared" si="193"/>
        <v>0</v>
      </c>
      <c r="I499" s="328">
        <f t="shared" si="194"/>
        <v>115764.51276345932</v>
      </c>
      <c r="J499" s="331">
        <f t="shared" si="195"/>
        <v>1.5707876885691041</v>
      </c>
      <c r="K499" s="339">
        <f t="shared" si="211"/>
        <v>18.952367885297829</v>
      </c>
      <c r="L499" s="340">
        <f t="shared" si="212"/>
        <v>1.51800795795341</v>
      </c>
      <c r="M499" s="328">
        <f t="shared" si="196"/>
        <v>1.0461823177405307</v>
      </c>
      <c r="N499" s="331">
        <f t="shared" si="197"/>
        <v>0.29823586828186044</v>
      </c>
      <c r="O499" s="332">
        <f t="shared" si="198"/>
        <v>1.0186103106541449</v>
      </c>
      <c r="P499" s="333">
        <f t="shared" si="199"/>
        <v>0.45311623387142586</v>
      </c>
      <c r="Q499" s="334">
        <f t="shared" si="200"/>
        <v>-5.7637557052765764</v>
      </c>
      <c r="R499" s="335">
        <f t="shared" si="201"/>
        <v>-131.88242479143449</v>
      </c>
      <c r="S499" s="337">
        <f t="shared" si="202"/>
        <v>48.117575208565512</v>
      </c>
      <c r="U499" s="310">
        <f t="shared" si="207"/>
        <v>63830.5</v>
      </c>
      <c r="V499" s="310">
        <f t="shared" si="208"/>
        <v>4074332730.25</v>
      </c>
      <c r="X499" s="336">
        <f t="shared" si="203"/>
        <v>0.91967214026896726</v>
      </c>
      <c r="Y499" s="337">
        <f t="shared" si="209"/>
        <v>-20.111712383067808</v>
      </c>
      <c r="AA499" s="336">
        <f t="shared" si="204"/>
        <v>-6.6834278455455465</v>
      </c>
      <c r="AB499" s="337">
        <f t="shared" si="205"/>
        <v>-111.77071240836666</v>
      </c>
      <c r="AD499">
        <f t="shared" si="210"/>
        <v>0</v>
      </c>
      <c r="AE499">
        <f t="shared" si="213"/>
        <v>0</v>
      </c>
    </row>
    <row r="500" spans="1:31" x14ac:dyDescent="0.25">
      <c r="A500" s="338">
        <v>64197.75</v>
      </c>
      <c r="B500" s="355">
        <f t="shared" si="206"/>
        <v>64.197749999999999</v>
      </c>
      <c r="C500" s="328">
        <f t="shared" si="188"/>
        <v>21.5523789318162</v>
      </c>
      <c r="D500" s="329">
        <f t="shared" si="189"/>
        <v>1.5243810723083748</v>
      </c>
      <c r="E500" s="329">
        <f t="shared" si="190"/>
        <v>1.0003543074591057</v>
      </c>
      <c r="F500" s="330">
        <f t="shared" si="191"/>
        <v>2.661589296809876E-2</v>
      </c>
      <c r="G500" s="329">
        <f t="shared" si="192"/>
        <v>1</v>
      </c>
      <c r="H500" s="330">
        <f t="shared" si="193"/>
        <v>0</v>
      </c>
      <c r="I500" s="328">
        <f t="shared" si="194"/>
        <v>116430.5660970415</v>
      </c>
      <c r="J500" s="331">
        <f t="shared" si="195"/>
        <v>1.5707877379849859</v>
      </c>
      <c r="K500" s="339">
        <f t="shared" si="211"/>
        <v>19.061107983716546</v>
      </c>
      <c r="L500" s="340">
        <f t="shared" si="212"/>
        <v>1.5183093834857906</v>
      </c>
      <c r="M500" s="328">
        <f t="shared" si="196"/>
        <v>1.0467033752557167</v>
      </c>
      <c r="N500" s="331">
        <f t="shared" si="197"/>
        <v>0.29985101795184654</v>
      </c>
      <c r="O500" s="332">
        <f t="shared" si="198"/>
        <v>1.0188636877366051</v>
      </c>
      <c r="P500" s="333">
        <f t="shared" si="199"/>
        <v>0.45579761746576875</v>
      </c>
      <c r="Q500" s="334">
        <f t="shared" si="200"/>
        <v>-5.8200671879175534</v>
      </c>
      <c r="R500" s="335">
        <f t="shared" si="201"/>
        <v>-132.11788946166382</v>
      </c>
      <c r="S500" s="337">
        <f t="shared" si="202"/>
        <v>47.882110538336178</v>
      </c>
      <c r="U500" s="310">
        <f t="shared" si="207"/>
        <v>64197.75</v>
      </c>
      <c r="V500" s="310">
        <f t="shared" si="208"/>
        <v>4121351105.0625</v>
      </c>
      <c r="X500" s="336">
        <f t="shared" si="203"/>
        <v>0.91520921601251126</v>
      </c>
      <c r="Y500" s="337">
        <f t="shared" si="209"/>
        <v>-20.18698606300455</v>
      </c>
      <c r="AA500" s="336">
        <f t="shared" si="204"/>
        <v>-6.7352764039300625</v>
      </c>
      <c r="AB500" s="337">
        <f t="shared" si="205"/>
        <v>-111.93090339865928</v>
      </c>
      <c r="AD500">
        <f t="shared" si="210"/>
        <v>0</v>
      </c>
      <c r="AE500">
        <f t="shared" si="213"/>
        <v>0</v>
      </c>
    </row>
    <row r="501" spans="1:31" x14ac:dyDescent="0.25">
      <c r="A501" s="338">
        <v>64565</v>
      </c>
      <c r="B501" s="355">
        <f t="shared" si="206"/>
        <v>64.564999999999998</v>
      </c>
      <c r="C501" s="328">
        <f t="shared" si="188"/>
        <v>21.675406913928871</v>
      </c>
      <c r="D501" s="329">
        <f t="shared" si="189"/>
        <v>1.5246447095494613</v>
      </c>
      <c r="E501" s="329">
        <f t="shared" si="190"/>
        <v>1.0003583720321267</v>
      </c>
      <c r="F501" s="330">
        <f t="shared" si="191"/>
        <v>2.6768079476053912E-2</v>
      </c>
      <c r="G501" s="329">
        <f t="shared" si="192"/>
        <v>1</v>
      </c>
      <c r="H501" s="330">
        <f t="shared" si="193"/>
        <v>0</v>
      </c>
      <c r="I501" s="328">
        <f t="shared" si="194"/>
        <v>117096.61943062395</v>
      </c>
      <c r="J501" s="331">
        <f t="shared" si="195"/>
        <v>1.5707877868387059</v>
      </c>
      <c r="K501" s="339">
        <f t="shared" si="211"/>
        <v>19.169849794329373</v>
      </c>
      <c r="L501" s="340">
        <f t="shared" si="212"/>
        <v>1.5186073893459844</v>
      </c>
      <c r="M501" s="328">
        <f t="shared" si="196"/>
        <v>1.0472271605934815</v>
      </c>
      <c r="N501" s="331">
        <f t="shared" si="197"/>
        <v>0.30146455614810663</v>
      </c>
      <c r="O501" s="332">
        <f t="shared" si="198"/>
        <v>1.0191193889110541</v>
      </c>
      <c r="P501" s="333">
        <f t="shared" si="199"/>
        <v>0.45848006884029829</v>
      </c>
      <c r="Q501" s="334">
        <f t="shared" si="200"/>
        <v>-5.8761334502396689</v>
      </c>
      <c r="R501" s="335">
        <f t="shared" si="201"/>
        <v>-132.35334551085609</v>
      </c>
      <c r="S501" s="337">
        <f t="shared" si="202"/>
        <v>47.646654489143913</v>
      </c>
      <c r="U501" s="310">
        <f t="shared" si="207"/>
        <v>64565</v>
      </c>
      <c r="V501" s="310">
        <f t="shared" si="208"/>
        <v>4168639225</v>
      </c>
      <c r="X501" s="336">
        <f t="shared" si="203"/>
        <v>0.91072816202964213</v>
      </c>
      <c r="Y501" s="337">
        <f t="shared" si="209"/>
        <v>-20.262363312872235</v>
      </c>
      <c r="AA501" s="336">
        <f t="shared" si="204"/>
        <v>-6.7868616122693135</v>
      </c>
      <c r="AB501" s="337">
        <f t="shared" si="205"/>
        <v>-112.09098219798388</v>
      </c>
      <c r="AD501">
        <f t="shared" si="210"/>
        <v>0</v>
      </c>
      <c r="AE501">
        <f t="shared" si="213"/>
        <v>0</v>
      </c>
    </row>
    <row r="502" spans="1:31" x14ac:dyDescent="0.25">
      <c r="A502" s="338">
        <v>64941</v>
      </c>
      <c r="B502" s="355">
        <f t="shared" si="206"/>
        <v>64.941000000000003</v>
      </c>
      <c r="C502" s="328">
        <f t="shared" si="188"/>
        <v>21.801367670730059</v>
      </c>
      <c r="D502" s="329">
        <f t="shared" si="189"/>
        <v>1.524911545458546</v>
      </c>
      <c r="E502" s="329">
        <f t="shared" si="190"/>
        <v>1.000362557450015</v>
      </c>
      <c r="F502" s="330">
        <f t="shared" si="191"/>
        <v>2.692389065397318E-2</v>
      </c>
      <c r="G502" s="329">
        <f t="shared" si="192"/>
        <v>1</v>
      </c>
      <c r="H502" s="330">
        <f t="shared" si="193"/>
        <v>0</v>
      </c>
      <c r="I502" s="328">
        <f t="shared" si="194"/>
        <v>117778.5419722907</v>
      </c>
      <c r="J502" s="331">
        <f t="shared" si="195"/>
        <v>1.5707878362839489</v>
      </c>
      <c r="K502" s="339">
        <f t="shared" si="211"/>
        <v>19.281184201776618</v>
      </c>
      <c r="L502" s="340">
        <f t="shared" si="212"/>
        <v>1.5189090129209575</v>
      </c>
      <c r="M502" s="328">
        <f t="shared" si="196"/>
        <v>1.0477662473134679</v>
      </c>
      <c r="N502" s="331">
        <f t="shared" si="197"/>
        <v>0.30311486230686452</v>
      </c>
      <c r="O502" s="332">
        <f t="shared" si="198"/>
        <v>1.0193836050728282</v>
      </c>
      <c r="P502" s="333">
        <f t="shared" si="199"/>
        <v>0.46122753791656007</v>
      </c>
      <c r="Q502" s="334">
        <f t="shared" si="200"/>
        <v>-5.9332849005329962</v>
      </c>
      <c r="R502" s="335">
        <f t="shared" si="201"/>
        <v>-132.59440179501883</v>
      </c>
      <c r="S502" s="337">
        <f t="shared" si="202"/>
        <v>47.405598204981175</v>
      </c>
      <c r="U502" s="310">
        <f t="shared" si="207"/>
        <v>64941</v>
      </c>
      <c r="V502" s="310">
        <f t="shared" si="208"/>
        <v>4217333481</v>
      </c>
      <c r="X502" s="336">
        <f t="shared" si="203"/>
        <v>0.90612157440739005</v>
      </c>
      <c r="Y502" s="337">
        <f t="shared" si="209"/>
        <v>-20.339639965917939</v>
      </c>
      <c r="AA502" s="336">
        <f t="shared" si="204"/>
        <v>-6.8394064749403878</v>
      </c>
      <c r="AB502" s="337">
        <f t="shared" si="205"/>
        <v>-112.25476182910087</v>
      </c>
      <c r="AD502">
        <f t="shared" si="210"/>
        <v>0</v>
      </c>
      <c r="AE502">
        <f t="shared" si="213"/>
        <v>0</v>
      </c>
    </row>
    <row r="503" spans="1:31" x14ac:dyDescent="0.25">
      <c r="A503" s="338">
        <v>65317</v>
      </c>
      <c r="B503" s="355">
        <f t="shared" si="206"/>
        <v>65.316999999999993</v>
      </c>
      <c r="C503" s="328">
        <f t="shared" si="188"/>
        <v>21.927329961985009</v>
      </c>
      <c r="D503" s="329">
        <f t="shared" si="189"/>
        <v>1.525175315690358</v>
      </c>
      <c r="E503" s="329">
        <f t="shared" si="190"/>
        <v>1.0003667671536247</v>
      </c>
      <c r="F503" s="330">
        <f t="shared" si="191"/>
        <v>2.7079700524318247E-2</v>
      </c>
      <c r="G503" s="329">
        <f t="shared" si="192"/>
        <v>1</v>
      </c>
      <c r="H503" s="330">
        <f t="shared" si="193"/>
        <v>0</v>
      </c>
      <c r="I503" s="328">
        <f t="shared" si="194"/>
        <v>118460.46451395772</v>
      </c>
      <c r="J503" s="331">
        <f t="shared" si="195"/>
        <v>1.5707878851599248</v>
      </c>
      <c r="K503" s="339">
        <f t="shared" si="211"/>
        <v>19.392520343222451</v>
      </c>
      <c r="L503" s="340">
        <f t="shared" si="212"/>
        <v>1.5192071731663679</v>
      </c>
      <c r="M503" s="328">
        <f t="shared" si="196"/>
        <v>1.0483081846963147</v>
      </c>
      <c r="N503" s="331">
        <f t="shared" si="197"/>
        <v>0.30476346665466858</v>
      </c>
      <c r="O503" s="332">
        <f t="shared" si="198"/>
        <v>1.0196502877443709</v>
      </c>
      <c r="P503" s="333">
        <f t="shared" si="199"/>
        <v>0.46397612633677776</v>
      </c>
      <c r="Q503" s="334">
        <f t="shared" si="200"/>
        <v>-5.9901861990522036</v>
      </c>
      <c r="R503" s="335">
        <f t="shared" si="201"/>
        <v>-132.83544753238067</v>
      </c>
      <c r="S503" s="337">
        <f t="shared" si="202"/>
        <v>47.16455246761933</v>
      </c>
      <c r="U503" s="310">
        <f t="shared" si="207"/>
        <v>65317</v>
      </c>
      <c r="V503" s="310">
        <f t="shared" si="208"/>
        <v>4266310489</v>
      </c>
      <c r="X503" s="336">
        <f t="shared" si="203"/>
        <v>0.90149601214605291</v>
      </c>
      <c r="Y503" s="337">
        <f t="shared" si="209"/>
        <v>-20.41701751392899</v>
      </c>
      <c r="AA503" s="336">
        <f t="shared" si="204"/>
        <v>-6.8916822111982556</v>
      </c>
      <c r="AB503" s="337">
        <f t="shared" si="205"/>
        <v>-112.41843001845167</v>
      </c>
      <c r="AD503">
        <f t="shared" si="210"/>
        <v>0</v>
      </c>
      <c r="AE503">
        <f t="shared" si="213"/>
        <v>0</v>
      </c>
    </row>
    <row r="504" spans="1:31" x14ac:dyDescent="0.25">
      <c r="A504" s="338">
        <v>65693</v>
      </c>
      <c r="B504" s="355">
        <f t="shared" si="206"/>
        <v>65.692999999999998</v>
      </c>
      <c r="C504" s="328">
        <f t="shared" si="188"/>
        <v>22.053293761400603</v>
      </c>
      <c r="D504" s="329">
        <f t="shared" si="189"/>
        <v>1.5254360727393972</v>
      </c>
      <c r="E504" s="329">
        <f t="shared" si="190"/>
        <v>1.0003710011426494</v>
      </c>
      <c r="F504" s="330">
        <f t="shared" si="191"/>
        <v>2.7235509079540556E-2</v>
      </c>
      <c r="G504" s="329">
        <f t="shared" si="192"/>
        <v>1</v>
      </c>
      <c r="H504" s="330">
        <f t="shared" si="193"/>
        <v>0</v>
      </c>
      <c r="I504" s="328">
        <f t="shared" si="194"/>
        <v>119142.38705562502</v>
      </c>
      <c r="J504" s="331">
        <f t="shared" si="195"/>
        <v>1.5707879334764083</v>
      </c>
      <c r="K504" s="339">
        <f t="shared" si="211"/>
        <v>19.503858188971719</v>
      </c>
      <c r="L504" s="340">
        <f t="shared" si="212"/>
        <v>1.5195019293400323</v>
      </c>
      <c r="M504" s="328">
        <f t="shared" si="196"/>
        <v>1.0488529683232499</v>
      </c>
      <c r="N504" s="331">
        <f t="shared" si="197"/>
        <v>0.30641036287496926</v>
      </c>
      <c r="O504" s="332">
        <f t="shared" si="198"/>
        <v>1.0199194523794148</v>
      </c>
      <c r="P504" s="333">
        <f t="shared" si="199"/>
        <v>0.46672583397610029</v>
      </c>
      <c r="Q504" s="334">
        <f t="shared" si="200"/>
        <v>-6.0468407447604449</v>
      </c>
      <c r="R504" s="335">
        <f t="shared" si="201"/>
        <v>-133.07648196735957</v>
      </c>
      <c r="S504" s="337">
        <f t="shared" si="202"/>
        <v>46.92351803264043</v>
      </c>
      <c r="U504" s="310">
        <f t="shared" si="207"/>
        <v>65693</v>
      </c>
      <c r="V504" s="310">
        <f t="shared" si="208"/>
        <v>4315570249</v>
      </c>
      <c r="X504" s="336">
        <f t="shared" si="203"/>
        <v>0.89685149265845387</v>
      </c>
      <c r="Y504" s="337">
        <f t="shared" si="209"/>
        <v>-20.494492200330985</v>
      </c>
      <c r="AA504" s="336">
        <f t="shared" si="204"/>
        <v>-6.9436922374188992</v>
      </c>
      <c r="AB504" s="337">
        <f t="shared" si="205"/>
        <v>-112.58198976702857</v>
      </c>
      <c r="AD504">
        <f t="shared" si="210"/>
        <v>0</v>
      </c>
      <c r="AE504">
        <f t="shared" si="213"/>
        <v>0</v>
      </c>
    </row>
    <row r="505" spans="1:31" x14ac:dyDescent="0.25">
      <c r="A505" s="338">
        <v>66069</v>
      </c>
      <c r="B505" s="355">
        <f t="shared" si="206"/>
        <v>66.069000000000003</v>
      </c>
      <c r="C505" s="328">
        <f t="shared" si="188"/>
        <v>22.179259043280712</v>
      </c>
      <c r="D505" s="329">
        <f t="shared" si="189"/>
        <v>1.5256938679092704</v>
      </c>
      <c r="E505" s="329">
        <f t="shared" si="190"/>
        <v>1.0003752594167805</v>
      </c>
      <c r="F505" s="330">
        <f t="shared" si="191"/>
        <v>2.7391316312091952E-2</v>
      </c>
      <c r="G505" s="329">
        <f t="shared" si="192"/>
        <v>1</v>
      </c>
      <c r="H505" s="330">
        <f t="shared" si="193"/>
        <v>0</v>
      </c>
      <c r="I505" s="328">
        <f t="shared" si="194"/>
        <v>119824.30959729259</v>
      </c>
      <c r="J505" s="331">
        <f t="shared" si="195"/>
        <v>1.5707879812429517</v>
      </c>
      <c r="K505" s="339">
        <f t="shared" si="211"/>
        <v>19.615197710003027</v>
      </c>
      <c r="L505" s="340">
        <f t="shared" si="212"/>
        <v>1.5197933393567302</v>
      </c>
      <c r="M505" s="328">
        <f t="shared" si="196"/>
        <v>1.0494005937614936</v>
      </c>
      <c r="N505" s="331">
        <f t="shared" si="197"/>
        <v>0.30805554470136243</v>
      </c>
      <c r="O505" s="332">
        <f t="shared" si="198"/>
        <v>1.0201911144977038</v>
      </c>
      <c r="P505" s="333">
        <f t="shared" si="199"/>
        <v>0.46947666059909132</v>
      </c>
      <c r="Q505" s="334">
        <f t="shared" si="200"/>
        <v>-6.1032518791851542</v>
      </c>
      <c r="R505" s="335">
        <f t="shared" si="201"/>
        <v>-133.31750434961504</v>
      </c>
      <c r="S505" s="337">
        <f t="shared" si="202"/>
        <v>46.682495650384965</v>
      </c>
      <c r="U505" s="310">
        <f t="shared" si="207"/>
        <v>66069</v>
      </c>
      <c r="V505" s="310">
        <f t="shared" si="208"/>
        <v>4365112761</v>
      </c>
      <c r="X505" s="336">
        <f t="shared" si="203"/>
        <v>0.89218803502928679</v>
      </c>
      <c r="Y505" s="337">
        <f t="shared" si="209"/>
        <v>-20.572060348360282</v>
      </c>
      <c r="AA505" s="336">
        <f t="shared" si="204"/>
        <v>-6.995439914214443</v>
      </c>
      <c r="AB505" s="337">
        <f t="shared" si="205"/>
        <v>-112.74544400125475</v>
      </c>
      <c r="AD505">
        <f t="shared" si="210"/>
        <v>0</v>
      </c>
      <c r="AE505">
        <f t="shared" si="213"/>
        <v>0</v>
      </c>
    </row>
    <row r="506" spans="1:31" x14ac:dyDescent="0.25">
      <c r="A506" s="338">
        <v>66453.75</v>
      </c>
      <c r="B506" s="355">
        <f t="shared" si="206"/>
        <v>66.453749999999999</v>
      </c>
      <c r="C506" s="328">
        <f t="shared" si="188"/>
        <v>22.308157206493402</v>
      </c>
      <c r="D506" s="329">
        <f t="shared" si="189"/>
        <v>1.5259546485367221</v>
      </c>
      <c r="E506" s="329">
        <f t="shared" si="190"/>
        <v>1.0003796419254636</v>
      </c>
      <c r="F506" s="330">
        <f t="shared" si="191"/>
        <v>2.7550748000774339E-2</v>
      </c>
      <c r="G506" s="329">
        <f t="shared" si="192"/>
        <v>1</v>
      </c>
      <c r="H506" s="330">
        <f t="shared" si="193"/>
        <v>0</v>
      </c>
      <c r="I506" s="328">
        <f t="shared" si="194"/>
        <v>120522.10134704447</v>
      </c>
      <c r="J506" s="331">
        <f t="shared" si="195"/>
        <v>1.5707880295615357</v>
      </c>
      <c r="K506" s="339">
        <f t="shared" si="211"/>
        <v>19.729129948450485</v>
      </c>
      <c r="L506" s="340">
        <f t="shared" si="212"/>
        <v>1.5200881260372558</v>
      </c>
      <c r="M506" s="328">
        <f t="shared" si="196"/>
        <v>1.0499639002836079</v>
      </c>
      <c r="N506" s="331">
        <f t="shared" si="197"/>
        <v>0.30973723082223337</v>
      </c>
      <c r="O506" s="332">
        <f t="shared" si="198"/>
        <v>1.0204717001383159</v>
      </c>
      <c r="P506" s="333">
        <f t="shared" si="199"/>
        <v>0.47229266045410145</v>
      </c>
      <c r="Q506" s="334">
        <f t="shared" si="200"/>
        <v>-6.1607272258094046</v>
      </c>
      <c r="R506" s="335">
        <f t="shared" si="201"/>
        <v>-133.56412237613978</v>
      </c>
      <c r="S506" s="337">
        <f t="shared" si="202"/>
        <v>46.435877623860222</v>
      </c>
      <c r="U506" s="310">
        <f t="shared" si="207"/>
        <v>66453.75</v>
      </c>
      <c r="V506" s="310">
        <f t="shared" si="208"/>
        <v>4416100889.0625</v>
      </c>
      <c r="X506" s="336">
        <f t="shared" si="203"/>
        <v>0.88739647005244904</v>
      </c>
      <c r="Y506" s="337">
        <f t="shared" si="209"/>
        <v>-20.651526601442871</v>
      </c>
      <c r="AA506" s="336">
        <f t="shared" si="204"/>
        <v>-7.0481236958618529</v>
      </c>
      <c r="AB506" s="337">
        <f t="shared" si="205"/>
        <v>-112.9125957746969</v>
      </c>
      <c r="AD506">
        <f t="shared" si="210"/>
        <v>0</v>
      </c>
      <c r="AE506">
        <f t="shared" si="213"/>
        <v>0</v>
      </c>
    </row>
    <row r="507" spans="1:31" x14ac:dyDescent="0.25">
      <c r="A507" s="338">
        <v>66838.5</v>
      </c>
      <c r="B507" s="355">
        <f t="shared" si="206"/>
        <v>66.838499999999996</v>
      </c>
      <c r="C507" s="328">
        <f t="shared" si="188"/>
        <v>22.437056869375397</v>
      </c>
      <c r="D507" s="329">
        <f t="shared" si="189"/>
        <v>1.526212432840693</v>
      </c>
      <c r="E507" s="329">
        <f t="shared" si="190"/>
        <v>1.0003840498620371</v>
      </c>
      <c r="F507" s="330">
        <f t="shared" si="191"/>
        <v>2.771017828851921E-2</v>
      </c>
      <c r="G507" s="329">
        <f t="shared" si="192"/>
        <v>1</v>
      </c>
      <c r="H507" s="330">
        <f t="shared" si="193"/>
        <v>0</v>
      </c>
      <c r="I507" s="328">
        <f t="shared" si="194"/>
        <v>121219.89309679663</v>
      </c>
      <c r="J507" s="331">
        <f t="shared" si="195"/>
        <v>1.5707880773238365</v>
      </c>
      <c r="K507" s="339">
        <f t="shared" si="211"/>
        <v>19.843063881655667</v>
      </c>
      <c r="L507" s="340">
        <f t="shared" si="212"/>
        <v>1.5203795275593874</v>
      </c>
      <c r="M507" s="328">
        <f t="shared" si="196"/>
        <v>1.0505301729859327</v>
      </c>
      <c r="N507" s="331">
        <f t="shared" si="197"/>
        <v>0.31141710871375411</v>
      </c>
      <c r="O507" s="332">
        <f t="shared" si="198"/>
        <v>1.0207549339427193</v>
      </c>
      <c r="P507" s="333">
        <f t="shared" si="199"/>
        <v>0.47510983112379862</v>
      </c>
      <c r="Q507" s="334">
        <f t="shared" si="200"/>
        <v>-6.2179546009041653</v>
      </c>
      <c r="R507" s="335">
        <f t="shared" si="201"/>
        <v>-133.81072620848903</v>
      </c>
      <c r="S507" s="337">
        <f t="shared" si="202"/>
        <v>46.189273791510971</v>
      </c>
      <c r="U507" s="310">
        <f t="shared" si="207"/>
        <v>66838.5</v>
      </c>
      <c r="V507" s="310">
        <f t="shared" si="208"/>
        <v>4467385082.25</v>
      </c>
      <c r="X507" s="336">
        <f t="shared" si="203"/>
        <v>0.88258512080972729</v>
      </c>
      <c r="Y507" s="337">
        <f t="shared" si="209"/>
        <v>-20.731083174031667</v>
      </c>
      <c r="AA507" s="336">
        <f t="shared" si="204"/>
        <v>-7.1005397217138944</v>
      </c>
      <c r="AB507" s="337">
        <f t="shared" si="205"/>
        <v>-113.07964303445738</v>
      </c>
      <c r="AD507">
        <f t="shared" si="210"/>
        <v>0</v>
      </c>
      <c r="AE507">
        <f t="shared" si="213"/>
        <v>0</v>
      </c>
    </row>
    <row r="508" spans="1:31" x14ac:dyDescent="0.25">
      <c r="A508" s="338">
        <v>67223.25</v>
      </c>
      <c r="B508" s="355">
        <f t="shared" si="206"/>
        <v>67.223249999999993</v>
      </c>
      <c r="C508" s="328">
        <f t="shared" si="188"/>
        <v>22.565958006227792</v>
      </c>
      <c r="D508" s="329">
        <f t="shared" si="189"/>
        <v>1.5264672721333705</v>
      </c>
      <c r="E508" s="329">
        <f t="shared" si="190"/>
        <v>1.0003884832261642</v>
      </c>
      <c r="F508" s="330">
        <f t="shared" si="191"/>
        <v>2.7869607167240337E-2</v>
      </c>
      <c r="G508" s="329">
        <f t="shared" si="192"/>
        <v>1</v>
      </c>
      <c r="H508" s="330">
        <f t="shared" si="193"/>
        <v>0</v>
      </c>
      <c r="I508" s="328">
        <f t="shared" si="194"/>
        <v>121917.68484654905</v>
      </c>
      <c r="J508" s="331">
        <f t="shared" si="195"/>
        <v>1.5707881245394053</v>
      </c>
      <c r="K508" s="339">
        <f t="shared" si="211"/>
        <v>19.956999480592604</v>
      </c>
      <c r="L508" s="340">
        <f t="shared" si="212"/>
        <v>1.5206676018513701</v>
      </c>
      <c r="M508" s="328">
        <f t="shared" si="196"/>
        <v>1.0510994070744393</v>
      </c>
      <c r="N508" s="331">
        <f t="shared" si="197"/>
        <v>0.31309517182492946</v>
      </c>
      <c r="O508" s="332">
        <f t="shared" si="198"/>
        <v>1.0210408327511369</v>
      </c>
      <c r="P508" s="333">
        <f t="shared" si="199"/>
        <v>0.47792817199337412</v>
      </c>
      <c r="Q508" s="334">
        <f t="shared" si="200"/>
        <v>-6.274937406397763</v>
      </c>
      <c r="R508" s="335">
        <f t="shared" si="201"/>
        <v>-134.05731505803098</v>
      </c>
      <c r="S508" s="337">
        <f t="shared" si="202"/>
        <v>45.94268494196902</v>
      </c>
      <c r="U508" s="310">
        <f t="shared" si="207"/>
        <v>67223.25</v>
      </c>
      <c r="V508" s="310">
        <f t="shared" si="208"/>
        <v>4518965340.5625</v>
      </c>
      <c r="X508" s="336">
        <f t="shared" si="203"/>
        <v>0.87775401283863952</v>
      </c>
      <c r="Y508" s="337">
        <f t="shared" si="209"/>
        <v>-20.810726372285615</v>
      </c>
      <c r="AA508" s="336">
        <f t="shared" si="204"/>
        <v>-7.1526914192364046</v>
      </c>
      <c r="AB508" s="337">
        <f t="shared" si="205"/>
        <v>-113.24658868574535</v>
      </c>
      <c r="AD508">
        <f t="shared" si="210"/>
        <v>0</v>
      </c>
      <c r="AE508">
        <f t="shared" si="213"/>
        <v>0</v>
      </c>
    </row>
    <row r="509" spans="1:31" x14ac:dyDescent="0.25">
      <c r="A509" s="338">
        <v>67608</v>
      </c>
      <c r="B509" s="355">
        <f t="shared" si="206"/>
        <v>67.608000000000004</v>
      </c>
      <c r="C509" s="328">
        <f t="shared" si="188"/>
        <v>22.694860591935239</v>
      </c>
      <c r="D509" s="329">
        <f t="shared" si="189"/>
        <v>1.5267192165627181</v>
      </c>
      <c r="E509" s="329">
        <f t="shared" si="190"/>
        <v>1.0003929420175075</v>
      </c>
      <c r="F509" s="330">
        <f t="shared" si="191"/>
        <v>2.8029034628851923E-2</v>
      </c>
      <c r="G509" s="329">
        <f t="shared" si="192"/>
        <v>1</v>
      </c>
      <c r="H509" s="330">
        <f t="shared" si="193"/>
        <v>0</v>
      </c>
      <c r="I509" s="328">
        <f t="shared" si="194"/>
        <v>122615.47659630176</v>
      </c>
      <c r="J509" s="331">
        <f t="shared" si="195"/>
        <v>1.5707881712175766</v>
      </c>
      <c r="K509" s="339">
        <f t="shared" si="211"/>
        <v>20.070936716893986</v>
      </c>
      <c r="L509" s="340">
        <f t="shared" si="212"/>
        <v>1.5209524055283141</v>
      </c>
      <c r="M509" s="328">
        <f t="shared" si="196"/>
        <v>1.0516715977404347</v>
      </c>
      <c r="N509" s="331">
        <f t="shared" si="197"/>
        <v>0.31477141365979222</v>
      </c>
      <c r="O509" s="332">
        <f t="shared" si="198"/>
        <v>1.0213294134740702</v>
      </c>
      <c r="P509" s="333">
        <f t="shared" si="199"/>
        <v>0.48074768232480136</v>
      </c>
      <c r="Q509" s="334">
        <f t="shared" si="200"/>
        <v>-6.3316789867957324</v>
      </c>
      <c r="R509" s="335">
        <f t="shared" si="201"/>
        <v>-134.30388814074604</v>
      </c>
      <c r="S509" s="337">
        <f t="shared" si="202"/>
        <v>45.696111859253961</v>
      </c>
      <c r="U509" s="310">
        <f t="shared" si="207"/>
        <v>67608</v>
      </c>
      <c r="V509" s="310">
        <f t="shared" si="208"/>
        <v>4570841664</v>
      </c>
      <c r="X509" s="336">
        <f t="shared" si="203"/>
        <v>0.87290317328225142</v>
      </c>
      <c r="Y509" s="337">
        <f t="shared" si="209"/>
        <v>-20.89045258074113</v>
      </c>
      <c r="AA509" s="336">
        <f t="shared" si="204"/>
        <v>-7.2045821600779867</v>
      </c>
      <c r="AB509" s="337">
        <f t="shared" si="205"/>
        <v>-113.41343556000493</v>
      </c>
      <c r="AD509">
        <f t="shared" si="210"/>
        <v>0</v>
      </c>
      <c r="AE509">
        <f t="shared" si="213"/>
        <v>0</v>
      </c>
    </row>
    <row r="510" spans="1:31" x14ac:dyDescent="0.25">
      <c r="A510" s="338">
        <v>68001.75</v>
      </c>
      <c r="B510" s="355">
        <f t="shared" si="206"/>
        <v>68.001750000000001</v>
      </c>
      <c r="C510" s="328">
        <f t="shared" si="188"/>
        <v>22.826779917282785</v>
      </c>
      <c r="D510" s="329">
        <f t="shared" si="189"/>
        <v>1.5269741083383293</v>
      </c>
      <c r="E510" s="329">
        <f t="shared" si="190"/>
        <v>1.0003975314340641</v>
      </c>
      <c r="F510" s="330">
        <f t="shared" si="191"/>
        <v>2.8192189912154202E-2</v>
      </c>
      <c r="G510" s="329">
        <f t="shared" si="192"/>
        <v>1</v>
      </c>
      <c r="H510" s="330">
        <f t="shared" si="193"/>
        <v>0</v>
      </c>
      <c r="I510" s="328">
        <f t="shared" si="194"/>
        <v>123329.59096008402</v>
      </c>
      <c r="J510" s="331">
        <f t="shared" si="195"/>
        <v>1.570788218440752</v>
      </c>
      <c r="K510" s="339">
        <f t="shared" si="211"/>
        <v>20.18754081804143</v>
      </c>
      <c r="L510" s="340">
        <f t="shared" si="212"/>
        <v>1.5212405427462528</v>
      </c>
      <c r="M510" s="328">
        <f t="shared" si="196"/>
        <v>1.0522602290765863</v>
      </c>
      <c r="N510" s="331">
        <f t="shared" si="197"/>
        <v>0.31648497343059157</v>
      </c>
      <c r="O510" s="332">
        <f t="shared" si="198"/>
        <v>1.0216275390919813</v>
      </c>
      <c r="P510" s="333">
        <f t="shared" si="199"/>
        <v>0.48363435602991334</v>
      </c>
      <c r="Q510" s="334">
        <f t="shared" si="200"/>
        <v>-6.3895015313736909</v>
      </c>
      <c r="R510" s="335">
        <f t="shared" si="201"/>
        <v>-134.55621187699569</v>
      </c>
      <c r="S510" s="337">
        <f t="shared" si="202"/>
        <v>45.44378812300431</v>
      </c>
      <c r="U510" s="310">
        <f t="shared" si="207"/>
        <v>68001.75</v>
      </c>
      <c r="V510" s="310">
        <f t="shared" si="208"/>
        <v>4624238003.0625</v>
      </c>
      <c r="X510" s="336">
        <f t="shared" si="203"/>
        <v>0.8679184644267004</v>
      </c>
      <c r="Y510" s="337">
        <f t="shared" si="209"/>
        <v>-20.972125982824782</v>
      </c>
      <c r="AA510" s="336">
        <f t="shared" si="204"/>
        <v>-7.257419995800392</v>
      </c>
      <c r="AB510" s="337">
        <f t="shared" si="205"/>
        <v>-113.58408589417085</v>
      </c>
      <c r="AD510">
        <f t="shared" si="210"/>
        <v>0</v>
      </c>
      <c r="AE510">
        <f t="shared" si="213"/>
        <v>0</v>
      </c>
    </row>
    <row r="511" spans="1:31" x14ac:dyDescent="0.25">
      <c r="A511" s="338">
        <v>68395.5</v>
      </c>
      <c r="B511" s="355">
        <f t="shared" si="206"/>
        <v>68.395499999999998</v>
      </c>
      <c r="C511" s="328">
        <f t="shared" si="188"/>
        <v>22.95870070863894</v>
      </c>
      <c r="D511" s="329">
        <f t="shared" si="189"/>
        <v>1.5272260709117127</v>
      </c>
      <c r="E511" s="329">
        <f t="shared" si="190"/>
        <v>1.0004021474806046</v>
      </c>
      <c r="F511" s="330">
        <f t="shared" si="191"/>
        <v>2.8355343694140278E-2</v>
      </c>
      <c r="G511" s="329">
        <f t="shared" si="192"/>
        <v>1</v>
      </c>
      <c r="H511" s="330">
        <f t="shared" si="193"/>
        <v>0</v>
      </c>
      <c r="I511" s="328">
        <f t="shared" si="194"/>
        <v>124043.70532386657</v>
      </c>
      <c r="J511" s="331">
        <f t="shared" si="195"/>
        <v>1.5707882651202039</v>
      </c>
      <c r="K511" s="339">
        <f t="shared" si="211"/>
        <v>20.304146575969668</v>
      </c>
      <c r="L511" s="340">
        <f t="shared" si="212"/>
        <v>1.5215253704706568</v>
      </c>
      <c r="M511" s="328">
        <f t="shared" si="196"/>
        <v>1.0528519466907345</v>
      </c>
      <c r="N511" s="331">
        <f t="shared" si="197"/>
        <v>0.31819661213313483</v>
      </c>
      <c r="O511" s="332">
        <f t="shared" si="198"/>
        <v>1.0219285096207438</v>
      </c>
      <c r="P511" s="333">
        <f t="shared" si="199"/>
        <v>0.48652225258713694</v>
      </c>
      <c r="Q511" s="334">
        <f t="shared" si="200"/>
        <v>-6.4470783424107214</v>
      </c>
      <c r="R511" s="335">
        <f t="shared" si="201"/>
        <v>-134.80851745235984</v>
      </c>
      <c r="S511" s="337">
        <f t="shared" si="202"/>
        <v>45.191482547640163</v>
      </c>
      <c r="U511" s="310">
        <f t="shared" si="207"/>
        <v>68395.5</v>
      </c>
      <c r="V511" s="310">
        <f t="shared" si="208"/>
        <v>4677944420.25</v>
      </c>
      <c r="X511" s="336">
        <f t="shared" si="203"/>
        <v>0.86291315252137801</v>
      </c>
      <c r="Y511" s="337">
        <f t="shared" si="209"/>
        <v>-21.053878904664078</v>
      </c>
      <c r="AA511" s="336">
        <f t="shared" si="204"/>
        <v>-7.3099914949321043</v>
      </c>
      <c r="AB511" s="337">
        <f t="shared" si="205"/>
        <v>-113.75463854769575</v>
      </c>
      <c r="AD511">
        <f t="shared" si="210"/>
        <v>0</v>
      </c>
      <c r="AE511">
        <f t="shared" si="213"/>
        <v>0</v>
      </c>
    </row>
    <row r="512" spans="1:31" x14ac:dyDescent="0.25">
      <c r="A512" s="338">
        <v>68789.25</v>
      </c>
      <c r="B512" s="355">
        <f t="shared" si="206"/>
        <v>68.789249999999996</v>
      </c>
      <c r="C512" s="328">
        <f t="shared" si="188"/>
        <v>23.090622940877012</v>
      </c>
      <c r="D512" s="329">
        <f t="shared" si="189"/>
        <v>1.527475154456291</v>
      </c>
      <c r="E512" s="329">
        <f t="shared" si="190"/>
        <v>1.0004067901567604</v>
      </c>
      <c r="F512" s="330">
        <f t="shared" si="191"/>
        <v>2.8518495966144961E-2</v>
      </c>
      <c r="G512" s="329">
        <f t="shared" si="192"/>
        <v>1</v>
      </c>
      <c r="H512" s="330">
        <f t="shared" si="193"/>
        <v>0</v>
      </c>
      <c r="I512" s="328">
        <f t="shared" si="194"/>
        <v>124757.81968764939</v>
      </c>
      <c r="J512" s="331">
        <f t="shared" si="195"/>
        <v>1.5707883112652687</v>
      </c>
      <c r="K512" s="339">
        <f t="shared" si="211"/>
        <v>20.420753962297255</v>
      </c>
      <c r="L512" s="340">
        <f t="shared" si="212"/>
        <v>1.5218069453489089</v>
      </c>
      <c r="M512" s="328">
        <f t="shared" si="196"/>
        <v>1.0534467453822223</v>
      </c>
      <c r="N512" s="331">
        <f t="shared" si="197"/>
        <v>0.31990632298387289</v>
      </c>
      <c r="O512" s="332">
        <f t="shared" si="198"/>
        <v>1.0222323434105918</v>
      </c>
      <c r="P512" s="333">
        <f t="shared" si="199"/>
        <v>0.48941137080145719</v>
      </c>
      <c r="Q512" s="334">
        <f t="shared" si="200"/>
        <v>-6.5044128262521816</v>
      </c>
      <c r="R512" s="335">
        <f t="shared" si="201"/>
        <v>-135.06080403980141</v>
      </c>
      <c r="S512" s="337">
        <f t="shared" si="202"/>
        <v>44.939195960198589</v>
      </c>
      <c r="U512" s="310">
        <f t="shared" si="207"/>
        <v>68789.25</v>
      </c>
      <c r="V512" s="310">
        <f t="shared" si="208"/>
        <v>4731960915.5625</v>
      </c>
      <c r="X512" s="336">
        <f t="shared" si="203"/>
        <v>0.85788727154684663</v>
      </c>
      <c r="Y512" s="337">
        <f t="shared" si="209"/>
        <v>-21.135707712469298</v>
      </c>
      <c r="AA512" s="336">
        <f t="shared" si="204"/>
        <v>-7.3623000977990305</v>
      </c>
      <c r="AB512" s="337">
        <f t="shared" si="205"/>
        <v>-113.92509632733213</v>
      </c>
      <c r="AD512">
        <f t="shared" si="210"/>
        <v>0</v>
      </c>
      <c r="AE512">
        <f t="shared" si="213"/>
        <v>0</v>
      </c>
    </row>
    <row r="513" spans="1:31" x14ac:dyDescent="0.25">
      <c r="A513" s="338">
        <v>69183</v>
      </c>
      <c r="B513" s="355">
        <f t="shared" si="206"/>
        <v>69.183000000000007</v>
      </c>
      <c r="C513" s="328">
        <f t="shared" si="188"/>
        <v>23.222546589440988</v>
      </c>
      <c r="D513" s="329">
        <f t="shared" si="189"/>
        <v>1.5277214080068247</v>
      </c>
      <c r="E513" s="329">
        <f t="shared" si="190"/>
        <v>1.0004114594621607</v>
      </c>
      <c r="F513" s="330">
        <f t="shared" si="191"/>
        <v>2.8681646719503549E-2</v>
      </c>
      <c r="G513" s="329">
        <f t="shared" si="192"/>
        <v>1</v>
      </c>
      <c r="H513" s="330">
        <f t="shared" si="193"/>
        <v>0</v>
      </c>
      <c r="I513" s="328">
        <f t="shared" si="194"/>
        <v>125471.93405143244</v>
      </c>
      <c r="J513" s="331">
        <f t="shared" si="195"/>
        <v>1.5707883568850711</v>
      </c>
      <c r="K513" s="339">
        <f t="shared" si="211"/>
        <v>20.537362949286926</v>
      </c>
      <c r="L513" s="340">
        <f t="shared" si="212"/>
        <v>1.5220853227439306</v>
      </c>
      <c r="M513" s="328">
        <f t="shared" si="196"/>
        <v>1.0540446199350828</v>
      </c>
      <c r="N513" s="331">
        <f t="shared" si="197"/>
        <v>0.32161409925961076</v>
      </c>
      <c r="O513" s="332">
        <f t="shared" si="198"/>
        <v>1.0225390588864167</v>
      </c>
      <c r="P513" s="333">
        <f t="shared" si="199"/>
        <v>0.49230170934060863</v>
      </c>
      <c r="Q513" s="334">
        <f t="shared" si="200"/>
        <v>-6.5615083318019174</v>
      </c>
      <c r="R513" s="335">
        <f t="shared" si="201"/>
        <v>-135.31307081621878</v>
      </c>
      <c r="S513" s="337">
        <f t="shared" si="202"/>
        <v>44.686929183781217</v>
      </c>
      <c r="U513" s="310">
        <f t="shared" si="207"/>
        <v>69183</v>
      </c>
      <c r="V513" s="310">
        <f t="shared" si="208"/>
        <v>4786287489</v>
      </c>
      <c r="X513" s="336">
        <f t="shared" si="203"/>
        <v>0.85284085702516876</v>
      </c>
      <c r="Y513" s="337">
        <f t="shared" si="209"/>
        <v>-21.217608849490794</v>
      </c>
      <c r="AA513" s="336">
        <f t="shared" si="204"/>
        <v>-7.414349188827086</v>
      </c>
      <c r="AB513" s="337">
        <f t="shared" si="205"/>
        <v>-114.09546196672802</v>
      </c>
      <c r="AD513">
        <f t="shared" si="210"/>
        <v>0</v>
      </c>
      <c r="AE513">
        <f t="shared" si="213"/>
        <v>0</v>
      </c>
    </row>
    <row r="514" spans="1:31" x14ac:dyDescent="0.25">
      <c r="A514" s="338">
        <v>69586</v>
      </c>
      <c r="B514" s="355">
        <f t="shared" si="206"/>
        <v>69.585999999999999</v>
      </c>
      <c r="C514" s="328">
        <f t="shared" si="188"/>
        <v>23.357570838313375</v>
      </c>
      <c r="D514" s="329">
        <f t="shared" si="189"/>
        <v>1.5279705660751874</v>
      </c>
      <c r="E514" s="329">
        <f t="shared" si="190"/>
        <v>1.0004162660337472</v>
      </c>
      <c r="F514" s="330">
        <f t="shared" si="191"/>
        <v>2.884862863909728E-2</v>
      </c>
      <c r="G514" s="329">
        <f t="shared" si="192"/>
        <v>1</v>
      </c>
      <c r="H514" s="330">
        <f t="shared" si="193"/>
        <v>0</v>
      </c>
      <c r="I514" s="328">
        <f t="shared" si="194"/>
        <v>126202.82443519037</v>
      </c>
      <c r="J514" s="331">
        <f t="shared" si="195"/>
        <v>1.5707884030419657</v>
      </c>
      <c r="K514" s="339">
        <f t="shared" si="211"/>
        <v>20.656712951220605</v>
      </c>
      <c r="L514" s="340">
        <f t="shared" si="212"/>
        <v>1.5223669852274204</v>
      </c>
      <c r="M514" s="328">
        <f t="shared" si="196"/>
        <v>1.0546597194331477</v>
      </c>
      <c r="N514" s="331">
        <f t="shared" si="197"/>
        <v>0.32335998449135245</v>
      </c>
      <c r="O514" s="332">
        <f t="shared" si="198"/>
        <v>1.0228559830742918</v>
      </c>
      <c r="P514" s="333">
        <f t="shared" si="199"/>
        <v>0.49526121002472651</v>
      </c>
      <c r="Q514" s="334">
        <f t="shared" si="200"/>
        <v>-6.619701099286476</v>
      </c>
      <c r="R514" s="335">
        <f t="shared" si="201"/>
        <v>-135.57124249001808</v>
      </c>
      <c r="S514" s="337">
        <f t="shared" si="202"/>
        <v>44.428757509981921</v>
      </c>
      <c r="U514" s="310">
        <f t="shared" si="207"/>
        <v>69586</v>
      </c>
      <c r="V514" s="310">
        <f t="shared" si="208"/>
        <v>4842211396</v>
      </c>
      <c r="X514" s="336">
        <f t="shared" si="203"/>
        <v>0.84765466767345432</v>
      </c>
      <c r="Y514" s="337">
        <f t="shared" si="209"/>
        <v>-21.301505277923784</v>
      </c>
      <c r="AA514" s="336">
        <f t="shared" si="204"/>
        <v>-7.4673557669599298</v>
      </c>
      <c r="AB514" s="337">
        <f t="shared" si="205"/>
        <v>-114.26973721209431</v>
      </c>
      <c r="AD514">
        <f t="shared" si="210"/>
        <v>0</v>
      </c>
      <c r="AE514">
        <f t="shared" si="213"/>
        <v>0</v>
      </c>
    </row>
    <row r="515" spans="1:31" x14ac:dyDescent="0.25">
      <c r="A515" s="338">
        <v>69989</v>
      </c>
      <c r="B515" s="355">
        <f t="shared" si="206"/>
        <v>69.989000000000004</v>
      </c>
      <c r="C515" s="328">
        <f t="shared" si="188"/>
        <v>23.492596520549519</v>
      </c>
      <c r="D515" s="329">
        <f t="shared" si="189"/>
        <v>1.52821686004462</v>
      </c>
      <c r="E515" s="329">
        <f t="shared" si="190"/>
        <v>1.0004211004996333</v>
      </c>
      <c r="F515" s="330">
        <f t="shared" si="191"/>
        <v>2.9015608949489693E-2</v>
      </c>
      <c r="G515" s="329">
        <f t="shared" si="192"/>
        <v>1</v>
      </c>
      <c r="H515" s="330">
        <f t="shared" si="193"/>
        <v>0</v>
      </c>
      <c r="I515" s="328">
        <f t="shared" si="194"/>
        <v>126933.71481894856</v>
      </c>
      <c r="J515" s="331">
        <f t="shared" si="195"/>
        <v>1.5707884486673129</v>
      </c>
      <c r="K515" s="339">
        <f t="shared" si="211"/>
        <v>20.776064573100623</v>
      </c>
      <c r="L515" s="340">
        <f t="shared" si="212"/>
        <v>1.5226454116171022</v>
      </c>
      <c r="M515" s="328">
        <f t="shared" si="196"/>
        <v>1.0552780299022759</v>
      </c>
      <c r="N515" s="331">
        <f t="shared" si="197"/>
        <v>0.32510382912870156</v>
      </c>
      <c r="O515" s="332">
        <f t="shared" si="198"/>
        <v>1.0231759652237014</v>
      </c>
      <c r="P515" s="333">
        <f t="shared" si="199"/>
        <v>0.498221985776507</v>
      </c>
      <c r="Q515" s="334">
        <f t="shared" si="200"/>
        <v>-6.6776504482871504</v>
      </c>
      <c r="R515" s="335">
        <f t="shared" si="201"/>
        <v>-135.82939167784815</v>
      </c>
      <c r="S515" s="337">
        <f t="shared" si="202"/>
        <v>44.17060832215185</v>
      </c>
      <c r="U515" s="310">
        <f t="shared" si="207"/>
        <v>69989</v>
      </c>
      <c r="V515" s="310">
        <f t="shared" si="208"/>
        <v>4898460121</v>
      </c>
      <c r="X515" s="336">
        <f t="shared" si="203"/>
        <v>0.84244704871745424</v>
      </c>
      <c r="Y515" s="337">
        <f t="shared" si="209"/>
        <v>-21.385470172972365</v>
      </c>
      <c r="AA515" s="336">
        <f t="shared" si="204"/>
        <v>-7.5200974970046044</v>
      </c>
      <c r="AB515" s="337">
        <f t="shared" si="205"/>
        <v>-114.44392150487577</v>
      </c>
      <c r="AD515">
        <f t="shared" si="210"/>
        <v>0</v>
      </c>
      <c r="AE515">
        <f t="shared" si="213"/>
        <v>0</v>
      </c>
    </row>
    <row r="516" spans="1:31" x14ac:dyDescent="0.25">
      <c r="A516" s="338">
        <v>70392</v>
      </c>
      <c r="B516" s="355">
        <f t="shared" si="206"/>
        <v>70.391999999999996</v>
      </c>
      <c r="C516" s="328">
        <f t="shared" si="188"/>
        <v>23.627623611575522</v>
      </c>
      <c r="D516" s="329">
        <f t="shared" si="189"/>
        <v>1.5284603389882208</v>
      </c>
      <c r="E516" s="329">
        <f t="shared" si="190"/>
        <v>1.0004259628594148</v>
      </c>
      <c r="F516" s="330">
        <f t="shared" si="191"/>
        <v>2.9182587641392546E-2</v>
      </c>
      <c r="G516" s="329">
        <f t="shared" si="192"/>
        <v>1</v>
      </c>
      <c r="H516" s="330">
        <f t="shared" si="193"/>
        <v>0</v>
      </c>
      <c r="I516" s="328">
        <f t="shared" si="194"/>
        <v>127664.60520270703</v>
      </c>
      <c r="J516" s="331">
        <f t="shared" si="195"/>
        <v>1.5707884937702425</v>
      </c>
      <c r="K516" s="339">
        <f t="shared" si="211"/>
        <v>20.895417787168281</v>
      </c>
      <c r="L516" s="340">
        <f t="shared" si="212"/>
        <v>1.5229206573224807</v>
      </c>
      <c r="M516" s="328">
        <f t="shared" si="196"/>
        <v>1.0558995457016547</v>
      </c>
      <c r="N516" s="331">
        <f t="shared" si="197"/>
        <v>0.32684562615973611</v>
      </c>
      <c r="O516" s="332">
        <f t="shared" si="198"/>
        <v>1.0234990253275973</v>
      </c>
      <c r="P516" s="333">
        <f t="shared" si="199"/>
        <v>0.50118403471762563</v>
      </c>
      <c r="Q516" s="334">
        <f t="shared" si="200"/>
        <v>-6.7353597907913629</v>
      </c>
      <c r="R516" s="335">
        <f t="shared" si="201"/>
        <v>-136.08751750834128</v>
      </c>
      <c r="S516" s="337">
        <f t="shared" si="202"/>
        <v>43.912482491658722</v>
      </c>
      <c r="U516" s="310">
        <f t="shared" si="207"/>
        <v>70392</v>
      </c>
      <c r="V516" s="310">
        <f t="shared" si="208"/>
        <v>4955033664</v>
      </c>
      <c r="X516" s="336">
        <f t="shared" si="203"/>
        <v>0.83721804293425661</v>
      </c>
      <c r="Y516" s="337">
        <f t="shared" si="209"/>
        <v>-21.4694999586753</v>
      </c>
      <c r="AA516" s="336">
        <f t="shared" si="204"/>
        <v>-7.5725778337256235</v>
      </c>
      <c r="AB516" s="337">
        <f t="shared" si="205"/>
        <v>-114.61801754966599</v>
      </c>
      <c r="AD516">
        <f t="shared" si="210"/>
        <v>0</v>
      </c>
      <c r="AE516">
        <f t="shared" si="213"/>
        <v>0</v>
      </c>
    </row>
    <row r="517" spans="1:31" x14ac:dyDescent="0.25">
      <c r="A517" s="338">
        <v>70795</v>
      </c>
      <c r="B517" s="355">
        <f t="shared" si="206"/>
        <v>70.795000000000002</v>
      </c>
      <c r="C517" s="328">
        <f t="shared" si="188"/>
        <v>23.762652087375791</v>
      </c>
      <c r="D517" s="329">
        <f t="shared" si="189"/>
        <v>1.5287010508650329</v>
      </c>
      <c r="E517" s="329">
        <f t="shared" si="190"/>
        <v>1.0004308531126849</v>
      </c>
      <c r="F517" s="330">
        <f t="shared" si="191"/>
        <v>2.9349564705518149E-2</v>
      </c>
      <c r="G517" s="329">
        <f t="shared" si="192"/>
        <v>1</v>
      </c>
      <c r="H517" s="330">
        <f t="shared" si="193"/>
        <v>0</v>
      </c>
      <c r="I517" s="328">
        <f t="shared" si="194"/>
        <v>128395.49558646574</v>
      </c>
      <c r="J517" s="331">
        <f t="shared" si="195"/>
        <v>1.5707885383596758</v>
      </c>
      <c r="K517" s="339">
        <f t="shared" si="211"/>
        <v>21.014772566295132</v>
      </c>
      <c r="L517" s="340">
        <f t="shared" si="212"/>
        <v>1.523192776496207</v>
      </c>
      <c r="M517" s="328">
        <f t="shared" si="196"/>
        <v>1.0565242611745373</v>
      </c>
      <c r="N517" s="331">
        <f t="shared" si="197"/>
        <v>0.32858536863868781</v>
      </c>
      <c r="O517" s="332">
        <f t="shared" si="198"/>
        <v>1.0238251834580301</v>
      </c>
      <c r="P517" s="333">
        <f t="shared" si="199"/>
        <v>0.50414735481695161</v>
      </c>
      <c r="Q517" s="334">
        <f t="shared" si="200"/>
        <v>-6.7928324812986896</v>
      </c>
      <c r="R517" s="335">
        <f t="shared" si="201"/>
        <v>-136.34561911333481</v>
      </c>
      <c r="S517" s="337">
        <f t="shared" si="202"/>
        <v>43.654380886665194</v>
      </c>
      <c r="U517" s="310">
        <f t="shared" si="207"/>
        <v>70795</v>
      </c>
      <c r="V517" s="310">
        <f t="shared" si="208"/>
        <v>5011932025</v>
      </c>
      <c r="X517" s="336">
        <f t="shared" si="203"/>
        <v>0.83196769458005471</v>
      </c>
      <c r="Y517" s="337">
        <f t="shared" si="209"/>
        <v>-21.553591134862188</v>
      </c>
      <c r="AA517" s="336">
        <f t="shared" si="204"/>
        <v>-7.624800175878744</v>
      </c>
      <c r="AB517" s="337">
        <f t="shared" si="205"/>
        <v>-114.7920279784726</v>
      </c>
      <c r="AD517">
        <f t="shared" si="210"/>
        <v>0</v>
      </c>
      <c r="AE517">
        <f t="shared" si="213"/>
        <v>0</v>
      </c>
    </row>
    <row r="518" spans="1:31" x14ac:dyDescent="0.25">
      <c r="A518" s="338">
        <v>71207.25</v>
      </c>
      <c r="B518" s="355">
        <f t="shared" si="206"/>
        <v>71.207250000000002</v>
      </c>
      <c r="C518" s="328">
        <f t="shared" si="188"/>
        <v>23.900781260358418</v>
      </c>
      <c r="D518" s="329">
        <f t="shared" si="189"/>
        <v>1.5289444735699487</v>
      </c>
      <c r="E518" s="329">
        <f t="shared" si="190"/>
        <v>1.0004358844719847</v>
      </c>
      <c r="F518" s="330">
        <f t="shared" si="191"/>
        <v>2.9520372675818751E-2</v>
      </c>
      <c r="G518" s="329">
        <f t="shared" si="192"/>
        <v>1</v>
      </c>
      <c r="H518" s="330">
        <f t="shared" si="193"/>
        <v>0</v>
      </c>
      <c r="I518" s="328">
        <f t="shared" si="194"/>
        <v>129143.16199019931</v>
      </c>
      <c r="J518" s="331">
        <f t="shared" si="195"/>
        <v>1.5707885834503432</v>
      </c>
      <c r="K518" s="339">
        <f t="shared" si="211"/>
        <v>21.136868469906613</v>
      </c>
      <c r="L518" s="340">
        <f t="shared" si="212"/>
        <v>1.523467961761434</v>
      </c>
      <c r="M518" s="328">
        <f t="shared" si="196"/>
        <v>1.0571666204147632</v>
      </c>
      <c r="N518" s="331">
        <f t="shared" si="197"/>
        <v>0.33036291016963709</v>
      </c>
      <c r="O518" s="332">
        <f t="shared" si="198"/>
        <v>1.0241620543631877</v>
      </c>
      <c r="P518" s="333">
        <f t="shared" si="199"/>
        <v>0.5071800045483289</v>
      </c>
      <c r="Q518" s="334">
        <f t="shared" si="200"/>
        <v>-6.8513829104876178</v>
      </c>
      <c r="R518" s="335">
        <f t="shared" si="201"/>
        <v>-136.60961891866563</v>
      </c>
      <c r="S518" s="337">
        <f t="shared" si="202"/>
        <v>43.390381081334368</v>
      </c>
      <c r="U518" s="310">
        <f t="shared" si="207"/>
        <v>71207.25</v>
      </c>
      <c r="V518" s="310">
        <f t="shared" si="208"/>
        <v>5070472452.5625</v>
      </c>
      <c r="X518" s="336">
        <f t="shared" si="203"/>
        <v>0.82657480038771691</v>
      </c>
      <c r="Y518" s="337">
        <f t="shared" si="209"/>
        <v>-21.639672391816401</v>
      </c>
      <c r="AA518" s="336">
        <f t="shared" si="204"/>
        <v>-7.6779577108753365</v>
      </c>
      <c r="AB518" s="337">
        <f t="shared" si="205"/>
        <v>-114.96994652684921</v>
      </c>
      <c r="AD518">
        <f t="shared" si="210"/>
        <v>0</v>
      </c>
      <c r="AE518">
        <f t="shared" si="213"/>
        <v>0</v>
      </c>
    </row>
    <row r="519" spans="1:31" x14ac:dyDescent="0.25">
      <c r="A519" s="338">
        <v>71619.5</v>
      </c>
      <c r="B519" s="355">
        <f t="shared" si="206"/>
        <v>71.619500000000002</v>
      </c>
      <c r="C519" s="328">
        <f t="shared" si="188"/>
        <v>24.038911833297021</v>
      </c>
      <c r="D519" s="329">
        <f t="shared" si="189"/>
        <v>1.529185098814797</v>
      </c>
      <c r="E519" s="329">
        <f t="shared" si="190"/>
        <v>1.0004409450190703</v>
      </c>
      <c r="F519" s="330">
        <f t="shared" si="191"/>
        <v>2.9691178923101049E-2</v>
      </c>
      <c r="G519" s="329">
        <f t="shared" si="192"/>
        <v>1</v>
      </c>
      <c r="H519" s="330">
        <f t="shared" si="193"/>
        <v>0</v>
      </c>
      <c r="I519" s="328">
        <f t="shared" si="194"/>
        <v>129890.82839393316</v>
      </c>
      <c r="J519" s="331">
        <f t="shared" si="195"/>
        <v>1.5707886280219165</v>
      </c>
      <c r="K519" s="339">
        <f t="shared" si="211"/>
        <v>21.258965955762491</v>
      </c>
      <c r="L519" s="340">
        <f t="shared" si="212"/>
        <v>1.5237399860815586</v>
      </c>
      <c r="M519" s="328">
        <f t="shared" si="196"/>
        <v>1.0578123158726778</v>
      </c>
      <c r="N519" s="331">
        <f t="shared" si="197"/>
        <v>0.3321382872588487</v>
      </c>
      <c r="O519" s="332">
        <f t="shared" si="198"/>
        <v>1.0245022098845782</v>
      </c>
      <c r="P519" s="333">
        <f t="shared" si="199"/>
        <v>0.51021397966953752</v>
      </c>
      <c r="Q519" s="334">
        <f t="shared" si="200"/>
        <v>-6.9096926218074657</v>
      </c>
      <c r="R519" s="335">
        <f t="shared" si="201"/>
        <v>-136.8735915450016</v>
      </c>
      <c r="S519" s="337">
        <f t="shared" si="202"/>
        <v>43.126408454998398</v>
      </c>
      <c r="U519" s="310">
        <f t="shared" si="207"/>
        <v>71619.5</v>
      </c>
      <c r="V519" s="310">
        <f t="shared" si="208"/>
        <v>5129352780.25</v>
      </c>
      <c r="X519" s="336">
        <f t="shared" si="203"/>
        <v>0.82115967084969288</v>
      </c>
      <c r="Y519" s="337">
        <f t="shared" si="209"/>
        <v>-21.725810714465862</v>
      </c>
      <c r="AA519" s="336">
        <f t="shared" si="204"/>
        <v>-7.7308522926571612</v>
      </c>
      <c r="AB519" s="337">
        <f t="shared" si="205"/>
        <v>-115.14778083053575</v>
      </c>
      <c r="AD519">
        <f t="shared" si="210"/>
        <v>0</v>
      </c>
      <c r="AE519">
        <f t="shared" si="213"/>
        <v>0</v>
      </c>
    </row>
    <row r="520" spans="1:31" x14ac:dyDescent="0.25">
      <c r="A520" s="338">
        <v>72031.75</v>
      </c>
      <c r="B520" s="355">
        <f t="shared" si="206"/>
        <v>72.031750000000002</v>
      </c>
      <c r="C520" s="328">
        <f t="shared" si="188"/>
        <v>24.177043782196531</v>
      </c>
      <c r="D520" s="329">
        <f t="shared" si="189"/>
        <v>1.5294229745200898</v>
      </c>
      <c r="E520" s="329">
        <f t="shared" si="190"/>
        <v>1.0004460347534987</v>
      </c>
      <c r="F520" s="330">
        <f t="shared" si="191"/>
        <v>2.9861983437424796E-2</v>
      </c>
      <c r="G520" s="329">
        <f t="shared" si="192"/>
        <v>1</v>
      </c>
      <c r="H520" s="330">
        <f t="shared" si="193"/>
        <v>0</v>
      </c>
      <c r="I520" s="328">
        <f t="shared" si="194"/>
        <v>130638.49479766726</v>
      </c>
      <c r="J520" s="331">
        <f t="shared" si="195"/>
        <v>1.5707886720833082</v>
      </c>
      <c r="K520" s="339">
        <f t="shared" si="211"/>
        <v>21.381064996756354</v>
      </c>
      <c r="L520" s="340">
        <f t="shared" si="212"/>
        <v>1.5240089035688003</v>
      </c>
      <c r="M520" s="328">
        <f t="shared" si="196"/>
        <v>1.0584613414426807</v>
      </c>
      <c r="N520" s="331">
        <f t="shared" si="197"/>
        <v>0.33391149268588377</v>
      </c>
      <c r="O520" s="332">
        <f t="shared" si="198"/>
        <v>1.0248456717604635</v>
      </c>
      <c r="P520" s="333">
        <f t="shared" si="199"/>
        <v>0.51324927750657068</v>
      </c>
      <c r="Q520" s="334">
        <f t="shared" si="200"/>
        <v>-6.9677650277387446</v>
      </c>
      <c r="R520" s="335">
        <f t="shared" si="201"/>
        <v>-137.13753607175423</v>
      </c>
      <c r="S520" s="337">
        <f t="shared" si="202"/>
        <v>42.862463928245774</v>
      </c>
      <c r="U520" s="310">
        <f t="shared" si="207"/>
        <v>72031.75</v>
      </c>
      <c r="V520" s="310">
        <f t="shared" si="208"/>
        <v>5188573008.0625</v>
      </c>
      <c r="X520" s="336">
        <f t="shared" si="203"/>
        <v>0.81572235783127556</v>
      </c>
      <c r="Y520" s="337">
        <f t="shared" si="209"/>
        <v>-21.812002589218718</v>
      </c>
      <c r="AA520" s="336">
        <f t="shared" si="204"/>
        <v>-7.7834873855700195</v>
      </c>
      <c r="AB520" s="337">
        <f t="shared" si="205"/>
        <v>-115.32553348253549</v>
      </c>
      <c r="AD520">
        <f t="shared" si="210"/>
        <v>0</v>
      </c>
      <c r="AE520">
        <f t="shared" si="213"/>
        <v>0</v>
      </c>
    </row>
    <row r="521" spans="1:31" x14ac:dyDescent="0.25">
      <c r="A521" s="338">
        <v>72444</v>
      </c>
      <c r="B521" s="355">
        <f t="shared" si="206"/>
        <v>72.444000000000003</v>
      </c>
      <c r="C521" s="328">
        <f t="shared" si="188"/>
        <v>24.315177083606869</v>
      </c>
      <c r="D521" s="329">
        <f t="shared" si="189"/>
        <v>1.529658147518663</v>
      </c>
      <c r="E521" s="329">
        <f t="shared" si="190"/>
        <v>1.0004511536748244</v>
      </c>
      <c r="F521" s="330">
        <f t="shared" si="191"/>
        <v>3.0032786208850352E-2</v>
      </c>
      <c r="G521" s="329">
        <f t="shared" si="192"/>
        <v>1</v>
      </c>
      <c r="H521" s="330">
        <f t="shared" si="193"/>
        <v>0</v>
      </c>
      <c r="I521" s="328">
        <f t="shared" si="194"/>
        <v>131386.16120140161</v>
      </c>
      <c r="J521" s="331">
        <f t="shared" si="195"/>
        <v>1.5707887156432283</v>
      </c>
      <c r="K521" s="339">
        <f t="shared" si="211"/>
        <v>21.50316556639709</v>
      </c>
      <c r="L521" s="340">
        <f t="shared" si="212"/>
        <v>1.5242747671081462</v>
      </c>
      <c r="M521" s="328">
        <f t="shared" si="196"/>
        <v>1.0591136910026879</v>
      </c>
      <c r="N521" s="331">
        <f t="shared" si="197"/>
        <v>0.33568251930258258</v>
      </c>
      <c r="O521" s="332">
        <f t="shared" si="198"/>
        <v>1.0251924618124444</v>
      </c>
      <c r="P521" s="333">
        <f t="shared" si="199"/>
        <v>0.51628589521581703</v>
      </c>
      <c r="Q521" s="334">
        <f t="shared" si="200"/>
        <v>-7.0256034833414205</v>
      </c>
      <c r="R521" s="335">
        <f t="shared" si="201"/>
        <v>-137.40145158074293</v>
      </c>
      <c r="S521" s="337">
        <f t="shared" si="202"/>
        <v>42.598548419257071</v>
      </c>
      <c r="U521" s="310">
        <f t="shared" si="207"/>
        <v>72444</v>
      </c>
      <c r="V521" s="310">
        <f t="shared" si="208"/>
        <v>5248133136</v>
      </c>
      <c r="X521" s="336">
        <f t="shared" si="203"/>
        <v>0.81026291461206157</v>
      </c>
      <c r="Y521" s="337">
        <f t="shared" si="209"/>
        <v>-21.898244576928082</v>
      </c>
      <c r="AA521" s="336">
        <f t="shared" si="204"/>
        <v>-7.8358663979534837</v>
      </c>
      <c r="AB521" s="337">
        <f t="shared" si="205"/>
        <v>-115.50320700381486</v>
      </c>
      <c r="AD521">
        <f t="shared" si="210"/>
        <v>0</v>
      </c>
      <c r="AE521">
        <f t="shared" si="213"/>
        <v>0</v>
      </c>
    </row>
    <row r="522" spans="1:31" x14ac:dyDescent="0.25">
      <c r="A522" s="338">
        <v>72865.75</v>
      </c>
      <c r="B522" s="355">
        <f t="shared" si="206"/>
        <v>72.865750000000006</v>
      </c>
      <c r="C522" s="328">
        <f t="shared" si="188"/>
        <v>24.456494941731378</v>
      </c>
      <c r="D522" s="329">
        <f t="shared" si="189"/>
        <v>1.5298959907879</v>
      </c>
      <c r="E522" s="329">
        <f t="shared" si="190"/>
        <v>1.0004564207610176</v>
      </c>
      <c r="F522" s="330">
        <f t="shared" si="191"/>
        <v>3.0207523191359071E-2</v>
      </c>
      <c r="G522" s="329">
        <f t="shared" si="192"/>
        <v>1</v>
      </c>
      <c r="H522" s="330">
        <f t="shared" si="193"/>
        <v>0</v>
      </c>
      <c r="I522" s="328">
        <f t="shared" si="194"/>
        <v>132151.05703105612</v>
      </c>
      <c r="J522" s="331">
        <f t="shared" si="195"/>
        <v>1.5707887596968917</v>
      </c>
      <c r="K522" s="339">
        <f t="shared" si="211"/>
        <v>21.628081409335937</v>
      </c>
      <c r="L522" s="340">
        <f t="shared" si="212"/>
        <v>1.524543650852471</v>
      </c>
      <c r="M522" s="328">
        <f t="shared" si="196"/>
        <v>1.0597845068515457</v>
      </c>
      <c r="N522" s="331">
        <f t="shared" si="197"/>
        <v>0.33749209585278805</v>
      </c>
      <c r="O522" s="332">
        <f t="shared" si="198"/>
        <v>1.0255507103322903</v>
      </c>
      <c r="P522" s="333">
        <f t="shared" si="199"/>
        <v>0.51939385226336032</v>
      </c>
      <c r="Q522" s="334">
        <f t="shared" si="200"/>
        <v>-7.0845361243594986</v>
      </c>
      <c r="R522" s="335">
        <f t="shared" si="201"/>
        <v>-137.67141784606599</v>
      </c>
      <c r="S522" s="337">
        <f t="shared" si="202"/>
        <v>42.328582153934008</v>
      </c>
      <c r="U522" s="310">
        <f t="shared" si="207"/>
        <v>72865.75</v>
      </c>
      <c r="V522" s="310">
        <f t="shared" si="208"/>
        <v>5309417523.0625</v>
      </c>
      <c r="X522" s="336">
        <f t="shared" si="203"/>
        <v>0.80465481846750753</v>
      </c>
      <c r="Y522" s="337">
        <f t="shared" si="209"/>
        <v>-21.986522296421072</v>
      </c>
      <c r="AA522" s="336">
        <f t="shared" si="204"/>
        <v>-7.8891909428270059</v>
      </c>
      <c r="AB522" s="337">
        <f t="shared" si="205"/>
        <v>-115.68489554964492</v>
      </c>
      <c r="AD522">
        <f t="shared" si="210"/>
        <v>0</v>
      </c>
      <c r="AE522">
        <f t="shared" si="213"/>
        <v>0</v>
      </c>
    </row>
    <row r="523" spans="1:31" x14ac:dyDescent="0.25">
      <c r="A523" s="338">
        <v>73287.5</v>
      </c>
      <c r="B523" s="355">
        <f t="shared" si="206"/>
        <v>73.287499999999994</v>
      </c>
      <c r="C523" s="328">
        <f t="shared" si="188"/>
        <v>24.597814167448917</v>
      </c>
      <c r="D523" s="329">
        <f t="shared" si="189"/>
        <v>1.5301311011586438</v>
      </c>
      <c r="E523" s="329">
        <f t="shared" si="190"/>
        <v>1.0004617183938374</v>
      </c>
      <c r="F523" s="330">
        <f t="shared" si="191"/>
        <v>3.0382258328672612E-2</v>
      </c>
      <c r="G523" s="329">
        <f t="shared" si="192"/>
        <v>1</v>
      </c>
      <c r="H523" s="330">
        <f t="shared" si="193"/>
        <v>0</v>
      </c>
      <c r="I523" s="328">
        <f t="shared" si="194"/>
        <v>132915.95286071085</v>
      </c>
      <c r="J523" s="331">
        <f t="shared" si="195"/>
        <v>1.5707888032435209</v>
      </c>
      <c r="K523" s="339">
        <f t="shared" si="211"/>
        <v>21.752998797993151</v>
      </c>
      <c r="L523" s="340">
        <f t="shared" si="212"/>
        <v>1.5248094464664195</v>
      </c>
      <c r="M523" s="328">
        <f t="shared" si="196"/>
        <v>1.0604587886389911</v>
      </c>
      <c r="N523" s="331">
        <f t="shared" si="197"/>
        <v>0.33929937711361657</v>
      </c>
      <c r="O523" s="332">
        <f t="shared" si="198"/>
        <v>1.0259124886539424</v>
      </c>
      <c r="P523" s="333">
        <f t="shared" si="199"/>
        <v>0.52250318414822849</v>
      </c>
      <c r="Q523" s="334">
        <f t="shared" si="200"/>
        <v>-7.1432308337946315</v>
      </c>
      <c r="R523" s="335">
        <f t="shared" si="201"/>
        <v>-137.94135180332978</v>
      </c>
      <c r="S523" s="337">
        <f t="shared" si="202"/>
        <v>42.058648196670219</v>
      </c>
      <c r="U523" s="310">
        <f t="shared" si="207"/>
        <v>73287.5</v>
      </c>
      <c r="V523" s="310">
        <f t="shared" si="208"/>
        <v>5371057656.25</v>
      </c>
      <c r="X523" s="336">
        <f t="shared" si="203"/>
        <v>0.79902367756388581</v>
      </c>
      <c r="Y523" s="337">
        <f t="shared" si="209"/>
        <v>-22.074845413306281</v>
      </c>
      <c r="AA523" s="336">
        <f t="shared" si="204"/>
        <v>-7.9422545113585166</v>
      </c>
      <c r="AB523" s="337">
        <f t="shared" si="205"/>
        <v>-115.8665063900235</v>
      </c>
      <c r="AD523">
        <f t="shared" si="210"/>
        <v>0</v>
      </c>
      <c r="AE523">
        <f t="shared" si="213"/>
        <v>0</v>
      </c>
    </row>
    <row r="524" spans="1:31" x14ac:dyDescent="0.25">
      <c r="A524" s="338">
        <v>73709.25</v>
      </c>
      <c r="B524" s="355">
        <f t="shared" si="206"/>
        <v>73.709249999999997</v>
      </c>
      <c r="C524" s="328">
        <f t="shared" si="188"/>
        <v>24.739134737322864</v>
      </c>
      <c r="D524" s="329">
        <f t="shared" si="189"/>
        <v>1.5303635254391488</v>
      </c>
      <c r="E524" s="329">
        <f t="shared" si="190"/>
        <v>1.0004670465727985</v>
      </c>
      <c r="F524" s="330">
        <f t="shared" si="191"/>
        <v>3.0556991610150217E-2</v>
      </c>
      <c r="G524" s="329">
        <f t="shared" si="192"/>
        <v>1</v>
      </c>
      <c r="H524" s="330">
        <f t="shared" si="193"/>
        <v>0</v>
      </c>
      <c r="I524" s="328">
        <f t="shared" si="194"/>
        <v>133680.84869036585</v>
      </c>
      <c r="J524" s="331">
        <f t="shared" si="195"/>
        <v>1.5707888462918194</v>
      </c>
      <c r="K524" s="339">
        <f t="shared" si="211"/>
        <v>21.877917705891736</v>
      </c>
      <c r="L524" s="340">
        <f t="shared" si="212"/>
        <v>1.5250722068100897</v>
      </c>
      <c r="M524" s="328">
        <f t="shared" si="196"/>
        <v>1.0611365297579032</v>
      </c>
      <c r="N524" s="331">
        <f t="shared" si="197"/>
        <v>0.34110435566574593</v>
      </c>
      <c r="O524" s="332">
        <f t="shared" si="198"/>
        <v>1.0262778204078309</v>
      </c>
      <c r="P524" s="333">
        <f t="shared" si="199"/>
        <v>0.52561388727105562</v>
      </c>
      <c r="Q524" s="334">
        <f t="shared" si="200"/>
        <v>-7.2016910258281879</v>
      </c>
      <c r="R524" s="335">
        <f t="shared" si="201"/>
        <v>-138.21125247557327</v>
      </c>
      <c r="S524" s="337">
        <f t="shared" si="202"/>
        <v>41.788747524426725</v>
      </c>
      <c r="U524" s="310">
        <f t="shared" si="207"/>
        <v>73709.25</v>
      </c>
      <c r="V524" s="310">
        <f t="shared" si="208"/>
        <v>5433053535.5625</v>
      </c>
      <c r="X524" s="336">
        <f t="shared" si="203"/>
        <v>0.79336955324198544</v>
      </c>
      <c r="Y524" s="337">
        <f t="shared" si="209"/>
        <v>-22.163210474326014</v>
      </c>
      <c r="AA524" s="336">
        <f t="shared" si="204"/>
        <v>-7.9950605790701736</v>
      </c>
      <c r="AB524" s="337">
        <f t="shared" si="205"/>
        <v>-116.04804200124725</v>
      </c>
      <c r="AD524">
        <f t="shared" si="210"/>
        <v>0</v>
      </c>
      <c r="AE524">
        <f t="shared" si="213"/>
        <v>0</v>
      </c>
    </row>
    <row r="525" spans="1:31" x14ac:dyDescent="0.25">
      <c r="A525" s="338">
        <v>74131</v>
      </c>
      <c r="B525" s="355">
        <f t="shared" si="206"/>
        <v>74.131</v>
      </c>
      <c r="C525" s="328">
        <f t="shared" ref="C525:C588" si="214">SQRT(1+(A525/pole1)^2)</f>
        <v>24.880456628448862</v>
      </c>
      <c r="D525" s="329">
        <f t="shared" ref="D525:D588" si="215">ATAN(A525/pole1)</f>
        <v>1.5305933093753554</v>
      </c>
      <c r="E525" s="329">
        <f t="shared" ref="E525:E588" si="216">SQRT(1+(A525/Zero1)^2)</f>
        <v>1.0004724052974134</v>
      </c>
      <c r="F525" s="330">
        <f t="shared" ref="F525:F588" si="217">ATAN(A525/Zero1)</f>
        <v>3.07317230251518E-2</v>
      </c>
      <c r="G525" s="329">
        <f t="shared" ref="G525:G588" si="218">IF(VIN_nom&gt;Vout, 1, SQRT(1+(A525/z_RHP)^2))</f>
        <v>1</v>
      </c>
      <c r="H525" s="330">
        <f t="shared" ref="H525:H588" si="219">IF(VIN_nom&gt;Vout, 0, -ATAN(A525/z_RHP))</f>
        <v>0</v>
      </c>
      <c r="I525" s="328">
        <f t="shared" ref="I525:I588" si="220">SQRT(1+(A525/Pole2)^2)</f>
        <v>134445.74452002111</v>
      </c>
      <c r="J525" s="331">
        <f t="shared" ref="J525:J588" si="221">ATAN(A525/Pole2)</f>
        <v>1.5707888888502923</v>
      </c>
      <c r="K525" s="339">
        <f t="shared" si="211"/>
        <v>22.002838107155679</v>
      </c>
      <c r="L525" s="340">
        <f t="shared" si="212"/>
        <v>1.5253319835448316</v>
      </c>
      <c r="M525" s="328">
        <f t="shared" ref="M525:M588" si="222">SQRT(1+(A525/pole4)^2)</f>
        <v>1.061817723584175</v>
      </c>
      <c r="N525" s="331">
        <f t="shared" ref="N525:N588" si="223">ATAN(A525/pole4)</f>
        <v>0.34290702416876423</v>
      </c>
      <c r="O525" s="332">
        <f t="shared" ref="O525:O588" si="224">SQRT((1-(V525/pterm2))^2+(A525/pterm1)^2)</f>
        <v>1.0266467293118831</v>
      </c>
      <c r="P525" s="333">
        <f t="shared" ref="P525:P588" si="225">IF((ATAN((A525/pterm1)/(1-A525^2/pterm2))&gt;0),ATAN((A525/pterm1)/(1-A525^2/pterm2)),PI()+ATAN((A525/pterm1)/(1-A525^2/pterm2)))</f>
        <v>0.52872595784436016</v>
      </c>
      <c r="Q525" s="334">
        <f t="shared" ref="Q525:Q588" si="226">20*LOG10(((E525*K525*G525)/(C525*I525*O525*M525))*Adc)</f>
        <v>-7.2599200572577338</v>
      </c>
      <c r="R525" s="335">
        <f t="shared" ref="R525:R588" si="227">((F525+L525+H525)-(D525+J525+P525+N525))*radconv</f>
        <v>-138.48111888738401</v>
      </c>
      <c r="S525" s="337">
        <f t="shared" ref="S525:S588" si="228">IF(R525&gt;0,R525,R525+180)</f>
        <v>41.518881112615986</v>
      </c>
      <c r="U525" s="310">
        <f t="shared" si="207"/>
        <v>74131</v>
      </c>
      <c r="V525" s="310">
        <f t="shared" si="208"/>
        <v>5495405161</v>
      </c>
      <c r="X525" s="336">
        <f t="shared" ref="X525:X588" si="229">20*LOG10((K525/(I525*M525))*AEA*Afb_Ch2)</f>
        <v>0.78769250819309211</v>
      </c>
      <c r="Y525" s="337">
        <f t="shared" si="209"/>
        <v>-22.251614099415619</v>
      </c>
      <c r="AA525" s="336">
        <f t="shared" ref="AA525:AA588" si="230">20*LOG10((E525*G525/(C525*O525))*Am_Ch2)</f>
        <v>-8.0476125654508284</v>
      </c>
      <c r="AB525" s="337">
        <f t="shared" ref="AB525:AB588" si="231">(F525+H525-(D525+P525))*radconv</f>
        <v>-116.22950478796845</v>
      </c>
      <c r="AD525">
        <f t="shared" si="210"/>
        <v>0</v>
      </c>
      <c r="AE525">
        <f t="shared" si="213"/>
        <v>0</v>
      </c>
    </row>
    <row r="526" spans="1:31" x14ac:dyDescent="0.25">
      <c r="A526" s="338">
        <v>74562.75</v>
      </c>
      <c r="B526" s="355">
        <f t="shared" ref="B526:B589" si="232">A526/1000</f>
        <v>74.562749999999994</v>
      </c>
      <c r="C526" s="328">
        <f t="shared" si="214"/>
        <v>25.025130709897393</v>
      </c>
      <c r="D526" s="329">
        <f t="shared" si="215"/>
        <v>1.53082585333925</v>
      </c>
      <c r="E526" s="329">
        <f t="shared" si="216"/>
        <v>1.0004779227214129</v>
      </c>
      <c r="F526" s="330">
        <f t="shared" si="217"/>
        <v>3.091059550490878E-2</v>
      </c>
      <c r="G526" s="329">
        <f t="shared" si="218"/>
        <v>1</v>
      </c>
      <c r="H526" s="330">
        <f t="shared" si="219"/>
        <v>0</v>
      </c>
      <c r="I526" s="328">
        <f t="shared" si="220"/>
        <v>135228.77658748702</v>
      </c>
      <c r="J526" s="331">
        <f t="shared" si="221"/>
        <v>1.5707889319191517</v>
      </c>
      <c r="K526" s="339">
        <f t="shared" si="211"/>
        <v>22.130721982709794</v>
      </c>
      <c r="L526" s="340">
        <f t="shared" si="212"/>
        <v>1.52559488192531</v>
      </c>
      <c r="M526" s="328">
        <f t="shared" si="222"/>
        <v>1.0625186385566106</v>
      </c>
      <c r="N526" s="331">
        <f t="shared" si="223"/>
        <v>0.34475003481758515</v>
      </c>
      <c r="O526" s="332">
        <f t="shared" si="224"/>
        <v>1.0270281155491616</v>
      </c>
      <c r="P526" s="333">
        <f t="shared" si="225"/>
        <v>0.53191323019731795</v>
      </c>
      <c r="Q526" s="334">
        <f t="shared" si="226"/>
        <v>-7.319293740127792</v>
      </c>
      <c r="R526" s="335">
        <f t="shared" si="227"/>
        <v>-138.75734752300096</v>
      </c>
      <c r="S526" s="337">
        <f t="shared" si="228"/>
        <v>41.242652476999041</v>
      </c>
      <c r="U526" s="310">
        <f t="shared" ref="U526:U589" si="233">IF(Q526&lt;0,A526,1000000000)</f>
        <v>74562.75</v>
      </c>
      <c r="V526" s="310">
        <f t="shared" ref="V526:V589" si="234">A526^2</f>
        <v>5559603687.5625</v>
      </c>
      <c r="X526" s="336">
        <f t="shared" si="229"/>
        <v>0.7818571807179131</v>
      </c>
      <c r="Y526" s="337">
        <f t="shared" ref="Y526:Y589" si="235">(L526-(J526+N526))*radconv</f>
        <v>-22.342150331315814</v>
      </c>
      <c r="AA526" s="336">
        <f t="shared" si="230"/>
        <v>-8.101150920845706</v>
      </c>
      <c r="AB526" s="337">
        <f t="shared" si="231"/>
        <v>-116.41519719168511</v>
      </c>
      <c r="AD526">
        <f t="shared" ref="AD526:AD589" si="236">SUM((Q527&lt;0)*(Q526&gt;0))*A526</f>
        <v>0</v>
      </c>
      <c r="AE526">
        <f t="shared" si="213"/>
        <v>0</v>
      </c>
    </row>
    <row r="527" spans="1:31" x14ac:dyDescent="0.25">
      <c r="A527" s="338">
        <v>74994.5</v>
      </c>
      <c r="B527" s="355">
        <f t="shared" si="232"/>
        <v>74.994500000000002</v>
      </c>
      <c r="C527" s="328">
        <f t="shared" si="214"/>
        <v>25.16980612906519</v>
      </c>
      <c r="D527" s="329">
        <f t="shared" si="215"/>
        <v>1.5310557240016236</v>
      </c>
      <c r="E527" s="329">
        <f t="shared" si="216"/>
        <v>1.0004834721557139</v>
      </c>
      <c r="F527" s="330">
        <f t="shared" si="217"/>
        <v>3.1089466006065949E-2</v>
      </c>
      <c r="G527" s="329">
        <f t="shared" si="218"/>
        <v>1</v>
      </c>
      <c r="H527" s="330">
        <f t="shared" si="219"/>
        <v>0</v>
      </c>
      <c r="I527" s="328">
        <f t="shared" si="220"/>
        <v>136011.8086549532</v>
      </c>
      <c r="J527" s="331">
        <f t="shared" si="221"/>
        <v>1.5707889744921084</v>
      </c>
      <c r="K527" s="339">
        <f t="shared" si="211"/>
        <v>22.258607370265093</v>
      </c>
      <c r="L527" s="340">
        <f t="shared" si="212"/>
        <v>1.52585475939233</v>
      </c>
      <c r="M527" s="328">
        <f t="shared" si="222"/>
        <v>1.0632231578080533</v>
      </c>
      <c r="N527" s="331">
        <f t="shared" si="223"/>
        <v>0.34659060925802526</v>
      </c>
      <c r="O527" s="332">
        <f t="shared" si="224"/>
        <v>1.0274133011593847</v>
      </c>
      <c r="P527" s="333">
        <f t="shared" si="225"/>
        <v>0.53510192697716141</v>
      </c>
      <c r="Q527" s="334">
        <f t="shared" si="226"/>
        <v>-7.3784321109278617</v>
      </c>
      <c r="R527" s="335">
        <f t="shared" si="227"/>
        <v>-139.03353818945752</v>
      </c>
      <c r="S527" s="337">
        <f t="shared" si="228"/>
        <v>40.966461810542484</v>
      </c>
      <c r="U527" s="310">
        <f t="shared" si="233"/>
        <v>74994.5</v>
      </c>
      <c r="V527" s="310">
        <f t="shared" si="234"/>
        <v>5624175030.25</v>
      </c>
      <c r="X527" s="336">
        <f t="shared" si="229"/>
        <v>0.77599796979169244</v>
      </c>
      <c r="Y527" s="337">
        <f t="shared" si="235"/>
        <v>-22.432720035936129</v>
      </c>
      <c r="AA527" s="336">
        <f t="shared" si="230"/>
        <v>-8.1544300807195551</v>
      </c>
      <c r="AB527" s="337">
        <f t="shared" si="231"/>
        <v>-116.6008181535214</v>
      </c>
      <c r="AD527">
        <f t="shared" si="236"/>
        <v>0</v>
      </c>
      <c r="AE527">
        <f t="shared" si="213"/>
        <v>0</v>
      </c>
    </row>
    <row r="528" spans="1:31" x14ac:dyDescent="0.25">
      <c r="A528" s="338">
        <v>75426.25</v>
      </c>
      <c r="B528" s="355">
        <f t="shared" si="232"/>
        <v>75.426249999999996</v>
      </c>
      <c r="C528" s="328">
        <f t="shared" si="214"/>
        <v>25.314482863016558</v>
      </c>
      <c r="D528" s="329">
        <f t="shared" si="215"/>
        <v>1.5312829671731409</v>
      </c>
      <c r="E528" s="329">
        <f t="shared" si="216"/>
        <v>1.0004890535997841</v>
      </c>
      <c r="F528" s="330">
        <f t="shared" si="217"/>
        <v>3.1268334517210526E-2</v>
      </c>
      <c r="G528" s="329">
        <f t="shared" si="218"/>
        <v>1</v>
      </c>
      <c r="H528" s="330">
        <f t="shared" si="219"/>
        <v>0</v>
      </c>
      <c r="I528" s="328">
        <f t="shared" si="220"/>
        <v>136794.84072241964</v>
      </c>
      <c r="J528" s="331">
        <f t="shared" si="221"/>
        <v>1.5707890165776783</v>
      </c>
      <c r="K528" s="339">
        <f t="shared" si="211"/>
        <v>22.386494243909137</v>
      </c>
      <c r="L528" s="340">
        <f t="shared" si="212"/>
        <v>1.5261116676830189</v>
      </c>
      <c r="M528" s="328">
        <f t="shared" si="222"/>
        <v>1.0639312741784053</v>
      </c>
      <c r="N528" s="331">
        <f t="shared" si="223"/>
        <v>0.34842873987148848</v>
      </c>
      <c r="O528" s="332">
        <f t="shared" si="224"/>
        <v>1.0278023118663766</v>
      </c>
      <c r="P528" s="333">
        <f t="shared" si="225"/>
        <v>0.53829204350437654</v>
      </c>
      <c r="Q528" s="334">
        <f t="shared" si="226"/>
        <v>-7.4373385924210647</v>
      </c>
      <c r="R528" s="335">
        <f t="shared" si="227"/>
        <v>-139.30968984370452</v>
      </c>
      <c r="S528" s="337">
        <f t="shared" si="228"/>
        <v>40.690310156295482</v>
      </c>
      <c r="U528" s="310">
        <f t="shared" si="233"/>
        <v>75426.25</v>
      </c>
      <c r="V528" s="310">
        <f t="shared" si="234"/>
        <v>5689119189.0625</v>
      </c>
      <c r="X528" s="336">
        <f t="shared" si="229"/>
        <v>0.77011494677492076</v>
      </c>
      <c r="Y528" s="337">
        <f t="shared" si="235"/>
        <v>-22.523319812932023</v>
      </c>
      <c r="AA528" s="336">
        <f t="shared" si="230"/>
        <v>-8.2074535391959849</v>
      </c>
      <c r="AB528" s="337">
        <f t="shared" si="231"/>
        <v>-116.7863700307725</v>
      </c>
      <c r="AD528">
        <f t="shared" si="236"/>
        <v>0</v>
      </c>
      <c r="AE528">
        <f t="shared" si="213"/>
        <v>0</v>
      </c>
    </row>
    <row r="529" spans="1:31" x14ac:dyDescent="0.25">
      <c r="A529" s="338">
        <v>75858</v>
      </c>
      <c r="B529" s="355">
        <f t="shared" si="232"/>
        <v>75.858000000000004</v>
      </c>
      <c r="C529" s="328">
        <f t="shared" si="214"/>
        <v>25.459160889336946</v>
      </c>
      <c r="D529" s="329">
        <f t="shared" si="215"/>
        <v>1.5315076276242452</v>
      </c>
      <c r="E529" s="329">
        <f t="shared" si="216"/>
        <v>1.0004946670530874</v>
      </c>
      <c r="F529" s="330">
        <f t="shared" si="217"/>
        <v>3.1447201026930494E-2</v>
      </c>
      <c r="G529" s="329">
        <f t="shared" si="218"/>
        <v>1</v>
      </c>
      <c r="H529" s="330">
        <f t="shared" si="219"/>
        <v>0</v>
      </c>
      <c r="I529" s="328">
        <f t="shared" si="220"/>
        <v>137577.87278988631</v>
      </c>
      <c r="J529" s="331">
        <f t="shared" si="221"/>
        <v>1.5707890581841837</v>
      </c>
      <c r="K529" s="339">
        <f t="shared" si="211"/>
        <v>22.514382578317953</v>
      </c>
      <c r="L529" s="340">
        <f t="shared" si="212"/>
        <v>1.5263656573605635</v>
      </c>
      <c r="M529" s="328">
        <f t="shared" si="222"/>
        <v>1.064642980490109</v>
      </c>
      <c r="N529" s="331">
        <f t="shared" si="223"/>
        <v>0.35026441912565204</v>
      </c>
      <c r="O529" s="332">
        <f t="shared" si="224"/>
        <v>1.0281951734856518</v>
      </c>
      <c r="P529" s="333">
        <f t="shared" si="225"/>
        <v>0.54148357489050314</v>
      </c>
      <c r="Q529" s="334">
        <f t="shared" si="226"/>
        <v>-7.4960165498642484</v>
      </c>
      <c r="R529" s="335">
        <f t="shared" si="227"/>
        <v>-139.58580144331449</v>
      </c>
      <c r="S529" s="337">
        <f t="shared" si="228"/>
        <v>40.414198556685506</v>
      </c>
      <c r="U529" s="310">
        <f t="shared" si="233"/>
        <v>75858</v>
      </c>
      <c r="V529" s="310">
        <f t="shared" si="234"/>
        <v>5754436164</v>
      </c>
      <c r="X529" s="336">
        <f t="shared" si="229"/>
        <v>0.76420818431786597</v>
      </c>
      <c r="Y529" s="337">
        <f t="shared" si="235"/>
        <v>-22.613946334152839</v>
      </c>
      <c r="AA529" s="336">
        <f t="shared" si="230"/>
        <v>-8.2602247341821151</v>
      </c>
      <c r="AB529" s="337">
        <f t="shared" si="231"/>
        <v>-116.97185510916162</v>
      </c>
      <c r="AD529">
        <f t="shared" si="236"/>
        <v>0</v>
      </c>
      <c r="AE529">
        <f t="shared" si="213"/>
        <v>0</v>
      </c>
    </row>
    <row r="530" spans="1:31" x14ac:dyDescent="0.25">
      <c r="A530" s="338">
        <v>76299.75</v>
      </c>
      <c r="B530" s="355">
        <f t="shared" si="232"/>
        <v>76.299750000000003</v>
      </c>
      <c r="C530" s="328">
        <f t="shared" si="214"/>
        <v>25.607191198030097</v>
      </c>
      <c r="D530" s="329">
        <f t="shared" si="215"/>
        <v>1.5317348640524577</v>
      </c>
      <c r="E530" s="329">
        <f t="shared" si="216"/>
        <v>1.0005004436520128</v>
      </c>
      <c r="F530" s="330">
        <f t="shared" si="217"/>
        <v>3.1630208279187375E-2</v>
      </c>
      <c r="G530" s="329">
        <f t="shared" si="218"/>
        <v>1</v>
      </c>
      <c r="H530" s="330">
        <f t="shared" si="219"/>
        <v>0</v>
      </c>
      <c r="I530" s="328">
        <f t="shared" si="220"/>
        <v>138379.04109516367</v>
      </c>
      <c r="J530" s="331">
        <f t="shared" si="221"/>
        <v>1.5707891002670056</v>
      </c>
      <c r="K530" s="339">
        <f t="shared" si="211"/>
        <v>22.64523449110569</v>
      </c>
      <c r="L530" s="340">
        <f t="shared" si="212"/>
        <v>1.5266225605786017</v>
      </c>
      <c r="M530" s="328">
        <f t="shared" si="222"/>
        <v>1.0653748791474287</v>
      </c>
      <c r="N530" s="331">
        <f t="shared" si="223"/>
        <v>0.35214007061140168</v>
      </c>
      <c r="O530" s="332">
        <f t="shared" si="224"/>
        <v>1.0286011471451511</v>
      </c>
      <c r="P530" s="333">
        <f t="shared" si="225"/>
        <v>0.54475048617169797</v>
      </c>
      <c r="Q530" s="334">
        <f t="shared" si="226"/>
        <v>-7.5558205060631138</v>
      </c>
      <c r="R530" s="335">
        <f t="shared" si="227"/>
        <v>-139.86826567220905</v>
      </c>
      <c r="S530" s="337">
        <f t="shared" si="228"/>
        <v>40.131734327790952</v>
      </c>
      <c r="U530" s="310">
        <f t="shared" si="233"/>
        <v>76299.75</v>
      </c>
      <c r="V530" s="310">
        <f t="shared" si="234"/>
        <v>5821651850.0625</v>
      </c>
      <c r="X530" s="336">
        <f t="shared" si="229"/>
        <v>0.75814011858498065</v>
      </c>
      <c r="Y530" s="337">
        <f t="shared" si="235"/>
        <v>-22.706696189260885</v>
      </c>
      <c r="AA530" s="336">
        <f t="shared" si="230"/>
        <v>-8.3139606246480948</v>
      </c>
      <c r="AB530" s="337">
        <f t="shared" si="231"/>
        <v>-117.16156948294817</v>
      </c>
      <c r="AD530">
        <f t="shared" si="236"/>
        <v>0</v>
      </c>
      <c r="AE530">
        <f t="shared" si="213"/>
        <v>0</v>
      </c>
    </row>
    <row r="531" spans="1:31" x14ac:dyDescent="0.25">
      <c r="A531" s="338">
        <v>76741.5</v>
      </c>
      <c r="B531" s="355">
        <f t="shared" si="232"/>
        <v>76.741500000000002</v>
      </c>
      <c r="C531" s="328">
        <f t="shared" si="214"/>
        <v>25.755222813786595</v>
      </c>
      <c r="D531" s="329">
        <f t="shared" si="215"/>
        <v>1.531959488348138</v>
      </c>
      <c r="E531" s="329">
        <f t="shared" si="216"/>
        <v>1.0005062537589657</v>
      </c>
      <c r="F531" s="330">
        <f t="shared" si="217"/>
        <v>3.1813213412065965E-2</v>
      </c>
      <c r="G531" s="329">
        <f t="shared" si="218"/>
        <v>1</v>
      </c>
      <c r="H531" s="330">
        <f t="shared" si="219"/>
        <v>0</v>
      </c>
      <c r="I531" s="328">
        <f t="shared" si="220"/>
        <v>139180.20940044129</v>
      </c>
      <c r="J531" s="331">
        <f t="shared" si="221"/>
        <v>1.5707891418653415</v>
      </c>
      <c r="K531" s="339">
        <f t="shared" si="211"/>
        <v>22.77608788128914</v>
      </c>
      <c r="L531" s="340">
        <f t="shared" si="212"/>
        <v>1.5268765118877643</v>
      </c>
      <c r="M531" s="328">
        <f t="shared" si="222"/>
        <v>1.0661105207126755</v>
      </c>
      <c r="N531" s="331">
        <f t="shared" si="223"/>
        <v>0.3540131401910856</v>
      </c>
      <c r="O531" s="332">
        <f t="shared" si="224"/>
        <v>1.0290112071343869</v>
      </c>
      <c r="P531" s="333">
        <f t="shared" si="225"/>
        <v>0.54801886758575735</v>
      </c>
      <c r="Q531" s="334">
        <f t="shared" si="226"/>
        <v>-7.6153921783772081</v>
      </c>
      <c r="R531" s="335">
        <f t="shared" si="227"/>
        <v>-140.15068576261427</v>
      </c>
      <c r="S531" s="337">
        <f t="shared" si="228"/>
        <v>39.849314237385727</v>
      </c>
      <c r="U531" s="310">
        <f t="shared" si="233"/>
        <v>76741.5</v>
      </c>
      <c r="V531" s="310">
        <f t="shared" si="234"/>
        <v>5889257822.25</v>
      </c>
      <c r="X531" s="336">
        <f t="shared" si="229"/>
        <v>0.75204735880649465</v>
      </c>
      <c r="Y531" s="337">
        <f t="shared" si="235"/>
        <v>-22.799467216209358</v>
      </c>
      <c r="AA531" s="336">
        <f t="shared" si="230"/>
        <v>-8.3674395371837029</v>
      </c>
      <c r="AB531" s="337">
        <f t="shared" si="231"/>
        <v>-117.35121854640488</v>
      </c>
      <c r="AD531">
        <f t="shared" si="236"/>
        <v>0</v>
      </c>
      <c r="AE531">
        <f t="shared" si="213"/>
        <v>0</v>
      </c>
    </row>
    <row r="532" spans="1:31" x14ac:dyDescent="0.25">
      <c r="A532" s="338">
        <v>77183.25</v>
      </c>
      <c r="B532" s="355">
        <f t="shared" si="232"/>
        <v>77.183250000000001</v>
      </c>
      <c r="C532" s="328">
        <f t="shared" si="214"/>
        <v>25.90325571419767</v>
      </c>
      <c r="D532" s="329">
        <f t="shared" si="215"/>
        <v>1.5321815452721625</v>
      </c>
      <c r="E532" s="329">
        <f t="shared" si="216"/>
        <v>1.0005120973733623</v>
      </c>
      <c r="F532" s="330">
        <f t="shared" si="217"/>
        <v>3.1996216413345296E-2</v>
      </c>
      <c r="G532" s="329">
        <f t="shared" si="218"/>
        <v>1</v>
      </c>
      <c r="H532" s="330">
        <f t="shared" si="219"/>
        <v>0</v>
      </c>
      <c r="I532" s="328">
        <f t="shared" si="220"/>
        <v>139981.37770571912</v>
      </c>
      <c r="J532" s="331">
        <f t="shared" si="221"/>
        <v>1.5707891829875102</v>
      </c>
      <c r="K532" s="339">
        <f t="shared" si="211"/>
        <v>22.906942723549925</v>
      </c>
      <c r="L532" s="340">
        <f t="shared" si="212"/>
        <v>1.5271275618429376</v>
      </c>
      <c r="M532" s="328">
        <f t="shared" si="222"/>
        <v>1.0668498974431337</v>
      </c>
      <c r="N532" s="331">
        <f t="shared" si="223"/>
        <v>0.35588362007644597</v>
      </c>
      <c r="O532" s="332">
        <f t="shared" si="224"/>
        <v>1.0294253813950609</v>
      </c>
      <c r="P532" s="333">
        <f t="shared" si="225"/>
        <v>0.55128871321392992</v>
      </c>
      <c r="Q532" s="334">
        <f t="shared" si="226"/>
        <v>-7.6747349927763668</v>
      </c>
      <c r="R532" s="335">
        <f t="shared" si="227"/>
        <v>-140.43306059838082</v>
      </c>
      <c r="S532" s="337">
        <f t="shared" si="228"/>
        <v>39.56693940161918</v>
      </c>
      <c r="U532" s="310">
        <f t="shared" si="233"/>
        <v>77183.25</v>
      </c>
      <c r="V532" s="310">
        <f t="shared" si="234"/>
        <v>5957254080.5625</v>
      </c>
      <c r="X532" s="336">
        <f t="shared" si="229"/>
        <v>0.74592998670436694</v>
      </c>
      <c r="Y532" s="337">
        <f t="shared" si="235"/>
        <v>-22.892256072658984</v>
      </c>
      <c r="AA532" s="336">
        <f t="shared" si="230"/>
        <v>-8.4206649794807333</v>
      </c>
      <c r="AB532" s="337">
        <f t="shared" si="231"/>
        <v>-117.54080452572181</v>
      </c>
      <c r="AD532">
        <f t="shared" si="236"/>
        <v>0</v>
      </c>
      <c r="AE532">
        <f t="shared" si="213"/>
        <v>0</v>
      </c>
    </row>
    <row r="533" spans="1:31" x14ac:dyDescent="0.25">
      <c r="A533" s="338">
        <v>77625</v>
      </c>
      <c r="B533" s="355">
        <f t="shared" si="232"/>
        <v>77.625</v>
      </c>
      <c r="C533" s="328">
        <f t="shared" si="214"/>
        <v>26.0512898773637</v>
      </c>
      <c r="D533" s="329">
        <f t="shared" si="215"/>
        <v>1.5324010785690338</v>
      </c>
      <c r="E533" s="329">
        <f t="shared" si="216"/>
        <v>1.0005179744946155</v>
      </c>
      <c r="F533" s="330">
        <f t="shared" si="217"/>
        <v>3.2179217270805249E-2</v>
      </c>
      <c r="G533" s="329">
        <f t="shared" si="218"/>
        <v>1</v>
      </c>
      <c r="H533" s="330">
        <f t="shared" si="219"/>
        <v>0</v>
      </c>
      <c r="I533" s="328">
        <f t="shared" si="220"/>
        <v>140782.5460109972</v>
      </c>
      <c r="J533" s="331">
        <f t="shared" si="221"/>
        <v>1.5707892236416412</v>
      </c>
      <c r="K533" s="339">
        <f t="shared" si="211"/>
        <v>23.037798993144612</v>
      </c>
      <c r="L533" s="340">
        <f t="shared" si="212"/>
        <v>1.5273757598518694</v>
      </c>
      <c r="M533" s="328">
        <f t="shared" si="222"/>
        <v>1.0675930015782773</v>
      </c>
      <c r="N533" s="331">
        <f t="shared" si="223"/>
        <v>0.3577515025732298</v>
      </c>
      <c r="O533" s="332">
        <f t="shared" si="224"/>
        <v>1.0298436979642589</v>
      </c>
      <c r="P533" s="333">
        <f t="shared" si="225"/>
        <v>0.55456001690617962</v>
      </c>
      <c r="Q533" s="334">
        <f t="shared" si="226"/>
        <v>-7.7338523177135841</v>
      </c>
      <c r="R533" s="335">
        <f t="shared" si="227"/>
        <v>-140.71538906297533</v>
      </c>
      <c r="S533" s="337">
        <f t="shared" si="228"/>
        <v>39.284610937024667</v>
      </c>
      <c r="U533" s="310">
        <f t="shared" si="233"/>
        <v>77625</v>
      </c>
      <c r="V533" s="310">
        <f t="shared" si="234"/>
        <v>6025640625</v>
      </c>
      <c r="X533" s="336">
        <f t="shared" si="229"/>
        <v>0.7397880852259211</v>
      </c>
      <c r="Y533" s="337">
        <f t="shared" si="235"/>
        <v>-22.985059487371888</v>
      </c>
      <c r="AA533" s="336">
        <f t="shared" si="230"/>
        <v>-8.4736404029395054</v>
      </c>
      <c r="AB533" s="337">
        <f t="shared" si="231"/>
        <v>-117.73032957560348</v>
      </c>
      <c r="AD533">
        <f t="shared" si="236"/>
        <v>0</v>
      </c>
      <c r="AE533">
        <f t="shared" si="213"/>
        <v>0</v>
      </c>
    </row>
    <row r="534" spans="1:31" x14ac:dyDescent="0.25">
      <c r="A534" s="338">
        <v>78077</v>
      </c>
      <c r="B534" s="355">
        <f t="shared" si="232"/>
        <v>78.076999999999998</v>
      </c>
      <c r="C534" s="328">
        <f t="shared" si="214"/>
        <v>26.202760186987746</v>
      </c>
      <c r="D534" s="329">
        <f t="shared" si="215"/>
        <v>1.5326231381863289</v>
      </c>
      <c r="E534" s="329">
        <f t="shared" si="216"/>
        <v>1.0005240226651662</v>
      </c>
      <c r="F534" s="330">
        <f t="shared" si="217"/>
        <v>3.2366462096369786E-2</v>
      </c>
      <c r="G534" s="329">
        <f t="shared" si="218"/>
        <v>1</v>
      </c>
      <c r="H534" s="330">
        <f t="shared" si="219"/>
        <v>0</v>
      </c>
      <c r="I534" s="328">
        <f t="shared" si="220"/>
        <v>141602.30396003128</v>
      </c>
      <c r="J534" s="331">
        <f t="shared" si="221"/>
        <v>1.5707892647629096</v>
      </c>
      <c r="K534" s="339">
        <f t="shared" si="211"/>
        <v>23.171692995078221</v>
      </c>
      <c r="L534" s="340">
        <f t="shared" si="212"/>
        <v>1.5276268152327375</v>
      </c>
      <c r="M534" s="328">
        <f t="shared" si="222"/>
        <v>1.0683571981107136</v>
      </c>
      <c r="N534" s="331">
        <f t="shared" si="223"/>
        <v>0.35966002944715342</v>
      </c>
      <c r="O534" s="332">
        <f t="shared" si="224"/>
        <v>1.0302760377428255</v>
      </c>
      <c r="P534" s="333">
        <f t="shared" si="225"/>
        <v>0.55790872775751077</v>
      </c>
      <c r="Q534" s="334">
        <f t="shared" si="226"/>
        <v>-7.7941114082625731</v>
      </c>
      <c r="R534" s="335">
        <f t="shared" si="227"/>
        <v>-141.00421927981753</v>
      </c>
      <c r="S534" s="337">
        <f t="shared" si="228"/>
        <v>38.995780720182466</v>
      </c>
      <c r="U534" s="310">
        <f t="shared" si="233"/>
        <v>78077</v>
      </c>
      <c r="V534" s="310">
        <f t="shared" si="234"/>
        <v>6096017929</v>
      </c>
      <c r="X534" s="336">
        <f t="shared" si="229"/>
        <v>0.73347837021015283</v>
      </c>
      <c r="Y534" s="337">
        <f t="shared" si="235"/>
        <v>-23.08002796477086</v>
      </c>
      <c r="AA534" s="336">
        <f t="shared" si="230"/>
        <v>-8.5275897784727288</v>
      </c>
      <c r="AB534" s="337">
        <f t="shared" si="231"/>
        <v>-117.9241913150467</v>
      </c>
      <c r="AD534">
        <f t="shared" si="236"/>
        <v>0</v>
      </c>
      <c r="AE534">
        <f t="shared" si="213"/>
        <v>0</v>
      </c>
    </row>
    <row r="535" spans="1:31" x14ac:dyDescent="0.25">
      <c r="A535" s="338">
        <v>78529</v>
      </c>
      <c r="B535" s="355">
        <f t="shared" si="232"/>
        <v>78.528999999999996</v>
      </c>
      <c r="C535" s="328">
        <f t="shared" si="214"/>
        <v>26.35423177382998</v>
      </c>
      <c r="D535" s="329">
        <f t="shared" si="215"/>
        <v>1.5328426452282631</v>
      </c>
      <c r="E535" s="329">
        <f t="shared" si="216"/>
        <v>1.000530105914289</v>
      </c>
      <c r="F535" s="330">
        <f t="shared" si="217"/>
        <v>3.2553704651592262E-2</v>
      </c>
      <c r="G535" s="329">
        <f t="shared" si="218"/>
        <v>1</v>
      </c>
      <c r="H535" s="330">
        <f t="shared" si="219"/>
        <v>0</v>
      </c>
      <c r="I535" s="328">
        <f t="shared" si="220"/>
        <v>142422.06190906561</v>
      </c>
      <c r="J535" s="331">
        <f t="shared" si="221"/>
        <v>1.5707893054108035</v>
      </c>
      <c r="K535" s="339">
        <f t="shared" ref="K535:K598" si="237">SQRT(1+(A535/Zero2)^2)</f>
        <v>23.305588440714491</v>
      </c>
      <c r="L535" s="340">
        <f t="shared" ref="L535:L598" si="238">ATAN(A535/Zero2)</f>
        <v>1.5278749858984948</v>
      </c>
      <c r="M535" s="328">
        <f t="shared" si="222"/>
        <v>1.0691252805359563</v>
      </c>
      <c r="N535" s="331">
        <f t="shared" si="223"/>
        <v>0.36156582100168522</v>
      </c>
      <c r="O535" s="332">
        <f t="shared" si="224"/>
        <v>1.0307127739772146</v>
      </c>
      <c r="P535" s="333">
        <f t="shared" si="225"/>
        <v>0.56125895135072035</v>
      </c>
      <c r="Q535" s="334">
        <f t="shared" si="226"/>
        <v>-7.8541413799385085</v>
      </c>
      <c r="R535" s="335">
        <f t="shared" si="227"/>
        <v>-141.29299858129261</v>
      </c>
      <c r="S535" s="337">
        <f t="shared" si="228"/>
        <v>38.707001418707392</v>
      </c>
      <c r="U535" s="310">
        <f t="shared" si="233"/>
        <v>78529</v>
      </c>
      <c r="V535" s="310">
        <f t="shared" si="234"/>
        <v>6166803841</v>
      </c>
      <c r="X535" s="336">
        <f t="shared" si="229"/>
        <v>0.72714315373336569</v>
      </c>
      <c r="Y535" s="337">
        <f t="shared" si="235"/>
        <v>-23.175004974791655</v>
      </c>
      <c r="AA535" s="336">
        <f t="shared" si="230"/>
        <v>-8.5812845336718784</v>
      </c>
      <c r="AB535" s="337">
        <f t="shared" si="231"/>
        <v>-118.11799360650095</v>
      </c>
      <c r="AD535">
        <f t="shared" si="236"/>
        <v>0</v>
      </c>
      <c r="AE535">
        <f t="shared" si="213"/>
        <v>0</v>
      </c>
    </row>
    <row r="536" spans="1:31" x14ac:dyDescent="0.25">
      <c r="A536" s="338">
        <v>78981</v>
      </c>
      <c r="B536" s="355">
        <f t="shared" si="232"/>
        <v>78.980999999999995</v>
      </c>
      <c r="C536" s="328">
        <f t="shared" si="214"/>
        <v>26.505704615993732</v>
      </c>
      <c r="D536" s="329">
        <f t="shared" si="215"/>
        <v>1.533059643435307</v>
      </c>
      <c r="E536" s="329">
        <f t="shared" si="216"/>
        <v>1.0005362242413447</v>
      </c>
      <c r="F536" s="330">
        <f t="shared" si="217"/>
        <v>3.2740944923384835E-2</v>
      </c>
      <c r="G536" s="329">
        <f t="shared" si="218"/>
        <v>1</v>
      </c>
      <c r="H536" s="330">
        <f t="shared" si="219"/>
        <v>0</v>
      </c>
      <c r="I536" s="328">
        <f t="shared" si="220"/>
        <v>143241.81985810012</v>
      </c>
      <c r="J536" s="331">
        <f t="shared" si="221"/>
        <v>1.5707893455934501</v>
      </c>
      <c r="K536" s="339">
        <f t="shared" si="237"/>
        <v>23.439485305312459</v>
      </c>
      <c r="L536" s="340">
        <f t="shared" si="238"/>
        <v>1.5281203212546715</v>
      </c>
      <c r="M536" s="328">
        <f t="shared" si="222"/>
        <v>1.0698972404849236</v>
      </c>
      <c r="N536" s="331">
        <f t="shared" si="223"/>
        <v>0.36346886929902839</v>
      </c>
      <c r="O536" s="332">
        <f t="shared" si="224"/>
        <v>1.0311539370032032</v>
      </c>
      <c r="P536" s="333">
        <f t="shared" si="225"/>
        <v>0.56461068034240802</v>
      </c>
      <c r="Q536" s="334">
        <f t="shared" si="226"/>
        <v>-7.913945662494335</v>
      </c>
      <c r="R536" s="335">
        <f t="shared" si="227"/>
        <v>-141.58172576848389</v>
      </c>
      <c r="S536" s="337">
        <f t="shared" si="228"/>
        <v>38.418274231516108</v>
      </c>
      <c r="U536" s="310">
        <f t="shared" si="233"/>
        <v>78981</v>
      </c>
      <c r="V536" s="310">
        <f t="shared" si="234"/>
        <v>6237998361</v>
      </c>
      <c r="X536" s="336">
        <f t="shared" si="229"/>
        <v>0.72078252835622514</v>
      </c>
      <c r="Y536" s="337">
        <f t="shared" si="235"/>
        <v>-23.26998723236931</v>
      </c>
      <c r="AA536" s="336">
        <f t="shared" si="230"/>
        <v>-8.6347281908505593</v>
      </c>
      <c r="AB536" s="337">
        <f t="shared" si="231"/>
        <v>-118.31173853611459</v>
      </c>
      <c r="AD536">
        <f t="shared" si="236"/>
        <v>0</v>
      </c>
      <c r="AE536">
        <f t="shared" si="213"/>
        <v>0</v>
      </c>
    </row>
    <row r="537" spans="1:31" x14ac:dyDescent="0.25">
      <c r="A537" s="338">
        <v>79433</v>
      </c>
      <c r="B537" s="355">
        <f t="shared" si="232"/>
        <v>79.433000000000007</v>
      </c>
      <c r="C537" s="328">
        <f t="shared" si="214"/>
        <v>26.657178692079835</v>
      </c>
      <c r="D537" s="329">
        <f t="shared" si="215"/>
        <v>1.533274175554703</v>
      </c>
      <c r="E537" s="329">
        <f t="shared" si="216"/>
        <v>1.0005423776456894</v>
      </c>
      <c r="F537" s="330">
        <f t="shared" si="217"/>
        <v>3.2928182898660639E-2</v>
      </c>
      <c r="G537" s="329">
        <f t="shared" si="218"/>
        <v>1</v>
      </c>
      <c r="H537" s="330">
        <f t="shared" si="219"/>
        <v>0</v>
      </c>
      <c r="I537" s="328">
        <f t="shared" si="220"/>
        <v>144061.57780713489</v>
      </c>
      <c r="J537" s="331">
        <f t="shared" si="221"/>
        <v>1.5707893853187915</v>
      </c>
      <c r="K537" s="339">
        <f t="shared" si="237"/>
        <v>23.573383564692993</v>
      </c>
      <c r="L537" s="340">
        <f t="shared" si="238"/>
        <v>1.5283628695856746</v>
      </c>
      <c r="M537" s="328">
        <f t="shared" si="222"/>
        <v>1.0706730695704809</v>
      </c>
      <c r="N537" s="331">
        <f t="shared" si="223"/>
        <v>0.36536916650370038</v>
      </c>
      <c r="O537" s="332">
        <f t="shared" si="224"/>
        <v>1.031599557255215</v>
      </c>
      <c r="P537" s="333">
        <f t="shared" si="225"/>
        <v>0.56796390713348832</v>
      </c>
      <c r="Q537" s="334">
        <f t="shared" si="226"/>
        <v>-7.9735276281313023</v>
      </c>
      <c r="R537" s="335">
        <f t="shared" si="227"/>
        <v>-141.87039964100452</v>
      </c>
      <c r="S537" s="337">
        <f t="shared" si="228"/>
        <v>38.129600358995475</v>
      </c>
      <c r="U537" s="310">
        <f t="shared" si="233"/>
        <v>79433</v>
      </c>
      <c r="V537" s="310">
        <f t="shared" si="234"/>
        <v>6309601489</v>
      </c>
      <c r="X537" s="336">
        <f t="shared" si="229"/>
        <v>0.71439658779916471</v>
      </c>
      <c r="Y537" s="337">
        <f t="shared" si="235"/>
        <v>-23.364971522526041</v>
      </c>
      <c r="AA537" s="336">
        <f t="shared" si="230"/>
        <v>-8.6879242159304653</v>
      </c>
      <c r="AB537" s="337">
        <f t="shared" si="231"/>
        <v>-118.50542811847852</v>
      </c>
      <c r="AD537">
        <f t="shared" si="236"/>
        <v>0</v>
      </c>
      <c r="AE537">
        <f t="shared" si="213"/>
        <v>0</v>
      </c>
    </row>
    <row r="538" spans="1:31" x14ac:dyDescent="0.25">
      <c r="A538" s="338">
        <v>79895.5</v>
      </c>
      <c r="B538" s="355">
        <f t="shared" si="232"/>
        <v>79.895499999999998</v>
      </c>
      <c r="C538" s="328">
        <f t="shared" si="214"/>
        <v>26.812172779794739</v>
      </c>
      <c r="D538" s="329">
        <f t="shared" si="215"/>
        <v>1.5334911821684094</v>
      </c>
      <c r="E538" s="329">
        <f t="shared" si="216"/>
        <v>1.000548710302513</v>
      </c>
      <c r="F538" s="330">
        <f t="shared" si="217"/>
        <v>3.3119768037862693E-2</v>
      </c>
      <c r="G538" s="329">
        <f t="shared" si="218"/>
        <v>1</v>
      </c>
      <c r="H538" s="330">
        <f t="shared" si="219"/>
        <v>0</v>
      </c>
      <c r="I538" s="328">
        <f t="shared" si="220"/>
        <v>144900.37880587092</v>
      </c>
      <c r="J538" s="331">
        <f t="shared" si="221"/>
        <v>1.5707894255016892</v>
      </c>
      <c r="K538" s="339">
        <f t="shared" si="237"/>
        <v>23.710393711599455</v>
      </c>
      <c r="L538" s="340">
        <f t="shared" si="238"/>
        <v>1.5286082166684074</v>
      </c>
      <c r="M538" s="328">
        <f t="shared" si="222"/>
        <v>1.0714709174680599</v>
      </c>
      <c r="N538" s="331">
        <f t="shared" si="223"/>
        <v>0.3673107520171553</v>
      </c>
      <c r="O538" s="332">
        <f t="shared" si="224"/>
        <v>1.0320601748953784</v>
      </c>
      <c r="P538" s="333">
        <f t="shared" si="225"/>
        <v>0.57139657187860826</v>
      </c>
      <c r="Q538" s="334">
        <f t="shared" si="226"/>
        <v>-8.0342670231585753</v>
      </c>
      <c r="R538" s="335">
        <f t="shared" si="227"/>
        <v>-142.16572299235753</v>
      </c>
      <c r="S538" s="337">
        <f t="shared" si="228"/>
        <v>37.83427700764247</v>
      </c>
      <c r="U538" s="310">
        <f t="shared" si="233"/>
        <v>79895.5</v>
      </c>
      <c r="V538" s="310">
        <f t="shared" si="234"/>
        <v>6383290920.25</v>
      </c>
      <c r="X538" s="336">
        <f t="shared" si="229"/>
        <v>0.70783619609128134</v>
      </c>
      <c r="Y538" s="337">
        <f t="shared" si="235"/>
        <v>-23.462161128075806</v>
      </c>
      <c r="AA538" s="336">
        <f t="shared" si="230"/>
        <v>-8.7421032192498576</v>
      </c>
      <c r="AB538" s="337">
        <f t="shared" si="231"/>
        <v>-118.70356186428174</v>
      </c>
      <c r="AD538">
        <f t="shared" si="236"/>
        <v>0</v>
      </c>
      <c r="AE538">
        <f t="shared" ref="AE538:AE601" si="239">IF(AD538&gt;0,S538,0)</f>
        <v>0</v>
      </c>
    </row>
    <row r="539" spans="1:31" x14ac:dyDescent="0.25">
      <c r="A539" s="338">
        <v>80358</v>
      </c>
      <c r="B539" s="355">
        <f t="shared" si="232"/>
        <v>80.358000000000004</v>
      </c>
      <c r="C539" s="328">
        <f t="shared" si="214"/>
        <v>26.967168115630955</v>
      </c>
      <c r="D539" s="329">
        <f t="shared" si="215"/>
        <v>1.5337056942763585</v>
      </c>
      <c r="E539" s="329">
        <f t="shared" si="216"/>
        <v>1.0005550796838767</v>
      </c>
      <c r="F539" s="330">
        <f t="shared" si="217"/>
        <v>3.3311350744893005E-2</v>
      </c>
      <c r="G539" s="329">
        <f t="shared" si="218"/>
        <v>1</v>
      </c>
      <c r="H539" s="330">
        <f t="shared" si="219"/>
        <v>0</v>
      </c>
      <c r="I539" s="328">
        <f t="shared" si="220"/>
        <v>145739.17980460718</v>
      </c>
      <c r="J539" s="331">
        <f t="shared" si="221"/>
        <v>1.570789465222042</v>
      </c>
      <c r="K539" s="339">
        <f t="shared" si="237"/>
        <v>23.847405269357612</v>
      </c>
      <c r="L539" s="340">
        <f t="shared" si="238"/>
        <v>1.5288507445585948</v>
      </c>
      <c r="M539" s="328">
        <f t="shared" si="222"/>
        <v>1.0722727985279867</v>
      </c>
      <c r="N539" s="331">
        <f t="shared" si="223"/>
        <v>0.36924944086619066</v>
      </c>
      <c r="O539" s="332">
        <f t="shared" si="224"/>
        <v>1.0325255240299729</v>
      </c>
      <c r="P539" s="333">
        <f t="shared" si="225"/>
        <v>0.57483078790027808</v>
      </c>
      <c r="Q539" s="334">
        <f t="shared" si="226"/>
        <v>-8.0947806168141092</v>
      </c>
      <c r="R539" s="335">
        <f t="shared" si="227"/>
        <v>-142.46098797469764</v>
      </c>
      <c r="S539" s="337">
        <f t="shared" si="228"/>
        <v>37.539012025302355</v>
      </c>
      <c r="U539" s="310">
        <f t="shared" si="233"/>
        <v>80358</v>
      </c>
      <c r="V539" s="310">
        <f t="shared" si="234"/>
        <v>6457408164</v>
      </c>
      <c r="X539" s="336">
        <f t="shared" si="229"/>
        <v>0.70124950146184484</v>
      </c>
      <c r="Y539" s="337">
        <f t="shared" si="235"/>
        <v>-23.559346268312282</v>
      </c>
      <c r="AA539" s="336">
        <f t="shared" si="230"/>
        <v>-8.7960301182759544</v>
      </c>
      <c r="AB539" s="337">
        <f t="shared" si="231"/>
        <v>-118.90164170638538</v>
      </c>
      <c r="AD539">
        <f t="shared" si="236"/>
        <v>0</v>
      </c>
      <c r="AE539">
        <f t="shared" si="239"/>
        <v>0</v>
      </c>
    </row>
    <row r="540" spans="1:31" x14ac:dyDescent="0.25">
      <c r="A540" s="338">
        <v>80820.5</v>
      </c>
      <c r="B540" s="355">
        <f t="shared" si="232"/>
        <v>80.820499999999996</v>
      </c>
      <c r="C540" s="328">
        <f t="shared" si="214"/>
        <v>27.122164678190526</v>
      </c>
      <c r="D540" s="329">
        <f t="shared" si="215"/>
        <v>1.5339177546251148</v>
      </c>
      <c r="E540" s="329">
        <f t="shared" si="216"/>
        <v>1.0005614857890792</v>
      </c>
      <c r="F540" s="330">
        <f t="shared" si="217"/>
        <v>3.3502931005734496E-2</v>
      </c>
      <c r="G540" s="329">
        <f t="shared" si="218"/>
        <v>1</v>
      </c>
      <c r="H540" s="330">
        <f t="shared" si="219"/>
        <v>0</v>
      </c>
      <c r="I540" s="328">
        <f t="shared" si="220"/>
        <v>146577.98080334364</v>
      </c>
      <c r="J540" s="331">
        <f t="shared" si="221"/>
        <v>1.5707895044877906</v>
      </c>
      <c r="K540" s="339">
        <f t="shared" si="237"/>
        <v>23.984418213788889</v>
      </c>
      <c r="L540" s="340">
        <f t="shared" si="238"/>
        <v>1.5290905015420597</v>
      </c>
      <c r="M540" s="328">
        <f t="shared" si="222"/>
        <v>1.0730787037086604</v>
      </c>
      <c r="N540" s="331">
        <f t="shared" si="223"/>
        <v>0.37118522498778916</v>
      </c>
      <c r="O540" s="332">
        <f t="shared" si="224"/>
        <v>1.0329956375747527</v>
      </c>
      <c r="P540" s="333">
        <f t="shared" si="225"/>
        <v>0.57826654622306972</v>
      </c>
      <c r="Q540" s="334">
        <f t="shared" si="226"/>
        <v>-8.1550718430004885</v>
      </c>
      <c r="R540" s="335">
        <f t="shared" si="227"/>
        <v>-142.75619329567587</v>
      </c>
      <c r="S540" s="337">
        <f t="shared" si="228"/>
        <v>37.243806704324129</v>
      </c>
      <c r="U540" s="310">
        <f t="shared" si="233"/>
        <v>80820.5</v>
      </c>
      <c r="V540" s="310">
        <f t="shared" si="234"/>
        <v>6531953220.25</v>
      </c>
      <c r="X540" s="336">
        <f t="shared" si="229"/>
        <v>0.69463660781373071</v>
      </c>
      <c r="Y540" s="337">
        <f t="shared" si="235"/>
        <v>-23.656523715139709</v>
      </c>
      <c r="AA540" s="336">
        <f t="shared" si="230"/>
        <v>-8.8497084508142176</v>
      </c>
      <c r="AB540" s="337">
        <f t="shared" si="231"/>
        <v>-119.09966958053614</v>
      </c>
      <c r="AD540">
        <f t="shared" si="236"/>
        <v>0</v>
      </c>
      <c r="AE540">
        <f t="shared" si="239"/>
        <v>0</v>
      </c>
    </row>
    <row r="541" spans="1:31" x14ac:dyDescent="0.25">
      <c r="A541" s="338">
        <v>81283</v>
      </c>
      <c r="B541" s="355">
        <f t="shared" si="232"/>
        <v>81.283000000000001</v>
      </c>
      <c r="C541" s="328">
        <f t="shared" si="214"/>
        <v>27.277162446561679</v>
      </c>
      <c r="D541" s="329">
        <f t="shared" si="215"/>
        <v>1.5341274049905371</v>
      </c>
      <c r="E541" s="329">
        <f t="shared" si="216"/>
        <v>1.0005679286174154</v>
      </c>
      <c r="F541" s="330">
        <f t="shared" si="217"/>
        <v>3.3694508806371128E-2</v>
      </c>
      <c r="G541" s="329">
        <f t="shared" si="218"/>
        <v>1</v>
      </c>
      <c r="H541" s="330">
        <f t="shared" si="219"/>
        <v>0</v>
      </c>
      <c r="I541" s="328">
        <f t="shared" si="220"/>
        <v>147416.78180208034</v>
      </c>
      <c r="J541" s="331">
        <f t="shared" si="221"/>
        <v>1.5707895433066954</v>
      </c>
      <c r="K541" s="339">
        <f t="shared" si="237"/>
        <v>24.121432521263827</v>
      </c>
      <c r="L541" s="340">
        <f t="shared" si="238"/>
        <v>1.5293275348088267</v>
      </c>
      <c r="M541" s="328">
        <f t="shared" si="222"/>
        <v>1.0738886239503149</v>
      </c>
      <c r="N541" s="331">
        <f t="shared" si="223"/>
        <v>0.37311809643015414</v>
      </c>
      <c r="O541" s="332">
        <f t="shared" si="224"/>
        <v>1.0334705485467872</v>
      </c>
      <c r="P541" s="333">
        <f t="shared" si="225"/>
        <v>0.58170383758931254</v>
      </c>
      <c r="Q541" s="334">
        <f t="shared" si="226"/>
        <v>-8.215144078010244</v>
      </c>
      <c r="R541" s="335">
        <f t="shared" si="227"/>
        <v>-143.0513376603011</v>
      </c>
      <c r="S541" s="337">
        <f t="shared" si="228"/>
        <v>36.948662339698899</v>
      </c>
      <c r="U541" s="310">
        <f t="shared" si="233"/>
        <v>81283</v>
      </c>
      <c r="V541" s="310">
        <f t="shared" si="234"/>
        <v>6606926089</v>
      </c>
      <c r="X541" s="336">
        <f t="shared" si="229"/>
        <v>0.68799762014211541</v>
      </c>
      <c r="Y541" s="337">
        <f t="shared" si="235"/>
        <v>-23.75369030960908</v>
      </c>
      <c r="AA541" s="336">
        <f t="shared" si="230"/>
        <v>-8.9031416981523606</v>
      </c>
      <c r="AB541" s="337">
        <f t="shared" si="231"/>
        <v>-119.29764735069205</v>
      </c>
      <c r="AD541">
        <f t="shared" si="236"/>
        <v>0</v>
      </c>
      <c r="AE541">
        <f t="shared" si="239"/>
        <v>0</v>
      </c>
    </row>
    <row r="542" spans="1:31" x14ac:dyDescent="0.25">
      <c r="A542" s="338">
        <v>81756.25</v>
      </c>
      <c r="B542" s="355">
        <f t="shared" si="232"/>
        <v>81.756249999999994</v>
      </c>
      <c r="C542" s="328">
        <f t="shared" si="214"/>
        <v>27.435764092624439</v>
      </c>
      <c r="D542" s="329">
        <f t="shared" si="215"/>
        <v>1.5343394762414033</v>
      </c>
      <c r="E542" s="329">
        <f t="shared" si="216"/>
        <v>1.0005745592106381</v>
      </c>
      <c r="F542" s="330">
        <f t="shared" si="217"/>
        <v>3.3890536935164105E-2</v>
      </c>
      <c r="G542" s="329">
        <f t="shared" si="218"/>
        <v>1</v>
      </c>
      <c r="H542" s="330">
        <f t="shared" si="219"/>
        <v>0</v>
      </c>
      <c r="I542" s="328">
        <f t="shared" si="220"/>
        <v>148275.07925646362</v>
      </c>
      <c r="J542" s="331">
        <f t="shared" si="221"/>
        <v>1.5707895825732443</v>
      </c>
      <c r="K542" s="339">
        <f t="shared" si="237"/>
        <v>24.261632872459998</v>
      </c>
      <c r="L542" s="340">
        <f t="shared" si="238"/>
        <v>1.5295673061923507</v>
      </c>
      <c r="M542" s="328">
        <f t="shared" si="222"/>
        <v>1.0747215160258896</v>
      </c>
      <c r="N542" s="331">
        <f t="shared" si="223"/>
        <v>0.37509287087889415</v>
      </c>
      <c r="O542" s="332">
        <f t="shared" si="224"/>
        <v>1.0339614985212411</v>
      </c>
      <c r="P542" s="333">
        <f t="shared" si="225"/>
        <v>0.58522259970803781</v>
      </c>
      <c r="Q542" s="334">
        <f t="shared" si="226"/>
        <v>-8.2763893640686614</v>
      </c>
      <c r="R542" s="335">
        <f t="shared" si="227"/>
        <v>-143.35327768523129</v>
      </c>
      <c r="S542" s="337">
        <f t="shared" si="228"/>
        <v>36.646722314768709</v>
      </c>
      <c r="U542" s="310">
        <f t="shared" si="233"/>
        <v>81756.25</v>
      </c>
      <c r="V542" s="310">
        <f t="shared" si="234"/>
        <v>6684084414.0625</v>
      </c>
      <c r="X542" s="336">
        <f t="shared" si="229"/>
        <v>0.68117742065687947</v>
      </c>
      <c r="Y542" s="337">
        <f t="shared" si="235"/>
        <v>-23.853100912609335</v>
      </c>
      <c r="AA542" s="336">
        <f t="shared" si="230"/>
        <v>-8.9575667847255431</v>
      </c>
      <c r="AB542" s="337">
        <f t="shared" si="231"/>
        <v>-119.50017677262193</v>
      </c>
      <c r="AD542">
        <f t="shared" si="236"/>
        <v>0</v>
      </c>
      <c r="AE542">
        <f t="shared" si="239"/>
        <v>0</v>
      </c>
    </row>
    <row r="543" spans="1:31" x14ac:dyDescent="0.25">
      <c r="A543" s="338">
        <v>82229.5</v>
      </c>
      <c r="B543" s="355">
        <f t="shared" si="232"/>
        <v>82.229500000000002</v>
      </c>
      <c r="C543" s="328">
        <f t="shared" si="214"/>
        <v>27.594366958405157</v>
      </c>
      <c r="D543" s="329">
        <f t="shared" si="215"/>
        <v>1.5345491096773816</v>
      </c>
      <c r="E543" s="329">
        <f t="shared" si="216"/>
        <v>1.0005812282524562</v>
      </c>
      <c r="F543" s="330">
        <f t="shared" si="217"/>
        <v>3.408656245836892E-2</v>
      </c>
      <c r="G543" s="329">
        <f t="shared" si="218"/>
        <v>1</v>
      </c>
      <c r="H543" s="330">
        <f t="shared" si="219"/>
        <v>0</v>
      </c>
      <c r="I543" s="328">
        <f t="shared" si="220"/>
        <v>149133.37671084708</v>
      </c>
      <c r="J543" s="331">
        <f t="shared" si="221"/>
        <v>1.570789621387817</v>
      </c>
      <c r="K543" s="339">
        <f t="shared" si="237"/>
        <v>24.401834602437368</v>
      </c>
      <c r="L543" s="340">
        <f t="shared" si="238"/>
        <v>1.5298043223569613</v>
      </c>
      <c r="M543" s="328">
        <f t="shared" si="222"/>
        <v>1.0755585927290483</v>
      </c>
      <c r="N543" s="331">
        <f t="shared" si="223"/>
        <v>0.37706457918509784</v>
      </c>
      <c r="O543" s="332">
        <f t="shared" si="224"/>
        <v>1.0344575417905773</v>
      </c>
      <c r="P543" s="333">
        <f t="shared" si="225"/>
        <v>0.5887429464461772</v>
      </c>
      <c r="Q543" s="334">
        <f t="shared" si="226"/>
        <v>-8.3374123336003461</v>
      </c>
      <c r="R543" s="335">
        <f t="shared" si="227"/>
        <v>-143.65515113444314</v>
      </c>
      <c r="S543" s="337">
        <f t="shared" si="228"/>
        <v>36.344848865556855</v>
      </c>
      <c r="U543" s="310">
        <f t="shared" si="233"/>
        <v>82229.5</v>
      </c>
      <c r="V543" s="310">
        <f t="shared" si="234"/>
        <v>6761690670.25</v>
      </c>
      <c r="X543" s="336">
        <f t="shared" si="229"/>
        <v>0.67433012577682083</v>
      </c>
      <c r="Y543" s="337">
        <f t="shared" si="235"/>
        <v>-23.952493675101895</v>
      </c>
      <c r="AA543" s="336">
        <f t="shared" si="230"/>
        <v>-9.0117424593771673</v>
      </c>
      <c r="AB543" s="337">
        <f t="shared" si="231"/>
        <v>-119.70265745934124</v>
      </c>
      <c r="AD543">
        <f t="shared" si="236"/>
        <v>0</v>
      </c>
      <c r="AE543">
        <f t="shared" si="239"/>
        <v>0</v>
      </c>
    </row>
    <row r="544" spans="1:31" x14ac:dyDescent="0.25">
      <c r="A544" s="338">
        <v>82702.75</v>
      </c>
      <c r="B544" s="355">
        <f t="shared" si="232"/>
        <v>82.702749999999995</v>
      </c>
      <c r="C544" s="328">
        <f t="shared" si="214"/>
        <v>27.75297102299248</v>
      </c>
      <c r="D544" s="329">
        <f t="shared" si="215"/>
        <v>1.5347563470751253</v>
      </c>
      <c r="E544" s="329">
        <f t="shared" si="216"/>
        <v>1.000587935742101</v>
      </c>
      <c r="F544" s="330">
        <f t="shared" si="217"/>
        <v>3.4282585360972874E-2</v>
      </c>
      <c r="G544" s="329">
        <f t="shared" si="218"/>
        <v>1</v>
      </c>
      <c r="H544" s="330">
        <f t="shared" si="219"/>
        <v>0</v>
      </c>
      <c r="I544" s="328">
        <f t="shared" si="220"/>
        <v>149991.6741652308</v>
      </c>
      <c r="J544" s="331">
        <f t="shared" si="221"/>
        <v>1.5707896597581723</v>
      </c>
      <c r="K544" s="339">
        <f t="shared" si="237"/>
        <v>24.542037687566179</v>
      </c>
      <c r="L544" s="340">
        <f t="shared" si="238"/>
        <v>1.5300386304956175</v>
      </c>
      <c r="M544" s="328">
        <f t="shared" si="222"/>
        <v>1.0763998442970963</v>
      </c>
      <c r="N544" s="331">
        <f t="shared" si="223"/>
        <v>0.37903321318941591</v>
      </c>
      <c r="O544" s="332">
        <f t="shared" si="224"/>
        <v>1.0349587140458909</v>
      </c>
      <c r="P544" s="333">
        <f t="shared" si="225"/>
        <v>0.59226486696512992</v>
      </c>
      <c r="Q544" s="334">
        <f t="shared" si="226"/>
        <v>-8.3982164248107871</v>
      </c>
      <c r="R544" s="335">
        <f t="shared" si="227"/>
        <v>-143.95695661040764</v>
      </c>
      <c r="S544" s="337">
        <f t="shared" si="228"/>
        <v>36.043043389592356</v>
      </c>
      <c r="U544" s="310">
        <f t="shared" si="233"/>
        <v>82702.75</v>
      </c>
      <c r="V544" s="310">
        <f t="shared" si="234"/>
        <v>6839744857.5625</v>
      </c>
      <c r="X544" s="336">
        <f t="shared" si="229"/>
        <v>0.66745585127455542</v>
      </c>
      <c r="Y544" s="337">
        <f t="shared" si="235"/>
        <v>-24.051865426077665</v>
      </c>
      <c r="AA544" s="336">
        <f t="shared" si="230"/>
        <v>-9.0656722760853423</v>
      </c>
      <c r="AB544" s="337">
        <f t="shared" si="231"/>
        <v>-119.90509118432998</v>
      </c>
      <c r="AD544">
        <f t="shared" si="236"/>
        <v>0</v>
      </c>
      <c r="AE544">
        <f t="shared" si="239"/>
        <v>0</v>
      </c>
    </row>
    <row r="545" spans="1:31" x14ac:dyDescent="0.25">
      <c r="A545" s="338">
        <v>83176</v>
      </c>
      <c r="B545" s="355">
        <f t="shared" si="232"/>
        <v>83.176000000000002</v>
      </c>
      <c r="C545" s="328">
        <f t="shared" si="214"/>
        <v>27.911576265950195</v>
      </c>
      <c r="D545" s="329">
        <f t="shared" si="215"/>
        <v>1.5349612292625532</v>
      </c>
      <c r="E545" s="329">
        <f t="shared" si="216"/>
        <v>1.0005946816787994</v>
      </c>
      <c r="F545" s="330">
        <f t="shared" si="217"/>
        <v>3.4478605627964447E-2</v>
      </c>
      <c r="G545" s="329">
        <f t="shared" si="218"/>
        <v>1</v>
      </c>
      <c r="H545" s="330">
        <f t="shared" si="219"/>
        <v>0</v>
      </c>
      <c r="I545" s="328">
        <f t="shared" si="220"/>
        <v>150849.97161961469</v>
      </c>
      <c r="J545" s="331">
        <f t="shared" si="221"/>
        <v>1.5707896976918927</v>
      </c>
      <c r="K545" s="339">
        <f t="shared" si="237"/>
        <v>24.682242104753328</v>
      </c>
      <c r="L545" s="340">
        <f t="shared" si="238"/>
        <v>1.5302702767301875</v>
      </c>
      <c r="M545" s="328">
        <f t="shared" si="222"/>
        <v>1.0772452609492209</v>
      </c>
      <c r="N545" s="331">
        <f t="shared" si="223"/>
        <v>0.38099876485323819</v>
      </c>
      <c r="O545" s="332">
        <f t="shared" si="224"/>
        <v>1.0354650510814658</v>
      </c>
      <c r="P545" s="333">
        <f t="shared" si="225"/>
        <v>0.59578835011526599</v>
      </c>
      <c r="Q545" s="334">
        <f t="shared" si="226"/>
        <v>-8.4588050182137273</v>
      </c>
      <c r="R545" s="335">
        <f t="shared" si="227"/>
        <v>-144.2586927116931</v>
      </c>
      <c r="S545" s="337">
        <f t="shared" si="228"/>
        <v>35.741307288306899</v>
      </c>
      <c r="U545" s="310">
        <f t="shared" si="233"/>
        <v>83176</v>
      </c>
      <c r="V545" s="310">
        <f t="shared" si="234"/>
        <v>6918246976</v>
      </c>
      <c r="X545" s="336">
        <f t="shared" si="229"/>
        <v>0.66055471394479537</v>
      </c>
      <c r="Y545" s="337">
        <f t="shared" si="235"/>
        <v>-24.151213062804249</v>
      </c>
      <c r="AA545" s="336">
        <f t="shared" si="230"/>
        <v>-9.1193597321585269</v>
      </c>
      <c r="AB545" s="337">
        <f t="shared" si="231"/>
        <v>-120.10747964888887</v>
      </c>
      <c r="AD545">
        <f t="shared" si="236"/>
        <v>0</v>
      </c>
      <c r="AE545">
        <f t="shared" si="239"/>
        <v>0</v>
      </c>
    </row>
    <row r="546" spans="1:31" x14ac:dyDescent="0.25">
      <c r="A546" s="338">
        <v>83660.5</v>
      </c>
      <c r="B546" s="355">
        <f t="shared" si="232"/>
        <v>83.660499999999999</v>
      </c>
      <c r="C546" s="328">
        <f t="shared" si="214"/>
        <v>28.073953039432368</v>
      </c>
      <c r="D546" s="329">
        <f t="shared" si="215"/>
        <v>1.5351685836715177</v>
      </c>
      <c r="E546" s="329">
        <f t="shared" si="216"/>
        <v>1.0006016278065313</v>
      </c>
      <c r="F546" s="330">
        <f t="shared" si="217"/>
        <v>3.4679282901727275E-2</v>
      </c>
      <c r="G546" s="329">
        <f t="shared" si="218"/>
        <v>1</v>
      </c>
      <c r="H546" s="330">
        <f t="shared" si="219"/>
        <v>0</v>
      </c>
      <c r="I546" s="328">
        <f t="shared" si="220"/>
        <v>151728.67234153571</v>
      </c>
      <c r="J546" s="331">
        <f t="shared" si="221"/>
        <v>1.5707897360827749</v>
      </c>
      <c r="K546" s="339">
        <f t="shared" si="237"/>
        <v>24.825780788384172</v>
      </c>
      <c r="L546" s="340">
        <f t="shared" si="238"/>
        <v>1.5305047191019847</v>
      </c>
      <c r="M546" s="328">
        <f t="shared" si="222"/>
        <v>1.0781150792161396</v>
      </c>
      <c r="N546" s="331">
        <f t="shared" si="223"/>
        <v>0.38300783981247144</v>
      </c>
      <c r="O546" s="332">
        <f t="shared" si="224"/>
        <v>1.0359888125396164</v>
      </c>
      <c r="P546" s="333">
        <f t="shared" si="225"/>
        <v>0.59939719959338433</v>
      </c>
      <c r="Q546" s="334">
        <f t="shared" si="226"/>
        <v>-8.5206141386524017</v>
      </c>
      <c r="R546" s="335">
        <f t="shared" si="227"/>
        <v>-144.56752828478841</v>
      </c>
      <c r="S546" s="337">
        <f t="shared" si="228"/>
        <v>35.432471715211591</v>
      </c>
      <c r="U546" s="310">
        <f t="shared" si="233"/>
        <v>83660.5</v>
      </c>
      <c r="V546" s="310">
        <f t="shared" si="234"/>
        <v>6999079260.25</v>
      </c>
      <c r="X546" s="336">
        <f t="shared" si="229"/>
        <v>0.65346181891991917</v>
      </c>
      <c r="Y546" s="337">
        <f t="shared" si="235"/>
        <v>-24.252894220002421</v>
      </c>
      <c r="AA546" s="336">
        <f t="shared" si="230"/>
        <v>-9.1740759575723239</v>
      </c>
      <c r="AB546" s="337">
        <f t="shared" si="231"/>
        <v>-120.31463406478605</v>
      </c>
      <c r="AD546">
        <f t="shared" si="236"/>
        <v>0</v>
      </c>
      <c r="AE546">
        <f t="shared" si="239"/>
        <v>0</v>
      </c>
    </row>
    <row r="547" spans="1:31" x14ac:dyDescent="0.25">
      <c r="A547" s="338">
        <v>84145</v>
      </c>
      <c r="B547" s="355">
        <f t="shared" si="232"/>
        <v>84.144999999999996</v>
      </c>
      <c r="C547" s="328">
        <f t="shared" si="214"/>
        <v>28.236331006095249</v>
      </c>
      <c r="D547" s="329">
        <f t="shared" si="215"/>
        <v>1.5353735532335226</v>
      </c>
      <c r="E547" s="329">
        <f t="shared" si="216"/>
        <v>1.0006086142292991</v>
      </c>
      <c r="F547" s="330">
        <f t="shared" si="217"/>
        <v>3.4879957381244428E-2</v>
      </c>
      <c r="G547" s="329">
        <f t="shared" si="218"/>
        <v>1</v>
      </c>
      <c r="H547" s="330">
        <f t="shared" si="219"/>
        <v>0</v>
      </c>
      <c r="I547" s="328">
        <f t="shared" si="220"/>
        <v>152607.37306345691</v>
      </c>
      <c r="J547" s="331">
        <f t="shared" si="221"/>
        <v>1.5707897740315542</v>
      </c>
      <c r="K547" s="339">
        <f t="shared" si="237"/>
        <v>24.969320820831967</v>
      </c>
      <c r="L547" s="340">
        <f t="shared" si="238"/>
        <v>1.530736466029369</v>
      </c>
      <c r="M547" s="328">
        <f t="shared" si="222"/>
        <v>1.0789892421411786</v>
      </c>
      <c r="N547" s="331">
        <f t="shared" si="223"/>
        <v>0.38501366747923127</v>
      </c>
      <c r="O547" s="332">
        <f t="shared" si="224"/>
        <v>1.0365180634958031</v>
      </c>
      <c r="P547" s="333">
        <f t="shared" si="225"/>
        <v>0.60300766222891045</v>
      </c>
      <c r="Q547" s="334">
        <f t="shared" si="226"/>
        <v>-8.582204384727703</v>
      </c>
      <c r="R547" s="335">
        <f t="shared" si="227"/>
        <v>-144.87628815953238</v>
      </c>
      <c r="S547" s="337">
        <f t="shared" si="228"/>
        <v>35.123711840467621</v>
      </c>
      <c r="U547" s="310">
        <f t="shared" si="233"/>
        <v>84145</v>
      </c>
      <c r="V547" s="310">
        <f t="shared" si="234"/>
        <v>7080381025</v>
      </c>
      <c r="X547" s="336">
        <f t="shared" si="229"/>
        <v>0.64634101957726164</v>
      </c>
      <c r="Y547" s="337">
        <f t="shared" si="235"/>
        <v>-24.354543733305128</v>
      </c>
      <c r="AA547" s="336">
        <f t="shared" si="230"/>
        <v>-9.2285454043049651</v>
      </c>
      <c r="AB547" s="337">
        <f t="shared" si="231"/>
        <v>-120.52174442622722</v>
      </c>
      <c r="AD547">
        <f t="shared" si="236"/>
        <v>0</v>
      </c>
      <c r="AE547">
        <f t="shared" si="239"/>
        <v>0</v>
      </c>
    </row>
    <row r="548" spans="1:31" x14ac:dyDescent="0.25">
      <c r="A548" s="338">
        <v>84629.5</v>
      </c>
      <c r="B548" s="355">
        <f t="shared" si="232"/>
        <v>84.629499999999993</v>
      </c>
      <c r="C548" s="328">
        <f t="shared" si="214"/>
        <v>28.398710145471764</v>
      </c>
      <c r="D548" s="329">
        <f t="shared" si="215"/>
        <v>1.5355761788396802</v>
      </c>
      <c r="E548" s="329">
        <f t="shared" si="216"/>
        <v>1.0006156409462594</v>
      </c>
      <c r="F548" s="330">
        <f t="shared" si="217"/>
        <v>3.508062905041219E-2</v>
      </c>
      <c r="G548" s="329">
        <f t="shared" si="218"/>
        <v>1</v>
      </c>
      <c r="H548" s="330">
        <f t="shared" si="219"/>
        <v>0</v>
      </c>
      <c r="I548" s="328">
        <f t="shared" si="220"/>
        <v>153486.07378537834</v>
      </c>
      <c r="J548" s="331">
        <f t="shared" si="221"/>
        <v>1.5707898115458232</v>
      </c>
      <c r="K548" s="339">
        <f t="shared" si="237"/>
        <v>25.112862178968037</v>
      </c>
      <c r="L548" s="340">
        <f t="shared" si="238"/>
        <v>1.530965563707501</v>
      </c>
      <c r="M548" s="328">
        <f t="shared" si="222"/>
        <v>1.0798677391732159</v>
      </c>
      <c r="N548" s="331">
        <f t="shared" si="223"/>
        <v>0.38701623961903342</v>
      </c>
      <c r="O548" s="332">
        <f t="shared" si="224"/>
        <v>1.0370528426808707</v>
      </c>
      <c r="P548" s="333">
        <f t="shared" si="225"/>
        <v>0.60661972504302009</v>
      </c>
      <c r="Q548" s="334">
        <f t="shared" si="226"/>
        <v>-8.6435792041701731</v>
      </c>
      <c r="R548" s="335">
        <f t="shared" si="227"/>
        <v>-145.1849708179499</v>
      </c>
      <c r="S548" s="337">
        <f t="shared" si="228"/>
        <v>34.815029182050097</v>
      </c>
      <c r="U548" s="310">
        <f t="shared" si="233"/>
        <v>84629.5</v>
      </c>
      <c r="V548" s="310">
        <f t="shared" si="234"/>
        <v>7162152270.25</v>
      </c>
      <c r="X548" s="336">
        <f t="shared" si="229"/>
        <v>0.63919244430746092</v>
      </c>
      <c r="Y548" s="337">
        <f t="shared" si="235"/>
        <v>-24.456158484558454</v>
      </c>
      <c r="AA548" s="336">
        <f t="shared" si="230"/>
        <v>-9.2827716484776364</v>
      </c>
      <c r="AB548" s="337">
        <f t="shared" si="231"/>
        <v>-120.72881233339143</v>
      </c>
      <c r="AD548">
        <f t="shared" si="236"/>
        <v>0</v>
      </c>
      <c r="AE548">
        <f t="shared" si="239"/>
        <v>0</v>
      </c>
    </row>
    <row r="549" spans="1:31" x14ac:dyDescent="0.25">
      <c r="A549" s="338">
        <v>85114</v>
      </c>
      <c r="B549" s="355">
        <f t="shared" si="232"/>
        <v>85.114000000000004</v>
      </c>
      <c r="C549" s="328">
        <f t="shared" si="214"/>
        <v>28.561090437560122</v>
      </c>
      <c r="D549" s="329">
        <f t="shared" si="215"/>
        <v>1.535776500451959</v>
      </c>
      <c r="E549" s="329">
        <f t="shared" si="216"/>
        <v>1.0006227079565628</v>
      </c>
      <c r="F549" s="330">
        <f t="shared" si="217"/>
        <v>3.5281297893128193E-2</v>
      </c>
      <c r="G549" s="329">
        <f t="shared" si="218"/>
        <v>1</v>
      </c>
      <c r="H549" s="330">
        <f t="shared" si="219"/>
        <v>0</v>
      </c>
      <c r="I549" s="328">
        <f t="shared" si="220"/>
        <v>154364.7745073</v>
      </c>
      <c r="J549" s="331">
        <f t="shared" si="221"/>
        <v>1.5707898486330025</v>
      </c>
      <c r="K549" s="339">
        <f t="shared" si="237"/>
        <v>25.256404840189251</v>
      </c>
      <c r="L549" s="340">
        <f t="shared" si="238"/>
        <v>1.5311920572824833</v>
      </c>
      <c r="M549" s="328">
        <f t="shared" si="222"/>
        <v>1.0807505597432068</v>
      </c>
      <c r="N549" s="331">
        <f t="shared" si="223"/>
        <v>0.38901554812854561</v>
      </c>
      <c r="O549" s="332">
        <f t="shared" si="224"/>
        <v>1.0375931889299086</v>
      </c>
      <c r="P549" s="333">
        <f t="shared" si="225"/>
        <v>0.610233374714096</v>
      </c>
      <c r="Q549" s="334">
        <f t="shared" si="226"/>
        <v>-8.7047419867948417</v>
      </c>
      <c r="R549" s="335">
        <f t="shared" si="227"/>
        <v>-145.49357473680061</v>
      </c>
      <c r="S549" s="337">
        <f t="shared" si="228"/>
        <v>34.50642526319939</v>
      </c>
      <c r="U549" s="310">
        <f t="shared" si="233"/>
        <v>85114</v>
      </c>
      <c r="V549" s="310">
        <f t="shared" si="234"/>
        <v>7244392996</v>
      </c>
      <c r="X549" s="336">
        <f t="shared" si="229"/>
        <v>0.63201622245151812</v>
      </c>
      <c r="Y549" s="337">
        <f t="shared" si="235"/>
        <v>-24.5577354232197</v>
      </c>
      <c r="AA549" s="336">
        <f t="shared" si="230"/>
        <v>-9.3367582092463604</v>
      </c>
      <c r="AB549" s="337">
        <f t="shared" si="231"/>
        <v>-120.93583931358089</v>
      </c>
      <c r="AD549">
        <f t="shared" si="236"/>
        <v>0</v>
      </c>
      <c r="AE549">
        <f t="shared" si="239"/>
        <v>0</v>
      </c>
    </row>
    <row r="550" spans="1:31" x14ac:dyDescent="0.25">
      <c r="A550" s="338">
        <v>85609.5</v>
      </c>
      <c r="B550" s="355">
        <f t="shared" si="232"/>
        <v>85.609499999999997</v>
      </c>
      <c r="C550" s="328">
        <f t="shared" si="214"/>
        <v>28.727158554201356</v>
      </c>
      <c r="D550" s="329">
        <f t="shared" si="215"/>
        <v>1.5359790277776861</v>
      </c>
      <c r="E550" s="329">
        <f t="shared" si="216"/>
        <v>1.000629977090042</v>
      </c>
      <c r="F550" s="330">
        <f t="shared" si="217"/>
        <v>3.548651974458502E-2</v>
      </c>
      <c r="G550" s="329">
        <f t="shared" si="218"/>
        <v>1</v>
      </c>
      <c r="H550" s="330">
        <f t="shared" si="219"/>
        <v>0</v>
      </c>
      <c r="I550" s="328">
        <f t="shared" si="220"/>
        <v>155263.42509081349</v>
      </c>
      <c r="J550" s="331">
        <f t="shared" si="221"/>
        <v>1.5707898861280143</v>
      </c>
      <c r="K550" s="339">
        <f t="shared" si="237"/>
        <v>25.403207792697206</v>
      </c>
      <c r="L550" s="340">
        <f t="shared" si="238"/>
        <v>1.5314210456478077</v>
      </c>
      <c r="M550" s="328">
        <f t="shared" si="222"/>
        <v>1.081657884571873</v>
      </c>
      <c r="N550" s="331">
        <f t="shared" si="223"/>
        <v>0.39105686465080736</v>
      </c>
      <c r="O550" s="332">
        <f t="shared" si="224"/>
        <v>1.0381516017696633</v>
      </c>
      <c r="P550" s="333">
        <f t="shared" si="225"/>
        <v>0.61393069509602594</v>
      </c>
      <c r="Q550" s="334">
        <f t="shared" si="226"/>
        <v>-8.7670775589096586</v>
      </c>
      <c r="R550" s="335">
        <f t="shared" si="227"/>
        <v>-145.80910210839247</v>
      </c>
      <c r="S550" s="337">
        <f t="shared" si="228"/>
        <v>34.190897891607534</v>
      </c>
      <c r="U550" s="310">
        <f t="shared" si="233"/>
        <v>85609.5</v>
      </c>
      <c r="V550" s="310">
        <f t="shared" si="234"/>
        <v>7328986490.25</v>
      </c>
      <c r="X550" s="336">
        <f t="shared" si="229"/>
        <v>0.62464861346718048</v>
      </c>
      <c r="Y550" s="337">
        <f t="shared" si="235"/>
        <v>-24.661576326129527</v>
      </c>
      <c r="AA550" s="336">
        <f t="shared" si="230"/>
        <v>-9.3917261723768402</v>
      </c>
      <c r="AB550" s="337">
        <f t="shared" si="231"/>
        <v>-121.14752578226297</v>
      </c>
      <c r="AD550">
        <f t="shared" si="236"/>
        <v>0</v>
      </c>
      <c r="AE550">
        <f t="shared" si="239"/>
        <v>0</v>
      </c>
    </row>
    <row r="551" spans="1:31" x14ac:dyDescent="0.25">
      <c r="A551" s="338">
        <v>86105</v>
      </c>
      <c r="B551" s="355">
        <f t="shared" si="232"/>
        <v>86.105000000000004</v>
      </c>
      <c r="C551" s="328">
        <f t="shared" si="214"/>
        <v>28.893227835608521</v>
      </c>
      <c r="D551" s="329">
        <f t="shared" si="215"/>
        <v>1.5361792269834713</v>
      </c>
      <c r="E551" s="329">
        <f t="shared" si="216"/>
        <v>1.0006372883654484</v>
      </c>
      <c r="F551" s="330">
        <f t="shared" si="217"/>
        <v>3.5691738605728995E-2</v>
      </c>
      <c r="G551" s="329">
        <f t="shared" si="218"/>
        <v>1</v>
      </c>
      <c r="H551" s="330">
        <f t="shared" si="219"/>
        <v>0</v>
      </c>
      <c r="I551" s="328">
        <f t="shared" si="220"/>
        <v>156162.07567432718</v>
      </c>
      <c r="J551" s="331">
        <f t="shared" si="221"/>
        <v>1.5707899231914886</v>
      </c>
      <c r="K551" s="339">
        <f t="shared" si="237"/>
        <v>25.550012061932421</v>
      </c>
      <c r="L551" s="340">
        <f t="shared" si="238"/>
        <v>1.5316474025999356</v>
      </c>
      <c r="M551" s="328">
        <f t="shared" si="222"/>
        <v>1.0825697090737223</v>
      </c>
      <c r="N551" s="331">
        <f t="shared" si="223"/>
        <v>0.39309475094155716</v>
      </c>
      <c r="O551" s="332">
        <f t="shared" si="224"/>
        <v>1.0387159198130895</v>
      </c>
      <c r="P551" s="333">
        <f t="shared" si="225"/>
        <v>0.61762964592711123</v>
      </c>
      <c r="Q551" s="334">
        <f t="shared" si="226"/>
        <v>-8.82919834834866</v>
      </c>
      <c r="R551" s="335">
        <f t="shared" si="227"/>
        <v>-146.12454388408167</v>
      </c>
      <c r="S551" s="337">
        <f t="shared" si="228"/>
        <v>33.875456115918325</v>
      </c>
      <c r="U551" s="310">
        <f t="shared" si="233"/>
        <v>86105</v>
      </c>
      <c r="V551" s="310">
        <f t="shared" si="234"/>
        <v>7414071025</v>
      </c>
      <c r="X551" s="336">
        <f t="shared" si="229"/>
        <v>0.61725236478393519</v>
      </c>
      <c r="Y551" s="337">
        <f t="shared" si="235"/>
        <v>-24.765371435395938</v>
      </c>
      <c r="AA551" s="336">
        <f t="shared" si="230"/>
        <v>-9.446450713132597</v>
      </c>
      <c r="AB551" s="337">
        <f t="shared" si="231"/>
        <v>-121.35917244868574</v>
      </c>
      <c r="AD551">
        <f t="shared" si="236"/>
        <v>0</v>
      </c>
      <c r="AE551">
        <f t="shared" si="239"/>
        <v>0</v>
      </c>
    </row>
    <row r="552" spans="1:31" x14ac:dyDescent="0.25">
      <c r="A552" s="338">
        <v>86600.5</v>
      </c>
      <c r="B552" s="355">
        <f t="shared" si="232"/>
        <v>86.600499999999997</v>
      </c>
      <c r="C552" s="328">
        <f t="shared" si="214"/>
        <v>29.059298261812248</v>
      </c>
      <c r="D552" s="329">
        <f t="shared" si="215"/>
        <v>1.5363771379679119</v>
      </c>
      <c r="E552" s="329">
        <f t="shared" si="216"/>
        <v>1.0006446417818582</v>
      </c>
      <c r="F552" s="330">
        <f t="shared" si="217"/>
        <v>3.5896954459340359E-2</v>
      </c>
      <c r="G552" s="329">
        <f t="shared" si="218"/>
        <v>1</v>
      </c>
      <c r="H552" s="330">
        <f t="shared" si="219"/>
        <v>0</v>
      </c>
      <c r="I552" s="328">
        <f t="shared" si="220"/>
        <v>157060.7262578411</v>
      </c>
      <c r="J552" s="331">
        <f t="shared" si="221"/>
        <v>1.5707899598308324</v>
      </c>
      <c r="K552" s="339">
        <f t="shared" si="237"/>
        <v>25.69681762532775</v>
      </c>
      <c r="L552" s="340">
        <f t="shared" si="238"/>
        <v>1.5318711732151515</v>
      </c>
      <c r="M552" s="328">
        <f t="shared" si="222"/>
        <v>1.0834860218884454</v>
      </c>
      <c r="N552" s="331">
        <f t="shared" si="223"/>
        <v>0.39512919875590391</v>
      </c>
      <c r="O552" s="332">
        <f t="shared" si="224"/>
        <v>1.039286184923794</v>
      </c>
      <c r="P552" s="333">
        <f t="shared" si="225"/>
        <v>0.62133021184422721</v>
      </c>
      <c r="Q552" s="334">
        <f t="shared" si="226"/>
        <v>-8.8911078013724811</v>
      </c>
      <c r="R552" s="335">
        <f t="shared" si="227"/>
        <v>-146.43989841597988</v>
      </c>
      <c r="S552" s="337">
        <f t="shared" si="228"/>
        <v>33.560101584020117</v>
      </c>
      <c r="U552" s="310">
        <f t="shared" si="233"/>
        <v>86600.5</v>
      </c>
      <c r="V552" s="310">
        <f t="shared" si="234"/>
        <v>7499646600.25</v>
      </c>
      <c r="X552" s="336">
        <f t="shared" si="229"/>
        <v>0.60982761758083881</v>
      </c>
      <c r="Y552" s="337">
        <f t="shared" si="235"/>
        <v>-24.869117696365002</v>
      </c>
      <c r="AA552" s="336">
        <f t="shared" si="230"/>
        <v>-9.5009354189533184</v>
      </c>
      <c r="AB552" s="337">
        <f t="shared" si="231"/>
        <v>-121.57078071961486</v>
      </c>
      <c r="AD552">
        <f t="shared" si="236"/>
        <v>0</v>
      </c>
      <c r="AE552">
        <f t="shared" si="239"/>
        <v>0</v>
      </c>
    </row>
    <row r="553" spans="1:31" x14ac:dyDescent="0.25">
      <c r="A553" s="338">
        <v>87096</v>
      </c>
      <c r="B553" s="355">
        <f t="shared" si="232"/>
        <v>87.096000000000004</v>
      </c>
      <c r="C553" s="328">
        <f t="shared" si="214"/>
        <v>29.225369813296947</v>
      </c>
      <c r="D553" s="329">
        <f t="shared" si="215"/>
        <v>1.5365727997234448</v>
      </c>
      <c r="E553" s="329">
        <f t="shared" si="216"/>
        <v>1.0006520373383423</v>
      </c>
      <c r="F553" s="330">
        <f t="shared" si="217"/>
        <v>3.6102167288200857E-2</v>
      </c>
      <c r="G553" s="329">
        <f t="shared" si="218"/>
        <v>1</v>
      </c>
      <c r="H553" s="330">
        <f t="shared" si="219"/>
        <v>0</v>
      </c>
      <c r="I553" s="328">
        <f t="shared" si="220"/>
        <v>157959.3768413552</v>
      </c>
      <c r="J553" s="331">
        <f t="shared" si="221"/>
        <v>1.5707899960532845</v>
      </c>
      <c r="K553" s="339">
        <f t="shared" si="237"/>
        <v>25.843624460828636</v>
      </c>
      <c r="L553" s="340">
        <f t="shared" si="238"/>
        <v>1.5320924015465514</v>
      </c>
      <c r="M553" s="328">
        <f t="shared" si="222"/>
        <v>1.084406811638305</v>
      </c>
      <c r="N553" s="331">
        <f t="shared" si="223"/>
        <v>0.3971601999906087</v>
      </c>
      <c r="O553" s="332">
        <f t="shared" si="224"/>
        <v>1.0398624390689457</v>
      </c>
      <c r="P553" s="333">
        <f t="shared" si="225"/>
        <v>0.62503237710883242</v>
      </c>
      <c r="Q553" s="334">
        <f t="shared" si="226"/>
        <v>-8.9528093063159346</v>
      </c>
      <c r="R553" s="335">
        <f t="shared" si="227"/>
        <v>-146.75516404950054</v>
      </c>
      <c r="S553" s="337">
        <f t="shared" si="228"/>
        <v>33.244835950499464</v>
      </c>
      <c r="U553" s="310">
        <f t="shared" si="233"/>
        <v>87096</v>
      </c>
      <c r="V553" s="310">
        <f t="shared" si="234"/>
        <v>7585713216</v>
      </c>
      <c r="X553" s="336">
        <f t="shared" si="229"/>
        <v>0.60237451390735408</v>
      </c>
      <c r="Y553" s="337">
        <f t="shared" si="235"/>
        <v>-24.972812121113641</v>
      </c>
      <c r="AA553" s="336">
        <f t="shared" si="230"/>
        <v>-9.5551838202232915</v>
      </c>
      <c r="AB553" s="337">
        <f t="shared" si="231"/>
        <v>-121.78235192838696</v>
      </c>
      <c r="AD553">
        <f t="shared" si="236"/>
        <v>0</v>
      </c>
      <c r="AE553">
        <f t="shared" si="239"/>
        <v>0</v>
      </c>
    </row>
    <row r="554" spans="1:31" x14ac:dyDescent="0.25">
      <c r="A554" s="338">
        <v>87603.25</v>
      </c>
      <c r="B554" s="355">
        <f t="shared" si="232"/>
        <v>87.603250000000003</v>
      </c>
      <c r="C554" s="328">
        <f t="shared" si="214"/>
        <v>29.395380635074499</v>
      </c>
      <c r="D554" s="329">
        <f t="shared" si="215"/>
        <v>1.5367708112067775</v>
      </c>
      <c r="E554" s="329">
        <f t="shared" si="216"/>
        <v>1.0006596519186444</v>
      </c>
      <c r="F554" s="330">
        <f t="shared" si="217"/>
        <v>3.6312243264056042E-2</v>
      </c>
      <c r="G554" s="329">
        <f t="shared" si="218"/>
        <v>1</v>
      </c>
      <c r="H554" s="330">
        <f t="shared" si="219"/>
        <v>0</v>
      </c>
      <c r="I554" s="328">
        <f t="shared" si="220"/>
        <v>158879.33750429697</v>
      </c>
      <c r="J554" s="331">
        <f t="shared" si="221"/>
        <v>1.5707900327102426</v>
      </c>
      <c r="K554" s="339">
        <f t="shared" si="237"/>
        <v>25.993913883803607</v>
      </c>
      <c r="L554" s="340">
        <f t="shared" si="238"/>
        <v>1.5323162874795002</v>
      </c>
      <c r="M554" s="328">
        <f t="shared" si="222"/>
        <v>1.0853540620054827</v>
      </c>
      <c r="N554" s="331">
        <f t="shared" si="223"/>
        <v>0.39923578475638477</v>
      </c>
      <c r="O554" s="332">
        <f t="shared" si="224"/>
        <v>1.0404586058414989</v>
      </c>
      <c r="P554" s="333">
        <f t="shared" si="225"/>
        <v>0.62882397323645445</v>
      </c>
      <c r="Q554" s="334">
        <f t="shared" si="226"/>
        <v>-9.0157620397849954</v>
      </c>
      <c r="R554" s="335">
        <f t="shared" si="227"/>
        <v>-147.07781188943596</v>
      </c>
      <c r="S554" s="337">
        <f t="shared" si="228"/>
        <v>32.922188110564036</v>
      </c>
      <c r="U554" s="310">
        <f t="shared" si="233"/>
        <v>87603.25</v>
      </c>
      <c r="V554" s="310">
        <f t="shared" si="234"/>
        <v>7674329410.5625</v>
      </c>
      <c r="X554" s="336">
        <f t="shared" si="229"/>
        <v>0.59471544774143414</v>
      </c>
      <c r="Y554" s="337">
        <f t="shared" si="235"/>
        <v>-25.078908749574165</v>
      </c>
      <c r="AA554" s="336">
        <f t="shared" si="230"/>
        <v>-9.6104774875264294</v>
      </c>
      <c r="AB554" s="337">
        <f t="shared" si="231"/>
        <v>-121.99890313986174</v>
      </c>
      <c r="AD554">
        <f t="shared" si="236"/>
        <v>0</v>
      </c>
      <c r="AE554">
        <f t="shared" si="239"/>
        <v>0</v>
      </c>
    </row>
    <row r="555" spans="1:31" x14ac:dyDescent="0.25">
      <c r="A555" s="338">
        <v>88110.5</v>
      </c>
      <c r="B555" s="355">
        <f t="shared" si="232"/>
        <v>88.110500000000002</v>
      </c>
      <c r="C555" s="328">
        <f t="shared" si="214"/>
        <v>29.565392596147117</v>
      </c>
      <c r="D555" s="329">
        <f t="shared" si="215"/>
        <v>1.536966545418931</v>
      </c>
      <c r="E555" s="329">
        <f t="shared" si="216"/>
        <v>1.0006673106593005</v>
      </c>
      <c r="F555" s="330">
        <f t="shared" si="217"/>
        <v>3.6522316033493048E-2</v>
      </c>
      <c r="G555" s="329">
        <f t="shared" si="218"/>
        <v>1</v>
      </c>
      <c r="H555" s="330">
        <f t="shared" si="219"/>
        <v>0</v>
      </c>
      <c r="I555" s="328">
        <f t="shared" si="220"/>
        <v>159799.29816723894</v>
      </c>
      <c r="J555" s="331">
        <f t="shared" si="221"/>
        <v>1.5707900689451346</v>
      </c>
      <c r="K555" s="339">
        <f t="shared" si="237"/>
        <v>26.144204594741286</v>
      </c>
      <c r="L555" s="340">
        <f t="shared" si="238"/>
        <v>1.5325375993940056</v>
      </c>
      <c r="M555" s="328">
        <f t="shared" si="222"/>
        <v>1.0863059799683334</v>
      </c>
      <c r="N555" s="331">
        <f t="shared" si="223"/>
        <v>0.40130774081112375</v>
      </c>
      <c r="O555" s="332">
        <f t="shared" si="224"/>
        <v>1.0410611383833717</v>
      </c>
      <c r="P555" s="333">
        <f t="shared" si="225"/>
        <v>0.63261721087904932</v>
      </c>
      <c r="Q555" s="334">
        <f t="shared" si="226"/>
        <v>-9.0785038514812229</v>
      </c>
      <c r="R555" s="335">
        <f t="shared" si="227"/>
        <v>-147.40036303332104</v>
      </c>
      <c r="S555" s="337">
        <f t="shared" si="228"/>
        <v>32.599636966678958</v>
      </c>
      <c r="U555" s="310">
        <f t="shared" si="233"/>
        <v>88110.5</v>
      </c>
      <c r="V555" s="310">
        <f t="shared" si="234"/>
        <v>7763460210.25</v>
      </c>
      <c r="X555" s="336">
        <f t="shared" si="229"/>
        <v>0.58702696819015576</v>
      </c>
      <c r="Y555" s="337">
        <f t="shared" si="235"/>
        <v>-25.184944924417707</v>
      </c>
      <c r="AA555" s="336">
        <f t="shared" si="230"/>
        <v>-9.6655308196713783</v>
      </c>
      <c r="AB555" s="337">
        <f t="shared" si="231"/>
        <v>-122.21541810890335</v>
      </c>
      <c r="AD555">
        <f t="shared" si="236"/>
        <v>0</v>
      </c>
      <c r="AE555">
        <f t="shared" si="239"/>
        <v>0</v>
      </c>
    </row>
    <row r="556" spans="1:31" x14ac:dyDescent="0.25">
      <c r="A556" s="338">
        <v>88617.75</v>
      </c>
      <c r="B556" s="355">
        <f t="shared" si="232"/>
        <v>88.617750000000001</v>
      </c>
      <c r="C556" s="328">
        <f t="shared" si="214"/>
        <v>29.735405676973063</v>
      </c>
      <c r="D556" s="329">
        <f t="shared" si="215"/>
        <v>1.5371600414058775</v>
      </c>
      <c r="E556" s="329">
        <f t="shared" si="216"/>
        <v>1.0006750135592968</v>
      </c>
      <c r="F556" s="330">
        <f t="shared" si="217"/>
        <v>3.6732385578044452E-2</v>
      </c>
      <c r="G556" s="329">
        <f t="shared" si="218"/>
        <v>1</v>
      </c>
      <c r="H556" s="330">
        <f t="shared" si="219"/>
        <v>0</v>
      </c>
      <c r="I556" s="328">
        <f t="shared" si="220"/>
        <v>160719.25883018112</v>
      </c>
      <c r="J556" s="331">
        <f t="shared" si="221"/>
        <v>1.5707901047652078</v>
      </c>
      <c r="K556" s="339">
        <f t="shared" si="237"/>
        <v>26.294496571556945</v>
      </c>
      <c r="L556" s="340">
        <f t="shared" si="238"/>
        <v>1.5327563814053056</v>
      </c>
      <c r="M556" s="328">
        <f t="shared" si="222"/>
        <v>1.0872625532671649</v>
      </c>
      <c r="N556" s="331">
        <f t="shared" si="223"/>
        <v>0.40337605991942604</v>
      </c>
      <c r="O556" s="332">
        <f t="shared" si="224"/>
        <v>1.0416700820381419</v>
      </c>
      <c r="P556" s="333">
        <f t="shared" si="225"/>
        <v>0.63641207192952298</v>
      </c>
      <c r="Q556" s="334">
        <f t="shared" si="226"/>
        <v>-9.1410381961223877</v>
      </c>
      <c r="R556" s="335">
        <f t="shared" si="227"/>
        <v>-147.72281568286809</v>
      </c>
      <c r="S556" s="337">
        <f t="shared" si="228"/>
        <v>32.277184317131912</v>
      </c>
      <c r="U556" s="310">
        <f t="shared" si="233"/>
        <v>88617.75</v>
      </c>
      <c r="V556" s="310">
        <f t="shared" si="234"/>
        <v>7853105615.0625</v>
      </c>
      <c r="X556" s="336">
        <f t="shared" si="229"/>
        <v>0.57930923023058345</v>
      </c>
      <c r="Y556" s="337">
        <f t="shared" si="235"/>
        <v>-25.290917646588927</v>
      </c>
      <c r="AA556" s="336">
        <f t="shared" si="230"/>
        <v>-9.7203474263529728</v>
      </c>
      <c r="AB556" s="337">
        <f t="shared" si="231"/>
        <v>-122.43189803627918</v>
      </c>
      <c r="AD556">
        <f t="shared" si="236"/>
        <v>0</v>
      </c>
      <c r="AE556">
        <f t="shared" si="239"/>
        <v>0</v>
      </c>
    </row>
    <row r="557" spans="1:31" x14ac:dyDescent="0.25">
      <c r="A557" s="338">
        <v>89125</v>
      </c>
      <c r="B557" s="355">
        <f t="shared" si="232"/>
        <v>89.125</v>
      </c>
      <c r="C557" s="328">
        <f t="shared" si="214"/>
        <v>29.905419858454852</v>
      </c>
      <c r="D557" s="329">
        <f t="shared" si="215"/>
        <v>1.5373513373263537</v>
      </c>
      <c r="E557" s="329">
        <f t="shared" si="216"/>
        <v>1.0006827606176132</v>
      </c>
      <c r="F557" s="330">
        <f t="shared" si="217"/>
        <v>3.6942451879244539E-2</v>
      </c>
      <c r="G557" s="329">
        <f t="shared" si="218"/>
        <v>1</v>
      </c>
      <c r="H557" s="330">
        <f t="shared" si="219"/>
        <v>0</v>
      </c>
      <c r="I557" s="328">
        <f t="shared" si="220"/>
        <v>161639.21949312347</v>
      </c>
      <c r="J557" s="331">
        <f t="shared" si="221"/>
        <v>1.570790140177545</v>
      </c>
      <c r="K557" s="339">
        <f t="shared" si="237"/>
        <v>26.444789792667745</v>
      </c>
      <c r="L557" s="340">
        <f t="shared" si="238"/>
        <v>1.532972676626742</v>
      </c>
      <c r="M557" s="328">
        <f t="shared" si="222"/>
        <v>1.0882237696255406</v>
      </c>
      <c r="N557" s="331">
        <f t="shared" si="223"/>
        <v>0.40544073399924635</v>
      </c>
      <c r="O557" s="332">
        <f t="shared" si="224"/>
        <v>1.0422854822510539</v>
      </c>
      <c r="P557" s="333">
        <f t="shared" si="225"/>
        <v>0.64020853786899701</v>
      </c>
      <c r="Q557" s="334">
        <f t="shared" si="226"/>
        <v>-9.203368470228579</v>
      </c>
      <c r="R557" s="335">
        <f t="shared" si="227"/>
        <v>-148.0451680315422</v>
      </c>
      <c r="S557" s="337">
        <f t="shared" si="228"/>
        <v>31.954831968457796</v>
      </c>
      <c r="U557" s="310">
        <f t="shared" si="233"/>
        <v>89125</v>
      </c>
      <c r="V557" s="310">
        <f t="shared" si="234"/>
        <v>7943265625</v>
      </c>
      <c r="X557" s="336">
        <f t="shared" si="229"/>
        <v>0.57156238962857575</v>
      </c>
      <c r="Y557" s="337">
        <f t="shared" si="235"/>
        <v>-25.396823983214016</v>
      </c>
      <c r="AA557" s="336">
        <f t="shared" si="230"/>
        <v>-9.7749308598571556</v>
      </c>
      <c r="AB557" s="337">
        <f t="shared" si="231"/>
        <v>-122.64834404832817</v>
      </c>
      <c r="AD557">
        <f t="shared" si="236"/>
        <v>0</v>
      </c>
      <c r="AE557">
        <f t="shared" si="239"/>
        <v>0</v>
      </c>
    </row>
    <row r="558" spans="1:31" x14ac:dyDescent="0.25">
      <c r="A558" s="338">
        <v>89644</v>
      </c>
      <c r="B558" s="355">
        <f t="shared" si="232"/>
        <v>89.644000000000005</v>
      </c>
      <c r="C558" s="328">
        <f t="shared" si="214"/>
        <v>30.079373388610513</v>
      </c>
      <c r="D558" s="329">
        <f t="shared" si="215"/>
        <v>1.5375448262433504</v>
      </c>
      <c r="E558" s="329">
        <f t="shared" si="216"/>
        <v>1.0006907328331514</v>
      </c>
      <c r="F558" s="330">
        <f t="shared" si="217"/>
        <v>3.715738080533381E-2</v>
      </c>
      <c r="G558" s="329">
        <f t="shared" si="218"/>
        <v>1</v>
      </c>
      <c r="H558" s="330">
        <f t="shared" si="219"/>
        <v>0</v>
      </c>
      <c r="I558" s="328">
        <f t="shared" si="220"/>
        <v>162580.49023549352</v>
      </c>
      <c r="J558" s="331">
        <f t="shared" si="221"/>
        <v>1.5707901759953846</v>
      </c>
      <c r="K558" s="339">
        <f t="shared" si="237"/>
        <v>26.598565689890034</v>
      </c>
      <c r="L558" s="340">
        <f t="shared" si="238"/>
        <v>1.5331914522194456</v>
      </c>
      <c r="M558" s="328">
        <f t="shared" si="222"/>
        <v>1.0892120445277054</v>
      </c>
      <c r="N558" s="331">
        <f t="shared" si="223"/>
        <v>0.40754945351115696</v>
      </c>
      <c r="O558" s="332">
        <f t="shared" si="224"/>
        <v>1.0429218678026542</v>
      </c>
      <c r="P558" s="333">
        <f t="shared" si="225"/>
        <v>0.64409458693840616</v>
      </c>
      <c r="Q558" s="334">
        <f t="shared" si="226"/>
        <v>-9.2669348372240936</v>
      </c>
      <c r="R558" s="335">
        <f t="shared" si="227"/>
        <v>-148.37488168284113</v>
      </c>
      <c r="S558" s="337">
        <f t="shared" si="228"/>
        <v>31.625118317158865</v>
      </c>
      <c r="U558" s="310">
        <f t="shared" si="233"/>
        <v>89644</v>
      </c>
      <c r="V558" s="310">
        <f t="shared" si="234"/>
        <v>8036046736</v>
      </c>
      <c r="X558" s="336">
        <f t="shared" si="229"/>
        <v>0.56360614187432567</v>
      </c>
      <c r="Y558" s="337">
        <f t="shared" si="235"/>
        <v>-25.505111845635771</v>
      </c>
      <c r="AA558" s="336">
        <f t="shared" si="230"/>
        <v>-9.8305409790984228</v>
      </c>
      <c r="AB558" s="337">
        <f t="shared" si="231"/>
        <v>-122.86976983720537</v>
      </c>
      <c r="AD558">
        <f t="shared" si="236"/>
        <v>0</v>
      </c>
      <c r="AE558">
        <f t="shared" si="239"/>
        <v>0</v>
      </c>
    </row>
    <row r="559" spans="1:31" x14ac:dyDescent="0.25">
      <c r="A559" s="338">
        <v>90163</v>
      </c>
      <c r="B559" s="355">
        <f t="shared" si="232"/>
        <v>90.162999999999997</v>
      </c>
      <c r="C559" s="328">
        <f t="shared" si="214"/>
        <v>30.253328031926525</v>
      </c>
      <c r="D559" s="329">
        <f t="shared" si="215"/>
        <v>1.5377360900703849</v>
      </c>
      <c r="E559" s="329">
        <f t="shared" si="216"/>
        <v>1.0006987512743026</v>
      </c>
      <c r="F559" s="330">
        <f t="shared" si="217"/>
        <v>3.7372306296968187E-2</v>
      </c>
      <c r="G559" s="329">
        <f t="shared" si="218"/>
        <v>1</v>
      </c>
      <c r="H559" s="330">
        <f t="shared" si="219"/>
        <v>0</v>
      </c>
      <c r="I559" s="328">
        <f t="shared" si="220"/>
        <v>163521.76097786377</v>
      </c>
      <c r="J559" s="331">
        <f t="shared" si="221"/>
        <v>1.5707902114008718</v>
      </c>
      <c r="K559" s="339">
        <f t="shared" si="237"/>
        <v>26.752342845557394</v>
      </c>
      <c r="L559" s="340">
        <f t="shared" si="238"/>
        <v>1.5334077127014958</v>
      </c>
      <c r="M559" s="328">
        <f t="shared" si="222"/>
        <v>1.0902051540332045</v>
      </c>
      <c r="N559" s="331">
        <f t="shared" si="223"/>
        <v>0.4096543405424361</v>
      </c>
      <c r="O559" s="332">
        <f t="shared" si="224"/>
        <v>1.0435651090624307</v>
      </c>
      <c r="P559" s="333">
        <f t="shared" si="225"/>
        <v>0.64798227556838894</v>
      </c>
      <c r="Q559" s="334">
        <f t="shared" si="226"/>
        <v>-9.3302945825967445</v>
      </c>
      <c r="R559" s="335">
        <f t="shared" si="227"/>
        <v>-148.70448647919108</v>
      </c>
      <c r="S559" s="337">
        <f t="shared" si="228"/>
        <v>31.295513520808925</v>
      </c>
      <c r="U559" s="310">
        <f t="shared" si="233"/>
        <v>90163</v>
      </c>
      <c r="V559" s="310">
        <f t="shared" si="234"/>
        <v>8129366569</v>
      </c>
      <c r="X559" s="336">
        <f t="shared" si="229"/>
        <v>0.55561975985825374</v>
      </c>
      <c r="Y559" s="337">
        <f t="shared" si="235"/>
        <v>-25.613324204691576</v>
      </c>
      <c r="AA559" s="336">
        <f t="shared" si="230"/>
        <v>-9.8859143424550009</v>
      </c>
      <c r="AB559" s="337">
        <f t="shared" si="231"/>
        <v>-123.09116227449952</v>
      </c>
      <c r="AD559">
        <f t="shared" si="236"/>
        <v>0</v>
      </c>
      <c r="AE559">
        <f t="shared" si="239"/>
        <v>0</v>
      </c>
    </row>
    <row r="560" spans="1:31" x14ac:dyDescent="0.25">
      <c r="A560" s="338">
        <v>90682</v>
      </c>
      <c r="B560" s="355">
        <f t="shared" si="232"/>
        <v>90.682000000000002</v>
      </c>
      <c r="C560" s="328">
        <f t="shared" si="214"/>
        <v>30.427283769310865</v>
      </c>
      <c r="D560" s="329">
        <f t="shared" si="215"/>
        <v>1.5379251669565088</v>
      </c>
      <c r="E560" s="329">
        <f t="shared" si="216"/>
        <v>1.0007068159399566</v>
      </c>
      <c r="F560" s="330">
        <f t="shared" si="217"/>
        <v>3.7587228334374376E-2</v>
      </c>
      <c r="G560" s="329">
        <f t="shared" si="218"/>
        <v>1</v>
      </c>
      <c r="H560" s="330">
        <f t="shared" si="219"/>
        <v>0</v>
      </c>
      <c r="I560" s="328">
        <f t="shared" si="220"/>
        <v>164463.0317202342</v>
      </c>
      <c r="J560" s="331">
        <f t="shared" si="221"/>
        <v>1.5707902464010868</v>
      </c>
      <c r="K560" s="339">
        <f t="shared" si="237"/>
        <v>26.90612123809256</v>
      </c>
      <c r="L560" s="340">
        <f t="shared" si="238"/>
        <v>1.5336215011768402</v>
      </c>
      <c r="M560" s="328">
        <f t="shared" si="222"/>
        <v>1.0912030849420462</v>
      </c>
      <c r="N560" s="331">
        <f t="shared" si="223"/>
        <v>0.41175538693087133</v>
      </c>
      <c r="O560" s="332">
        <f t="shared" si="224"/>
        <v>1.0442152550174857</v>
      </c>
      <c r="P560" s="333">
        <f t="shared" si="225"/>
        <v>0.65187158258683131</v>
      </c>
      <c r="Q560" s="334">
        <f t="shared" si="226"/>
        <v>-9.3934511634230198</v>
      </c>
      <c r="R560" s="335">
        <f t="shared" si="227"/>
        <v>-149.03398045750299</v>
      </c>
      <c r="S560" s="337">
        <f t="shared" si="228"/>
        <v>30.966019542497008</v>
      </c>
      <c r="U560" s="310">
        <f t="shared" si="233"/>
        <v>90682</v>
      </c>
      <c r="V560" s="310">
        <f t="shared" si="234"/>
        <v>8223225124</v>
      </c>
      <c r="X560" s="336">
        <f t="shared" si="229"/>
        <v>0.54760341273652469</v>
      </c>
      <c r="Y560" s="337">
        <f t="shared" si="235"/>
        <v>-25.721458123452511</v>
      </c>
      <c r="AA560" s="336">
        <f t="shared" si="230"/>
        <v>-9.9410545761595444</v>
      </c>
      <c r="AB560" s="337">
        <f t="shared" si="231"/>
        <v>-123.31252233405047</v>
      </c>
      <c r="AD560">
        <f t="shared" si="236"/>
        <v>0</v>
      </c>
      <c r="AE560">
        <f t="shared" si="239"/>
        <v>0</v>
      </c>
    </row>
    <row r="561" spans="1:31" x14ac:dyDescent="0.25">
      <c r="A561" s="338">
        <v>91201</v>
      </c>
      <c r="B561" s="355">
        <f t="shared" si="232"/>
        <v>91.200999999999993</v>
      </c>
      <c r="C561" s="328">
        <f t="shared" si="214"/>
        <v>30.601240582105515</v>
      </c>
      <c r="D561" s="329">
        <f t="shared" si="215"/>
        <v>1.5381120941839539</v>
      </c>
      <c r="E561" s="329">
        <f t="shared" si="216"/>
        <v>1.000714926828995</v>
      </c>
      <c r="F561" s="330">
        <f t="shared" si="217"/>
        <v>3.7802146897780997E-2</v>
      </c>
      <c r="G561" s="329">
        <f t="shared" si="218"/>
        <v>1</v>
      </c>
      <c r="H561" s="330">
        <f t="shared" si="219"/>
        <v>0</v>
      </c>
      <c r="I561" s="328">
        <f t="shared" si="220"/>
        <v>165404.30246260486</v>
      </c>
      <c r="J561" s="331">
        <f t="shared" si="221"/>
        <v>1.5707902810029486</v>
      </c>
      <c r="K561" s="339">
        <f t="shared" si="237"/>
        <v>27.059900846408588</v>
      </c>
      <c r="L561" s="340">
        <f t="shared" si="238"/>
        <v>1.5338328597705144</v>
      </c>
      <c r="M561" s="328">
        <f t="shared" si="222"/>
        <v>1.0922058240385144</v>
      </c>
      <c r="N561" s="331">
        <f t="shared" si="223"/>
        <v>0.41385258467964098</v>
      </c>
      <c r="O561" s="332">
        <f t="shared" si="224"/>
        <v>1.044872354752471</v>
      </c>
      <c r="P561" s="333">
        <f t="shared" si="225"/>
        <v>0.65576248637211232</v>
      </c>
      <c r="Q561" s="334">
        <f t="shared" si="226"/>
        <v>-9.4564079783976034</v>
      </c>
      <c r="R561" s="335">
        <f t="shared" si="227"/>
        <v>-149.36336164482205</v>
      </c>
      <c r="S561" s="337">
        <f t="shared" si="228"/>
        <v>30.636638355177951</v>
      </c>
      <c r="U561" s="310">
        <f t="shared" si="233"/>
        <v>91201</v>
      </c>
      <c r="V561" s="310">
        <f t="shared" si="234"/>
        <v>8317622401</v>
      </c>
      <c r="X561" s="336">
        <f t="shared" si="229"/>
        <v>0.53955727036460177</v>
      </c>
      <c r="Y561" s="337">
        <f t="shared" si="235"/>
        <v>-25.829510730544115</v>
      </c>
      <c r="AA561" s="336">
        <f t="shared" si="230"/>
        <v>-9.9959652487622037</v>
      </c>
      <c r="AB561" s="337">
        <f t="shared" si="231"/>
        <v>-123.53385091427792</v>
      </c>
      <c r="AD561">
        <f t="shared" si="236"/>
        <v>0</v>
      </c>
      <c r="AE561">
        <f t="shared" si="239"/>
        <v>0</v>
      </c>
    </row>
    <row r="562" spans="1:31" x14ac:dyDescent="0.25">
      <c r="A562" s="338">
        <v>91732</v>
      </c>
      <c r="B562" s="355">
        <f t="shared" si="232"/>
        <v>91.731999999999999</v>
      </c>
      <c r="C562" s="328">
        <f t="shared" si="214"/>
        <v>30.779220611717992</v>
      </c>
      <c r="D562" s="329">
        <f t="shared" si="215"/>
        <v>1.5383011566394362</v>
      </c>
      <c r="E562" s="329">
        <f t="shared" si="216"/>
        <v>1.0007232730907314</v>
      </c>
      <c r="F562" s="330">
        <f t="shared" si="217"/>
        <v>3.8022031060494725E-2</v>
      </c>
      <c r="G562" s="329">
        <f t="shared" si="218"/>
        <v>1</v>
      </c>
      <c r="H562" s="330">
        <f t="shared" si="219"/>
        <v>0</v>
      </c>
      <c r="I562" s="328">
        <f t="shared" si="220"/>
        <v>166367.33669034846</v>
      </c>
      <c r="J562" s="331">
        <f t="shared" si="221"/>
        <v>1.5707903159996293</v>
      </c>
      <c r="K562" s="339">
        <f t="shared" si="237"/>
        <v>27.21723728938402</v>
      </c>
      <c r="L562" s="340">
        <f t="shared" si="238"/>
        <v>1.5340466333991178</v>
      </c>
      <c r="M562" s="328">
        <f t="shared" si="222"/>
        <v>1.0932367102859621</v>
      </c>
      <c r="N562" s="331">
        <f t="shared" si="223"/>
        <v>0.41599428123518561</v>
      </c>
      <c r="O562" s="332">
        <f t="shared" si="224"/>
        <v>1.0455518956453718</v>
      </c>
      <c r="P562" s="333">
        <f t="shared" si="225"/>
        <v>0.65974498280296279</v>
      </c>
      <c r="Q562" s="334">
        <f t="shared" si="226"/>
        <v>-9.5206171794104169</v>
      </c>
      <c r="R562" s="335">
        <f t="shared" si="227"/>
        <v>-149.70023978098124</v>
      </c>
      <c r="S562" s="337">
        <f t="shared" si="228"/>
        <v>30.299760219018765</v>
      </c>
      <c r="U562" s="310">
        <f t="shared" si="233"/>
        <v>91732</v>
      </c>
      <c r="V562" s="310">
        <f t="shared" si="234"/>
        <v>8414759824</v>
      </c>
      <c r="X562" s="336">
        <f t="shared" si="229"/>
        <v>0.53129443128255827</v>
      </c>
      <c r="Y562" s="337">
        <f t="shared" si="235"/>
        <v>-25.939974582772674</v>
      </c>
      <c r="AA562" s="336">
        <f t="shared" si="230"/>
        <v>-10.051911610692976</v>
      </c>
      <c r="AB562" s="337">
        <f t="shared" si="231"/>
        <v>-123.76026519820853</v>
      </c>
      <c r="AD562">
        <f t="shared" si="236"/>
        <v>0</v>
      </c>
      <c r="AE562">
        <f t="shared" si="239"/>
        <v>0</v>
      </c>
    </row>
    <row r="563" spans="1:31" x14ac:dyDescent="0.25">
      <c r="A563" s="338">
        <v>92263</v>
      </c>
      <c r="B563" s="355">
        <f t="shared" si="232"/>
        <v>92.263000000000005</v>
      </c>
      <c r="C563" s="328">
        <f t="shared" si="214"/>
        <v>30.957201728871244</v>
      </c>
      <c r="D563" s="329">
        <f t="shared" si="215"/>
        <v>1.538488045161698</v>
      </c>
      <c r="E563" s="329">
        <f t="shared" si="216"/>
        <v>1.0007316677356739</v>
      </c>
      <c r="F563" s="330">
        <f t="shared" si="217"/>
        <v>3.8241911544839503E-2</v>
      </c>
      <c r="G563" s="329">
        <f t="shared" si="218"/>
        <v>1</v>
      </c>
      <c r="H563" s="330">
        <f t="shared" si="219"/>
        <v>0</v>
      </c>
      <c r="I563" s="328">
        <f t="shared" si="220"/>
        <v>167330.3709180922</v>
      </c>
      <c r="J563" s="331">
        <f t="shared" si="221"/>
        <v>1.5707903505934784</v>
      </c>
      <c r="K563" s="339">
        <f t="shared" si="237"/>
        <v>27.374574961866777</v>
      </c>
      <c r="L563" s="340">
        <f t="shared" si="238"/>
        <v>1.5342579496734579</v>
      </c>
      <c r="M563" s="328">
        <f t="shared" si="222"/>
        <v>1.0942726016001481</v>
      </c>
      <c r="N563" s="331">
        <f t="shared" si="223"/>
        <v>0.41813193271354654</v>
      </c>
      <c r="O563" s="332">
        <f t="shared" si="224"/>
        <v>1.0462388198444932</v>
      </c>
      <c r="P563" s="333">
        <f t="shared" si="225"/>
        <v>0.66372910346595582</v>
      </c>
      <c r="Q563" s="334">
        <f t="shared" si="226"/>
        <v>-9.5846242859484914</v>
      </c>
      <c r="R563" s="335">
        <f t="shared" si="227"/>
        <v>-150.03699563944059</v>
      </c>
      <c r="S563" s="337">
        <f t="shared" si="228"/>
        <v>29.96300436055941</v>
      </c>
      <c r="U563" s="310">
        <f t="shared" si="233"/>
        <v>92263</v>
      </c>
      <c r="V563" s="310">
        <f t="shared" si="234"/>
        <v>8512461169</v>
      </c>
      <c r="X563" s="336">
        <f t="shared" si="229"/>
        <v>0.52300076499600889</v>
      </c>
      <c r="Y563" s="337">
        <f t="shared" si="235"/>
        <v>-26.050347442098225</v>
      </c>
      <c r="AA563" s="336">
        <f t="shared" si="230"/>
        <v>-10.107625050944504</v>
      </c>
      <c r="AB563" s="337">
        <f t="shared" si="231"/>
        <v>-123.98664819734238</v>
      </c>
      <c r="AD563">
        <f t="shared" si="236"/>
        <v>0</v>
      </c>
      <c r="AE563">
        <f t="shared" si="239"/>
        <v>0</v>
      </c>
    </row>
    <row r="564" spans="1:31" x14ac:dyDescent="0.25">
      <c r="A564" s="338">
        <v>92794</v>
      </c>
      <c r="B564" s="355">
        <f t="shared" si="232"/>
        <v>92.793999999999997</v>
      </c>
      <c r="C564" s="328">
        <f t="shared" si="214"/>
        <v>31.135183914914819</v>
      </c>
      <c r="D564" s="329">
        <f t="shared" si="215"/>
        <v>1.5386727970190006</v>
      </c>
      <c r="E564" s="329">
        <f t="shared" si="216"/>
        <v>1.0007401107626048</v>
      </c>
      <c r="F564" s="330">
        <f t="shared" si="217"/>
        <v>3.8461788329646834E-2</v>
      </c>
      <c r="G564" s="329">
        <f t="shared" si="218"/>
        <v>1</v>
      </c>
      <c r="H564" s="330">
        <f t="shared" si="219"/>
        <v>0</v>
      </c>
      <c r="I564" s="328">
        <f t="shared" si="220"/>
        <v>168293.40514583621</v>
      </c>
      <c r="J564" s="331">
        <f t="shared" si="221"/>
        <v>1.5707903847914109</v>
      </c>
      <c r="K564" s="339">
        <f t="shared" si="237"/>
        <v>27.531913842777932</v>
      </c>
      <c r="L564" s="340">
        <f t="shared" si="238"/>
        <v>1.5344668507042285</v>
      </c>
      <c r="M564" s="328">
        <f t="shared" si="222"/>
        <v>1.0953134837804661</v>
      </c>
      <c r="N564" s="331">
        <f t="shared" si="223"/>
        <v>0.42026553108314979</v>
      </c>
      <c r="O564" s="332">
        <f t="shared" si="224"/>
        <v>1.0469331802121509</v>
      </c>
      <c r="P564" s="333">
        <f t="shared" si="225"/>
        <v>0.66771482374840541</v>
      </c>
      <c r="Q564" s="334">
        <f t="shared" si="226"/>
        <v>-9.6484327563502603</v>
      </c>
      <c r="R564" s="335">
        <f t="shared" si="227"/>
        <v>-150.37362707397992</v>
      </c>
      <c r="S564" s="337">
        <f t="shared" si="228"/>
        <v>29.626372926020082</v>
      </c>
      <c r="U564" s="310">
        <f t="shared" si="233"/>
        <v>92794</v>
      </c>
      <c r="V564" s="310">
        <f t="shared" si="234"/>
        <v>8610726436</v>
      </c>
      <c r="X564" s="336">
        <f t="shared" si="229"/>
        <v>0.51467645544142659</v>
      </c>
      <c r="Y564" s="337">
        <f t="shared" si="235"/>
        <v>-26.160626435976599</v>
      </c>
      <c r="AA564" s="336">
        <f t="shared" si="230"/>
        <v>-10.163109211791689</v>
      </c>
      <c r="AB564" s="337">
        <f t="shared" si="231"/>
        <v>-124.21300063800334</v>
      </c>
      <c r="AD564">
        <f t="shared" si="236"/>
        <v>0</v>
      </c>
      <c r="AE564">
        <f t="shared" si="239"/>
        <v>0</v>
      </c>
    </row>
    <row r="565" spans="1:31" x14ac:dyDescent="0.25">
      <c r="A565" s="338">
        <v>93325</v>
      </c>
      <c r="B565" s="355">
        <f t="shared" si="232"/>
        <v>93.325000000000003</v>
      </c>
      <c r="C565" s="328">
        <f t="shared" si="214"/>
        <v>31.313167151622199</v>
      </c>
      <c r="D565" s="329">
        <f t="shared" si="215"/>
        <v>1.5388554486328685</v>
      </c>
      <c r="E565" s="329">
        <f t="shared" si="216"/>
        <v>1.0007486021703</v>
      </c>
      <c r="F565" s="330">
        <f t="shared" si="217"/>
        <v>3.8681661393750399E-2</v>
      </c>
      <c r="G565" s="329">
        <f t="shared" si="218"/>
        <v>1</v>
      </c>
      <c r="H565" s="330">
        <f t="shared" si="219"/>
        <v>0</v>
      </c>
      <c r="I565" s="328">
        <f t="shared" si="220"/>
        <v>169256.43937358036</v>
      </c>
      <c r="J565" s="331">
        <f t="shared" si="221"/>
        <v>1.5707904186001851</v>
      </c>
      <c r="K565" s="339">
        <f t="shared" si="237"/>
        <v>27.68925391151749</v>
      </c>
      <c r="L565" s="340">
        <f t="shared" si="238"/>
        <v>1.5346733776458275</v>
      </c>
      <c r="M565" s="328">
        <f t="shared" si="222"/>
        <v>1.0963593426119502</v>
      </c>
      <c r="N565" s="331">
        <f t="shared" si="223"/>
        <v>0.42239506849045333</v>
      </c>
      <c r="O565" s="332">
        <f t="shared" si="224"/>
        <v>1.0476350297016535</v>
      </c>
      <c r="P565" s="333">
        <f t="shared" si="225"/>
        <v>0.6717021185484775</v>
      </c>
      <c r="Q565" s="334">
        <f t="shared" si="226"/>
        <v>-9.7120459903539551</v>
      </c>
      <c r="R565" s="335">
        <f t="shared" si="227"/>
        <v>-150.71013192682162</v>
      </c>
      <c r="S565" s="337">
        <f t="shared" si="228"/>
        <v>29.289868073178383</v>
      </c>
      <c r="U565" s="310">
        <f t="shared" si="233"/>
        <v>93325</v>
      </c>
      <c r="V565" s="310">
        <f t="shared" si="234"/>
        <v>8709555625</v>
      </c>
      <c r="X565" s="336">
        <f t="shared" si="229"/>
        <v>0.50632168715810877</v>
      </c>
      <c r="Y565" s="337">
        <f t="shared" si="235"/>
        <v>-26.270808756846936</v>
      </c>
      <c r="AA565" s="336">
        <f t="shared" si="230"/>
        <v>-10.218367677512067</v>
      </c>
      <c r="AB565" s="337">
        <f t="shared" si="231"/>
        <v>-124.43932316997468</v>
      </c>
      <c r="AD565">
        <f t="shared" si="236"/>
        <v>0</v>
      </c>
      <c r="AE565">
        <f t="shared" si="239"/>
        <v>0</v>
      </c>
    </row>
    <row r="566" spans="1:31" x14ac:dyDescent="0.25">
      <c r="A566" s="338">
        <v>93868.5</v>
      </c>
      <c r="B566" s="355">
        <f t="shared" si="232"/>
        <v>93.868499999999997</v>
      </c>
      <c r="C566" s="328">
        <f t="shared" si="214"/>
        <v>31.495341270333537</v>
      </c>
      <c r="D566" s="329">
        <f t="shared" si="215"/>
        <v>1.5390402621185684</v>
      </c>
      <c r="E566" s="329">
        <f t="shared" si="216"/>
        <v>1.0007573435711341</v>
      </c>
      <c r="F566" s="330">
        <f t="shared" si="217"/>
        <v>3.8906706502237272E-2</v>
      </c>
      <c r="G566" s="329">
        <f t="shared" si="218"/>
        <v>1</v>
      </c>
      <c r="H566" s="330">
        <f t="shared" si="219"/>
        <v>0</v>
      </c>
      <c r="I566" s="328">
        <f t="shared" si="220"/>
        <v>170242.14389858802</v>
      </c>
      <c r="J566" s="331">
        <f t="shared" si="221"/>
        <v>1.5707904528087195</v>
      </c>
      <c r="K566" s="339">
        <f t="shared" si="237"/>
        <v>27.850299051604203</v>
      </c>
      <c r="L566" s="340">
        <f t="shared" si="238"/>
        <v>1.5348823497328437</v>
      </c>
      <c r="M566" s="328">
        <f t="shared" si="222"/>
        <v>1.0974349603810343</v>
      </c>
      <c r="N566" s="331">
        <f t="shared" si="223"/>
        <v>0.42457052275714924</v>
      </c>
      <c r="O566" s="332">
        <f t="shared" si="224"/>
        <v>1.0483612120744392</v>
      </c>
      <c r="P566" s="333">
        <f t="shared" si="225"/>
        <v>0.67578488006022785</v>
      </c>
      <c r="Q566" s="334">
        <f t="shared" si="226"/>
        <v>-9.7769580147607051</v>
      </c>
      <c r="R566" s="335">
        <f t="shared" si="227"/>
        <v>-151.05442491779607</v>
      </c>
      <c r="S566" s="337">
        <f t="shared" si="228"/>
        <v>28.945575082203931</v>
      </c>
      <c r="U566" s="310">
        <f t="shared" si="233"/>
        <v>93868.5</v>
      </c>
      <c r="V566" s="310">
        <f t="shared" si="234"/>
        <v>8811295292.25</v>
      </c>
      <c r="X566" s="336">
        <f t="shared" si="229"/>
        <v>0.49773889404907873</v>
      </c>
      <c r="Y566" s="337">
        <f t="shared" si="235"/>
        <v>-26.383481846363662</v>
      </c>
      <c r="AA566" s="336">
        <f t="shared" si="230"/>
        <v>-10.274696908809783</v>
      </c>
      <c r="AB566" s="337">
        <f t="shared" si="231"/>
        <v>-124.67094307143242</v>
      </c>
      <c r="AD566">
        <f t="shared" si="236"/>
        <v>0</v>
      </c>
      <c r="AE566">
        <f t="shared" si="239"/>
        <v>0</v>
      </c>
    </row>
    <row r="567" spans="1:31" x14ac:dyDescent="0.25">
      <c r="A567" s="338">
        <v>94412</v>
      </c>
      <c r="B567" s="355">
        <f t="shared" si="232"/>
        <v>94.412000000000006</v>
      </c>
      <c r="C567" s="328">
        <f t="shared" si="214"/>
        <v>31.677516452427387</v>
      </c>
      <c r="D567" s="329">
        <f t="shared" si="215"/>
        <v>1.5392229499115819</v>
      </c>
      <c r="E567" s="329">
        <f t="shared" si="216"/>
        <v>1.0007661356547382</v>
      </c>
      <c r="F567" s="330">
        <f t="shared" si="217"/>
        <v>3.9131747667919894E-2</v>
      </c>
      <c r="G567" s="329">
        <f t="shared" si="218"/>
        <v>1</v>
      </c>
      <c r="H567" s="330">
        <f t="shared" si="219"/>
        <v>0</v>
      </c>
      <c r="I567" s="328">
        <f t="shared" si="220"/>
        <v>171227.84842359586</v>
      </c>
      <c r="J567" s="331">
        <f t="shared" si="221"/>
        <v>1.5707904866233988</v>
      </c>
      <c r="K567" s="339">
        <f t="shared" si="237"/>
        <v>28.011345393910268</v>
      </c>
      <c r="L567" s="340">
        <f t="shared" si="238"/>
        <v>1.5350889189316981</v>
      </c>
      <c r="M567" s="328">
        <f t="shared" si="222"/>
        <v>1.0985157616869567</v>
      </c>
      <c r="N567" s="331">
        <f t="shared" si="223"/>
        <v>0.42674170653577398</v>
      </c>
      <c r="O567" s="332">
        <f t="shared" si="224"/>
        <v>1.0490953528462434</v>
      </c>
      <c r="P567" s="333">
        <f t="shared" si="225"/>
        <v>0.67986923631288199</v>
      </c>
      <c r="Q567" s="334">
        <f t="shared" si="226"/>
        <v>-9.8416725272136265</v>
      </c>
      <c r="R567" s="335">
        <f t="shared" si="227"/>
        <v>-151.39858068522136</v>
      </c>
      <c r="S567" s="337">
        <f t="shared" si="228"/>
        <v>28.601419314778639</v>
      </c>
      <c r="U567" s="310">
        <f t="shared" si="233"/>
        <v>94412</v>
      </c>
      <c r="V567" s="310">
        <f t="shared" si="234"/>
        <v>8913625744</v>
      </c>
      <c r="X567" s="336">
        <f t="shared" si="229"/>
        <v>0.48912458428730887</v>
      </c>
      <c r="Y567" s="337">
        <f t="shared" si="235"/>
        <v>-26.496047907721401</v>
      </c>
      <c r="AA567" s="336">
        <f t="shared" si="230"/>
        <v>-10.330797111500935</v>
      </c>
      <c r="AB567" s="337">
        <f t="shared" si="231"/>
        <v>-124.90253277749996</v>
      </c>
      <c r="AD567">
        <f t="shared" si="236"/>
        <v>0</v>
      </c>
      <c r="AE567">
        <f t="shared" si="239"/>
        <v>0</v>
      </c>
    </row>
    <row r="568" spans="1:31" x14ac:dyDescent="0.25">
      <c r="A568" s="338">
        <v>94955.5</v>
      </c>
      <c r="B568" s="355">
        <f t="shared" si="232"/>
        <v>94.955500000000001</v>
      </c>
      <c r="C568" s="328">
        <f t="shared" si="214"/>
        <v>31.859692679662334</v>
      </c>
      <c r="D568" s="329">
        <f t="shared" si="215"/>
        <v>1.5394035484642423</v>
      </c>
      <c r="E568" s="329">
        <f t="shared" si="216"/>
        <v>1.0007749784197764</v>
      </c>
      <c r="F568" s="330">
        <f t="shared" si="217"/>
        <v>3.935678486810873E-2</v>
      </c>
      <c r="G568" s="329">
        <f t="shared" si="218"/>
        <v>1</v>
      </c>
      <c r="H568" s="330">
        <f t="shared" si="219"/>
        <v>0</v>
      </c>
      <c r="I568" s="328">
        <f t="shared" si="220"/>
        <v>172213.5529486039</v>
      </c>
      <c r="J568" s="331">
        <f t="shared" si="221"/>
        <v>1.5707905200509855</v>
      </c>
      <c r="K568" s="339">
        <f t="shared" si="237"/>
        <v>28.172392917818378</v>
      </c>
      <c r="L568" s="340">
        <f t="shared" si="238"/>
        <v>1.535293126432949</v>
      </c>
      <c r="M568" s="328">
        <f t="shared" si="222"/>
        <v>1.0996017312449831</v>
      </c>
      <c r="N568" s="331">
        <f t="shared" si="223"/>
        <v>0.42890861197889907</v>
      </c>
      <c r="O568" s="332">
        <f t="shared" si="224"/>
        <v>1.0498375090680554</v>
      </c>
      <c r="P568" s="333">
        <f t="shared" si="225"/>
        <v>0.68395515880532687</v>
      </c>
      <c r="Q568" s="334">
        <f t="shared" si="226"/>
        <v>-9.9061929906306894</v>
      </c>
      <c r="R568" s="335">
        <f t="shared" si="227"/>
        <v>-151.74259687668649</v>
      </c>
      <c r="S568" s="337">
        <f t="shared" si="228"/>
        <v>28.257403123313509</v>
      </c>
      <c r="U568" s="310">
        <f t="shared" si="233"/>
        <v>94955.5</v>
      </c>
      <c r="V568" s="310">
        <f t="shared" si="234"/>
        <v>9016546980.25</v>
      </c>
      <c r="X568" s="336">
        <f t="shared" si="229"/>
        <v>0.48047895746940178</v>
      </c>
      <c r="Y568" s="337">
        <f t="shared" si="235"/>
        <v>-26.608504131637936</v>
      </c>
      <c r="AA568" s="336">
        <f t="shared" si="230"/>
        <v>-10.386671948100091</v>
      </c>
      <c r="AB568" s="337">
        <f t="shared" si="231"/>
        <v>-125.13409274504855</v>
      </c>
      <c r="AD568">
        <f t="shared" si="236"/>
        <v>0</v>
      </c>
      <c r="AE568">
        <f t="shared" si="239"/>
        <v>0</v>
      </c>
    </row>
    <row r="569" spans="1:31" x14ac:dyDescent="0.25">
      <c r="A569" s="338">
        <v>95499</v>
      </c>
      <c r="B569" s="355">
        <f t="shared" si="232"/>
        <v>95.498999999999995</v>
      </c>
      <c r="C569" s="328">
        <f t="shared" si="214"/>
        <v>32.041869934211718</v>
      </c>
      <c r="D569" s="329">
        <f t="shared" si="215"/>
        <v>1.5395820934004221</v>
      </c>
      <c r="E569" s="329">
        <f t="shared" si="216"/>
        <v>1.0007838718649049</v>
      </c>
      <c r="F569" s="330">
        <f t="shared" si="217"/>
        <v>3.9581818080116647E-2</v>
      </c>
      <c r="G569" s="329">
        <f t="shared" si="218"/>
        <v>1</v>
      </c>
      <c r="H569" s="330">
        <f t="shared" si="219"/>
        <v>0</v>
      </c>
      <c r="I569" s="328">
        <f t="shared" si="220"/>
        <v>173199.25747361215</v>
      </c>
      <c r="J569" s="331">
        <f t="shared" si="221"/>
        <v>1.5707905530980888</v>
      </c>
      <c r="K569" s="339">
        <f t="shared" si="237"/>
        <v>28.333441603179818</v>
      </c>
      <c r="L569" s="340">
        <f t="shared" si="238"/>
        <v>1.5354950124914373</v>
      </c>
      <c r="M569" s="328">
        <f t="shared" si="222"/>
        <v>1.1006928537577547</v>
      </c>
      <c r="N569" s="331">
        <f t="shared" si="223"/>
        <v>0.43107123143070136</v>
      </c>
      <c r="O569" s="332">
        <f t="shared" si="224"/>
        <v>1.0505877378725215</v>
      </c>
      <c r="P569" s="333">
        <f t="shared" si="225"/>
        <v>0.68804261850505721</v>
      </c>
      <c r="Q569" s="334">
        <f t="shared" si="226"/>
        <v>-9.9705228089654891</v>
      </c>
      <c r="R569" s="335">
        <f t="shared" si="227"/>
        <v>-152.08647112644877</v>
      </c>
      <c r="S569" s="337">
        <f t="shared" si="228"/>
        <v>27.913528873551229</v>
      </c>
      <c r="U569" s="310">
        <f t="shared" si="233"/>
        <v>95499</v>
      </c>
      <c r="V569" s="310">
        <f t="shared" si="234"/>
        <v>9120059001</v>
      </c>
      <c r="X569" s="336">
        <f t="shared" si="229"/>
        <v>0.47180221369122732</v>
      </c>
      <c r="Y569" s="337">
        <f t="shared" si="235"/>
        <v>-26.720847773413123</v>
      </c>
      <c r="AA569" s="336">
        <f t="shared" si="230"/>
        <v>-10.442325022656716</v>
      </c>
      <c r="AB569" s="337">
        <f t="shared" si="231"/>
        <v>-125.36562335303566</v>
      </c>
      <c r="AD569">
        <f t="shared" si="236"/>
        <v>0</v>
      </c>
      <c r="AE569">
        <f t="shared" si="239"/>
        <v>0</v>
      </c>
    </row>
    <row r="570" spans="1:31" x14ac:dyDescent="0.25">
      <c r="A570" s="338">
        <v>96611.5</v>
      </c>
      <c r="B570" s="355">
        <f t="shared" si="232"/>
        <v>96.611500000000007</v>
      </c>
      <c r="C570" s="328">
        <f t="shared" si="214"/>
        <v>32.414774988906906</v>
      </c>
      <c r="D570" s="329">
        <f t="shared" si="215"/>
        <v>1.5399413018853754</v>
      </c>
      <c r="E570" s="329">
        <f t="shared" si="216"/>
        <v>1.000802234053815</v>
      </c>
      <c r="F570" s="330">
        <f t="shared" si="217"/>
        <v>4.0042430107963614E-2</v>
      </c>
      <c r="G570" s="329">
        <f t="shared" si="218"/>
        <v>1</v>
      </c>
      <c r="H570" s="330">
        <f t="shared" si="219"/>
        <v>0</v>
      </c>
      <c r="I570" s="328">
        <f t="shared" si="220"/>
        <v>175216.91393004631</v>
      </c>
      <c r="J570" s="331">
        <f t="shared" si="221"/>
        <v>1.5707906195833177</v>
      </c>
      <c r="K570" s="339">
        <f t="shared" si="237"/>
        <v>28.66309861549172</v>
      </c>
      <c r="L570" s="340">
        <f t="shared" si="238"/>
        <v>1.5359011820849933</v>
      </c>
      <c r="M570" s="328">
        <f t="shared" si="222"/>
        <v>1.1029422967447804</v>
      </c>
      <c r="N570" s="331">
        <f t="shared" si="223"/>
        <v>0.43548453976768559</v>
      </c>
      <c r="O570" s="332">
        <f t="shared" si="224"/>
        <v>1.0521488090575757</v>
      </c>
      <c r="P570" s="333">
        <f t="shared" si="225"/>
        <v>0.69641398252483944</v>
      </c>
      <c r="Q570" s="334">
        <f t="shared" si="226"/>
        <v>-10.10162018735838</v>
      </c>
      <c r="R570" s="335">
        <f t="shared" si="227"/>
        <v>-152.7899009065631</v>
      </c>
      <c r="S570" s="337">
        <f t="shared" si="228"/>
        <v>27.210099093436895</v>
      </c>
      <c r="U570" s="310">
        <f t="shared" si="233"/>
        <v>96611.5</v>
      </c>
      <c r="V570" s="310">
        <f t="shared" si="234"/>
        <v>9333781932.25</v>
      </c>
      <c r="X570" s="336">
        <f t="shared" si="229"/>
        <v>0.45394543873387211</v>
      </c>
      <c r="Y570" s="337">
        <f t="shared" si="235"/>
        <v>-26.950443720920266</v>
      </c>
      <c r="AA570" s="336">
        <f t="shared" si="230"/>
        <v>-10.555565626092251</v>
      </c>
      <c r="AB570" s="337">
        <f t="shared" si="231"/>
        <v>-125.83945718564283</v>
      </c>
      <c r="AD570">
        <f t="shared" si="236"/>
        <v>0</v>
      </c>
      <c r="AE570">
        <f t="shared" si="239"/>
        <v>0</v>
      </c>
    </row>
    <row r="571" spans="1:31" x14ac:dyDescent="0.25">
      <c r="A571" s="338">
        <v>97724</v>
      </c>
      <c r="B571" s="355">
        <f t="shared" si="232"/>
        <v>97.724000000000004</v>
      </c>
      <c r="C571" s="328">
        <f t="shared" si="214"/>
        <v>32.787684130966099</v>
      </c>
      <c r="D571" s="329">
        <f t="shared" si="215"/>
        <v>1.5402923395340558</v>
      </c>
      <c r="E571" s="329">
        <f t="shared" si="216"/>
        <v>1.0008208085685524</v>
      </c>
      <c r="F571" s="330">
        <f t="shared" si="217"/>
        <v>4.0503025136272776E-2</v>
      </c>
      <c r="G571" s="329">
        <f t="shared" si="218"/>
        <v>1</v>
      </c>
      <c r="H571" s="330">
        <f t="shared" si="219"/>
        <v>0</v>
      </c>
      <c r="I571" s="328">
        <f t="shared" si="220"/>
        <v>177234.57038648127</v>
      </c>
      <c r="J571" s="331">
        <f t="shared" si="221"/>
        <v>1.5707906845547974</v>
      </c>
      <c r="K571" s="339">
        <f t="shared" si="237"/>
        <v>28.992760248928978</v>
      </c>
      <c r="L571" s="340">
        <f t="shared" si="238"/>
        <v>1.5362981150553958</v>
      </c>
      <c r="M571" s="328">
        <f t="shared" si="222"/>
        <v>1.1052131343697316</v>
      </c>
      <c r="N571" s="331">
        <f t="shared" si="223"/>
        <v>0.43987979772124836</v>
      </c>
      <c r="O571" s="332">
        <f t="shared" si="224"/>
        <v>1.053744434688338</v>
      </c>
      <c r="P571" s="333">
        <f t="shared" si="225"/>
        <v>0.70479140237805371</v>
      </c>
      <c r="Q571" s="334">
        <f t="shared" si="226"/>
        <v>-10.2319607127823</v>
      </c>
      <c r="R571" s="335">
        <f t="shared" si="227"/>
        <v>-153.49270540194561</v>
      </c>
      <c r="S571" s="337">
        <f t="shared" si="228"/>
        <v>26.507294598054386</v>
      </c>
      <c r="U571" s="310">
        <f t="shared" si="233"/>
        <v>97724</v>
      </c>
      <c r="V571" s="310">
        <f t="shared" si="234"/>
        <v>9549980176</v>
      </c>
      <c r="X571" s="336">
        <f t="shared" si="229"/>
        <v>0.43596085376483207</v>
      </c>
      <c r="Y571" s="337">
        <f t="shared" si="235"/>
        <v>-27.179534590430436</v>
      </c>
      <c r="AA571" s="336">
        <f t="shared" si="230"/>
        <v>-10.667921566547133</v>
      </c>
      <c r="AB571" s="337">
        <f t="shared" si="231"/>
        <v>-126.31317081151516</v>
      </c>
      <c r="AD571">
        <f t="shared" si="236"/>
        <v>0</v>
      </c>
      <c r="AE571">
        <f t="shared" si="239"/>
        <v>0</v>
      </c>
    </row>
    <row r="572" spans="1:31" x14ac:dyDescent="0.25">
      <c r="A572" s="338">
        <v>98862</v>
      </c>
      <c r="B572" s="355">
        <f t="shared" si="232"/>
        <v>98.861999999999995</v>
      </c>
      <c r="C572" s="328">
        <f t="shared" si="214"/>
        <v>33.169144938605434</v>
      </c>
      <c r="D572" s="329">
        <f t="shared" si="215"/>
        <v>1.5406432567494608</v>
      </c>
      <c r="E572" s="329">
        <f t="shared" si="216"/>
        <v>1.0008400285056818</v>
      </c>
      <c r="F572" s="330">
        <f t="shared" si="217"/>
        <v>4.0974159832424681E-2</v>
      </c>
      <c r="G572" s="329">
        <f t="shared" si="218"/>
        <v>1</v>
      </c>
      <c r="H572" s="330">
        <f t="shared" si="219"/>
        <v>0</v>
      </c>
      <c r="I572" s="328">
        <f t="shared" si="220"/>
        <v>179298.4742493341</v>
      </c>
      <c r="J572" s="331">
        <f t="shared" si="221"/>
        <v>1.5707907495025957</v>
      </c>
      <c r="K572" s="339">
        <f t="shared" si="237"/>
        <v>29.329982790264115</v>
      </c>
      <c r="L572" s="340">
        <f t="shared" si="238"/>
        <v>1.5366949142173807</v>
      </c>
      <c r="M572" s="328">
        <f t="shared" si="222"/>
        <v>1.1075580213001719</v>
      </c>
      <c r="N572" s="331">
        <f t="shared" si="223"/>
        <v>0.44435706445834583</v>
      </c>
      <c r="O572" s="332">
        <f t="shared" si="224"/>
        <v>1.0554128994146337</v>
      </c>
      <c r="P572" s="333">
        <f t="shared" si="225"/>
        <v>0.71336682847967992</v>
      </c>
      <c r="Q572" s="334">
        <f t="shared" si="226"/>
        <v>-10.364533907274364</v>
      </c>
      <c r="R572" s="335">
        <f t="shared" si="227"/>
        <v>-154.21095046337396</v>
      </c>
      <c r="S572" s="337">
        <f t="shared" si="228"/>
        <v>25.789049536626038</v>
      </c>
      <c r="U572" s="310">
        <f t="shared" si="233"/>
        <v>98862</v>
      </c>
      <c r="V572" s="310">
        <f t="shared" si="234"/>
        <v>9773695044</v>
      </c>
      <c r="X572" s="336">
        <f t="shared" si="229"/>
        <v>0.41743360514680633</v>
      </c>
      <c r="Y572" s="337">
        <f t="shared" si="235"/>
        <v>-27.413331882426242</v>
      </c>
      <c r="AA572" s="336">
        <f t="shared" si="230"/>
        <v>-10.781967512421174</v>
      </c>
      <c r="AB572" s="337">
        <f t="shared" si="231"/>
        <v>-126.79761858094774</v>
      </c>
      <c r="AD572">
        <f t="shared" si="236"/>
        <v>0</v>
      </c>
      <c r="AE572">
        <f t="shared" si="239"/>
        <v>0</v>
      </c>
    </row>
    <row r="573" spans="1:31" x14ac:dyDescent="0.25">
      <c r="A573" s="338">
        <v>100000</v>
      </c>
      <c r="B573" s="355">
        <f t="shared" si="232"/>
        <v>100</v>
      </c>
      <c r="C573" s="328">
        <f t="shared" si="214"/>
        <v>33.550609737908715</v>
      </c>
      <c r="D573" s="329">
        <f t="shared" si="215"/>
        <v>1.5409861942666647</v>
      </c>
      <c r="E573" s="329">
        <f t="shared" si="216"/>
        <v>1.0008594705886116</v>
      </c>
      <c r="F573" s="330">
        <f t="shared" si="217"/>
        <v>4.1445276329197991E-2</v>
      </c>
      <c r="G573" s="329">
        <f t="shared" si="218"/>
        <v>1</v>
      </c>
      <c r="H573" s="330">
        <f t="shared" si="219"/>
        <v>0</v>
      </c>
      <c r="I573" s="328">
        <f t="shared" si="220"/>
        <v>181362.3781121877</v>
      </c>
      <c r="J573" s="331">
        <f t="shared" si="221"/>
        <v>1.5707908129721821</v>
      </c>
      <c r="K573" s="339">
        <f t="shared" si="237"/>
        <v>29.667209844608138</v>
      </c>
      <c r="L573" s="340">
        <f t="shared" si="238"/>
        <v>1.53708269261033</v>
      </c>
      <c r="M573" s="328">
        <f t="shared" si="222"/>
        <v>1.109925016177945</v>
      </c>
      <c r="N573" s="331">
        <f t="shared" si="223"/>
        <v>0.44881532406302305</v>
      </c>
      <c r="O573" s="332">
        <f t="shared" si="224"/>
        <v>1.0571185646449113</v>
      </c>
      <c r="P573" s="333">
        <f t="shared" si="225"/>
        <v>0.72194801059355462</v>
      </c>
      <c r="Q573" s="334">
        <f t="shared" si="226"/>
        <v>-10.496371355878154</v>
      </c>
      <c r="R573" s="335">
        <f t="shared" si="227"/>
        <v>-154.92849689855919</v>
      </c>
      <c r="S573" s="337">
        <f t="shared" si="228"/>
        <v>25.071503101440811</v>
      </c>
      <c r="U573" s="310">
        <f t="shared" si="233"/>
        <v>100000</v>
      </c>
      <c r="V573" s="310">
        <f t="shared" si="234"/>
        <v>10000000000</v>
      </c>
      <c r="X573" s="336">
        <f t="shared" si="229"/>
        <v>0.39877629079553251</v>
      </c>
      <c r="Y573" s="337">
        <f t="shared" si="235"/>
        <v>-27.646556913251462</v>
      </c>
      <c r="AA573" s="336">
        <f t="shared" si="230"/>
        <v>-10.895147646673689</v>
      </c>
      <c r="AB573" s="337">
        <f t="shared" si="231"/>
        <v>-127.2819399853077</v>
      </c>
      <c r="AD573">
        <f t="shared" si="236"/>
        <v>0</v>
      </c>
      <c r="AE573">
        <f t="shared" si="239"/>
        <v>0</v>
      </c>
    </row>
    <row r="574" spans="1:31" x14ac:dyDescent="0.25">
      <c r="A574" s="338">
        <v>101165</v>
      </c>
      <c r="B574" s="355">
        <f t="shared" si="232"/>
        <v>101.16500000000001</v>
      </c>
      <c r="C574" s="328">
        <f t="shared" si="214"/>
        <v>33.941129102349912</v>
      </c>
      <c r="D574" s="329">
        <f t="shared" si="215"/>
        <v>1.5413292831552325</v>
      </c>
      <c r="E574" s="329">
        <f t="shared" si="216"/>
        <v>1.0008796040518888</v>
      </c>
      <c r="F574" s="330">
        <f t="shared" si="217"/>
        <v>4.1927551388720119E-2</v>
      </c>
      <c r="G574" s="329">
        <f t="shared" si="218"/>
        <v>1</v>
      </c>
      <c r="H574" s="330">
        <f t="shared" si="219"/>
        <v>0</v>
      </c>
      <c r="I574" s="328">
        <f t="shared" si="220"/>
        <v>183475.24981713083</v>
      </c>
      <c r="J574" s="331">
        <f t="shared" si="221"/>
        <v>1.5707908764684848</v>
      </c>
      <c r="K574" s="339">
        <f t="shared" si="237"/>
        <v>30.012442408393454</v>
      </c>
      <c r="L574" s="340">
        <f t="shared" si="238"/>
        <v>1.5374706443808832</v>
      </c>
      <c r="M574" s="328">
        <f t="shared" si="222"/>
        <v>1.1123709235931731</v>
      </c>
      <c r="N574" s="331">
        <f t="shared" si="223"/>
        <v>0.45335961294380073</v>
      </c>
      <c r="O574" s="332">
        <f t="shared" si="224"/>
        <v>1.0589037855716603</v>
      </c>
      <c r="P574" s="333">
        <f t="shared" si="225"/>
        <v>0.73073842890026308</v>
      </c>
      <c r="Q574" s="334">
        <f t="shared" si="226"/>
        <v>-10.630602781630405</v>
      </c>
      <c r="R574" s="335">
        <f t="shared" si="227"/>
        <v>-155.66232020108396</v>
      </c>
      <c r="S574" s="337">
        <f t="shared" si="228"/>
        <v>24.337679798916042</v>
      </c>
      <c r="U574" s="310">
        <f t="shared" si="233"/>
        <v>101165</v>
      </c>
      <c r="V574" s="310">
        <f t="shared" si="234"/>
        <v>10234357225</v>
      </c>
      <c r="X574" s="336">
        <f t="shared" si="229"/>
        <v>0.37954352992395074</v>
      </c>
      <c r="Y574" s="337">
        <f t="shared" si="235"/>
        <v>-27.884701126243211</v>
      </c>
      <c r="AA574" s="336">
        <f t="shared" si="230"/>
        <v>-11.010146311554356</v>
      </c>
      <c r="AB574" s="337">
        <f t="shared" si="231"/>
        <v>-127.77761907484076</v>
      </c>
      <c r="AD574">
        <f t="shared" si="236"/>
        <v>0</v>
      </c>
      <c r="AE574">
        <f t="shared" si="239"/>
        <v>0</v>
      </c>
    </row>
    <row r="575" spans="1:31" x14ac:dyDescent="0.25">
      <c r="A575" s="338">
        <v>102330</v>
      </c>
      <c r="B575" s="355">
        <f t="shared" si="232"/>
        <v>102.33</v>
      </c>
      <c r="C575" s="328">
        <f t="shared" si="214"/>
        <v>34.331652371110359</v>
      </c>
      <c r="D575" s="329">
        <f t="shared" si="215"/>
        <v>1.5416645667958557</v>
      </c>
      <c r="E575" s="329">
        <f t="shared" si="216"/>
        <v>1.0008999702995884</v>
      </c>
      <c r="F575" s="330">
        <f t="shared" si="217"/>
        <v>4.2409806933802641E-2</v>
      </c>
      <c r="G575" s="329">
        <f t="shared" si="218"/>
        <v>1</v>
      </c>
      <c r="H575" s="330">
        <f t="shared" si="219"/>
        <v>0</v>
      </c>
      <c r="I575" s="328">
        <f t="shared" si="220"/>
        <v>185588.12152207465</v>
      </c>
      <c r="J575" s="331">
        <f t="shared" si="221"/>
        <v>1.5707909385190102</v>
      </c>
      <c r="K575" s="339">
        <f t="shared" si="237"/>
        <v>30.357679386510593</v>
      </c>
      <c r="L575" s="340">
        <f t="shared" si="238"/>
        <v>1.5378497723908693</v>
      </c>
      <c r="M575" s="328">
        <f t="shared" si="222"/>
        <v>1.114839701021465</v>
      </c>
      <c r="N575" s="331">
        <f t="shared" si="223"/>
        <v>0.45788386854052199</v>
      </c>
      <c r="O575" s="332">
        <f t="shared" si="224"/>
        <v>1.0607291161291927</v>
      </c>
      <c r="P575" s="333">
        <f t="shared" si="225"/>
        <v>0.73953421495155713</v>
      </c>
      <c r="Q575" s="334">
        <f t="shared" si="226"/>
        <v>-10.764119353820723</v>
      </c>
      <c r="R575" s="335">
        <f t="shared" si="227"/>
        <v>-156.39536262182469</v>
      </c>
      <c r="S575" s="337">
        <f t="shared" si="228"/>
        <v>23.604637378175312</v>
      </c>
      <c r="U575" s="310">
        <f t="shared" si="233"/>
        <v>102330</v>
      </c>
      <c r="V575" s="310">
        <f t="shared" si="234"/>
        <v>10471428900</v>
      </c>
      <c r="X575" s="336">
        <f t="shared" si="229"/>
        <v>0.36017841266085421</v>
      </c>
      <c r="Y575" s="337">
        <f t="shared" si="235"/>
        <v>-28.122202998010998</v>
      </c>
      <c r="AA575" s="336">
        <f t="shared" si="230"/>
        <v>-11.124297766481577</v>
      </c>
      <c r="AB575" s="337">
        <f t="shared" si="231"/>
        <v>-128.27315962381368</v>
      </c>
      <c r="AD575">
        <f t="shared" si="236"/>
        <v>0</v>
      </c>
      <c r="AE575">
        <f t="shared" si="239"/>
        <v>0</v>
      </c>
    </row>
    <row r="576" spans="1:31" x14ac:dyDescent="0.25">
      <c r="A576" s="338">
        <v>103520</v>
      </c>
      <c r="B576" s="355">
        <f t="shared" si="232"/>
        <v>103.52</v>
      </c>
      <c r="C576" s="328">
        <f t="shared" si="214"/>
        <v>34.730559861473125</v>
      </c>
      <c r="D576" s="329">
        <f t="shared" si="215"/>
        <v>1.541999260775883</v>
      </c>
      <c r="E576" s="329">
        <f t="shared" si="216"/>
        <v>1.0009210139075355</v>
      </c>
      <c r="F576" s="330">
        <f t="shared" si="217"/>
        <v>4.2902390931245357E-2</v>
      </c>
      <c r="G576" s="329">
        <f t="shared" si="218"/>
        <v>1</v>
      </c>
      <c r="H576" s="330">
        <f t="shared" si="219"/>
        <v>0</v>
      </c>
      <c r="I576" s="328">
        <f t="shared" si="220"/>
        <v>187746.33382154591</v>
      </c>
      <c r="J576" s="331">
        <f t="shared" si="221"/>
        <v>1.5707910004591985</v>
      </c>
      <c r="K576" s="339">
        <f t="shared" si="237"/>
        <v>30.710329286112021</v>
      </c>
      <c r="L576" s="340">
        <f t="shared" si="238"/>
        <v>1.5382282356926107</v>
      </c>
      <c r="M576" s="328">
        <f t="shared" si="222"/>
        <v>1.1173849103138838</v>
      </c>
      <c r="N576" s="331">
        <f t="shared" si="223"/>
        <v>0.46248447457641034</v>
      </c>
      <c r="O576" s="332">
        <f t="shared" si="224"/>
        <v>1.0626356183384853</v>
      </c>
      <c r="P576" s="333">
        <f t="shared" si="225"/>
        <v>0.74852392740668028</v>
      </c>
      <c r="Q576" s="334">
        <f t="shared" si="226"/>
        <v>-10.899791113099898</v>
      </c>
      <c r="R576" s="335">
        <f t="shared" si="227"/>
        <v>-157.14330328184872</v>
      </c>
      <c r="S576" s="337">
        <f t="shared" si="228"/>
        <v>22.856696718151284</v>
      </c>
      <c r="U576" s="310">
        <f t="shared" si="233"/>
        <v>103520</v>
      </c>
      <c r="V576" s="310">
        <f t="shared" si="234"/>
        <v>10716390400</v>
      </c>
      <c r="X576" s="336">
        <f t="shared" si="229"/>
        <v>0.34026317148890006</v>
      </c>
      <c r="Y576" s="337">
        <f t="shared" si="235"/>
        <v>-28.36411750636724</v>
      </c>
      <c r="AA576" s="336">
        <f t="shared" si="230"/>
        <v>-11.240054284588796</v>
      </c>
      <c r="AB576" s="337">
        <f t="shared" si="231"/>
        <v>-128.77918577548147</v>
      </c>
      <c r="AD576">
        <f t="shared" si="236"/>
        <v>0</v>
      </c>
      <c r="AE576">
        <f t="shared" si="239"/>
        <v>0</v>
      </c>
    </row>
    <row r="577" spans="1:31" x14ac:dyDescent="0.25">
      <c r="A577" s="338">
        <v>104710</v>
      </c>
      <c r="B577" s="355">
        <f t="shared" si="232"/>
        <v>104.71</v>
      </c>
      <c r="C577" s="328">
        <f t="shared" si="214"/>
        <v>35.129471153998615</v>
      </c>
      <c r="D577" s="329">
        <f t="shared" si="215"/>
        <v>1.5423263535838845</v>
      </c>
      <c r="E577" s="329">
        <f t="shared" si="216"/>
        <v>1.0009423003677049</v>
      </c>
      <c r="F577" s="330">
        <f t="shared" si="217"/>
        <v>4.3394954097201725E-2</v>
      </c>
      <c r="G577" s="329">
        <f t="shared" si="218"/>
        <v>1</v>
      </c>
      <c r="H577" s="330">
        <f t="shared" si="219"/>
        <v>0</v>
      </c>
      <c r="I577" s="328">
        <f t="shared" si="220"/>
        <v>189904.54612101786</v>
      </c>
      <c r="J577" s="331">
        <f t="shared" si="221"/>
        <v>1.570791060991521</v>
      </c>
      <c r="K577" s="339">
        <f t="shared" si="237"/>
        <v>31.062983484614509</v>
      </c>
      <c r="L577" s="340">
        <f t="shared" si="238"/>
        <v>1.5385981057524909</v>
      </c>
      <c r="M577" s="328">
        <f t="shared" si="222"/>
        <v>1.119953661915678</v>
      </c>
      <c r="N577" s="331">
        <f t="shared" si="223"/>
        <v>0.46706407306081399</v>
      </c>
      <c r="O577" s="332">
        <f t="shared" si="224"/>
        <v>1.0645851702061326</v>
      </c>
      <c r="P577" s="333">
        <f t="shared" si="225"/>
        <v>0.75751848658493148</v>
      </c>
      <c r="Q577" s="334">
        <f t="shared" si="226"/>
        <v>-11.034772921919163</v>
      </c>
      <c r="R577" s="335">
        <f t="shared" si="227"/>
        <v>-157.89037594891954</v>
      </c>
      <c r="S577" s="337">
        <f t="shared" si="228"/>
        <v>22.109624051080459</v>
      </c>
      <c r="U577" s="310">
        <f t="shared" si="233"/>
        <v>104710</v>
      </c>
      <c r="V577" s="310">
        <f t="shared" si="234"/>
        <v>10964184100</v>
      </c>
      <c r="X577" s="336">
        <f t="shared" si="229"/>
        <v>0.3202140601803245</v>
      </c>
      <c r="Y577" s="337">
        <f t="shared" si="235"/>
        <v>-28.605320646510911</v>
      </c>
      <c r="AA577" s="336">
        <f t="shared" si="230"/>
        <v>-11.354986982099488</v>
      </c>
      <c r="AB577" s="337">
        <f t="shared" si="231"/>
        <v>-129.28505530240864</v>
      </c>
      <c r="AD577">
        <f t="shared" si="236"/>
        <v>0</v>
      </c>
      <c r="AE577">
        <f t="shared" si="239"/>
        <v>0</v>
      </c>
    </row>
    <row r="578" spans="1:31" x14ac:dyDescent="0.25">
      <c r="A578" s="338">
        <v>105930</v>
      </c>
      <c r="B578" s="355">
        <f t="shared" si="232"/>
        <v>105.93</v>
      </c>
      <c r="C578" s="328">
        <f t="shared" si="214"/>
        <v>35.538442846846188</v>
      </c>
      <c r="D578" s="329">
        <f t="shared" si="215"/>
        <v>1.5426540692884616</v>
      </c>
      <c r="E578" s="329">
        <f t="shared" si="216"/>
        <v>1.0009643755579851</v>
      </c>
      <c r="F578" s="330">
        <f t="shared" si="217"/>
        <v>4.3899912947303089E-2</v>
      </c>
      <c r="G578" s="329">
        <f t="shared" si="218"/>
        <v>1</v>
      </c>
      <c r="H578" s="330">
        <f t="shared" si="219"/>
        <v>0</v>
      </c>
      <c r="I578" s="328">
        <f t="shared" si="220"/>
        <v>192117.1671339226</v>
      </c>
      <c r="J578" s="331">
        <f t="shared" si="221"/>
        <v>1.5707911216379868</v>
      </c>
      <c r="K578" s="339">
        <f t="shared" si="237"/>
        <v>31.424532436414964</v>
      </c>
      <c r="L578" s="340">
        <f t="shared" si="238"/>
        <v>1.5389686820991391</v>
      </c>
      <c r="M578" s="328">
        <f t="shared" si="222"/>
        <v>1.1226114428169052</v>
      </c>
      <c r="N578" s="331">
        <f t="shared" si="223"/>
        <v>0.47173726557563422</v>
      </c>
      <c r="O578" s="332">
        <f t="shared" si="224"/>
        <v>1.0666291967223147</v>
      </c>
      <c r="P578" s="333">
        <f t="shared" si="225"/>
        <v>0.76674441445606456</v>
      </c>
      <c r="Q578" s="334">
        <f t="shared" si="226"/>
        <v>-11.172469416218238</v>
      </c>
      <c r="R578" s="335">
        <f t="shared" si="227"/>
        <v>-158.6553526168031</v>
      </c>
      <c r="S578" s="337">
        <f t="shared" si="228"/>
        <v>21.3446473831969</v>
      </c>
      <c r="U578" s="310">
        <f t="shared" si="233"/>
        <v>105930</v>
      </c>
      <c r="V578" s="310">
        <f t="shared" si="234"/>
        <v>11221164900</v>
      </c>
      <c r="X578" s="336">
        <f t="shared" si="229"/>
        <v>0.29952277065817312</v>
      </c>
      <c r="Y578" s="337">
        <f t="shared" si="235"/>
        <v>-28.851845868880151</v>
      </c>
      <c r="AA578" s="336">
        <f t="shared" si="230"/>
        <v>-11.471992186876411</v>
      </c>
      <c r="AB578" s="337">
        <f t="shared" si="231"/>
        <v>-129.80350674792291</v>
      </c>
      <c r="AD578">
        <f t="shared" si="236"/>
        <v>0</v>
      </c>
      <c r="AE578">
        <f t="shared" si="239"/>
        <v>0</v>
      </c>
    </row>
    <row r="579" spans="1:31" x14ac:dyDescent="0.25">
      <c r="A579" s="338">
        <v>107150</v>
      </c>
      <c r="B579" s="355">
        <f t="shared" si="232"/>
        <v>107.15</v>
      </c>
      <c r="C579" s="328">
        <f t="shared" si="214"/>
        <v>35.947418269590656</v>
      </c>
      <c r="D579" s="329">
        <f t="shared" si="215"/>
        <v>1.5429743281536474</v>
      </c>
      <c r="E579" s="329">
        <f t="shared" si="216"/>
        <v>1.0009867059663102</v>
      </c>
      <c r="F579" s="330">
        <f t="shared" si="217"/>
        <v>4.440484939650563E-2</v>
      </c>
      <c r="G579" s="329">
        <f t="shared" si="218"/>
        <v>1</v>
      </c>
      <c r="H579" s="330">
        <f t="shared" si="219"/>
        <v>0</v>
      </c>
      <c r="I579" s="328">
        <f t="shared" si="220"/>
        <v>194329.78814682804</v>
      </c>
      <c r="J579" s="331">
        <f t="shared" si="221"/>
        <v>1.5707911809034225</v>
      </c>
      <c r="K579" s="339">
        <f t="shared" si="237"/>
        <v>31.786085605475222</v>
      </c>
      <c r="L579" s="340">
        <f t="shared" si="238"/>
        <v>1.5393308281987483</v>
      </c>
      <c r="M579" s="328">
        <f t="shared" si="222"/>
        <v>1.1252936240045153</v>
      </c>
      <c r="N579" s="331">
        <f t="shared" si="223"/>
        <v>0.47638828178846476</v>
      </c>
      <c r="O579" s="332">
        <f t="shared" si="224"/>
        <v>1.0687197617903916</v>
      </c>
      <c r="P579" s="333">
        <f t="shared" si="225"/>
        <v>0.77597457777671552</v>
      </c>
      <c r="Q579" s="334">
        <f t="shared" si="226"/>
        <v>-11.309496749744575</v>
      </c>
      <c r="R579" s="335">
        <f t="shared" si="227"/>
        <v>-159.41935832605776</v>
      </c>
      <c r="S579" s="337">
        <f t="shared" si="228"/>
        <v>20.580641673942239</v>
      </c>
      <c r="U579" s="310">
        <f t="shared" si="233"/>
        <v>107150</v>
      </c>
      <c r="V579" s="310">
        <f t="shared" si="234"/>
        <v>11481122500</v>
      </c>
      <c r="X579" s="336">
        <f t="shared" si="229"/>
        <v>0.27869532222119076</v>
      </c>
      <c r="Y579" s="337">
        <f t="shared" si="235"/>
        <v>-29.097583421187661</v>
      </c>
      <c r="AA579" s="336">
        <f t="shared" si="230"/>
        <v>-11.588192071965766</v>
      </c>
      <c r="AB579" s="337">
        <f t="shared" si="231"/>
        <v>-130.32177490487007</v>
      </c>
      <c r="AD579">
        <f t="shared" si="236"/>
        <v>0</v>
      </c>
      <c r="AE579">
        <f t="shared" si="239"/>
        <v>0</v>
      </c>
    </row>
    <row r="580" spans="1:31" x14ac:dyDescent="0.25">
      <c r="A580" s="338">
        <v>108400</v>
      </c>
      <c r="B580" s="355">
        <f t="shared" si="232"/>
        <v>108.4</v>
      </c>
      <c r="C580" s="328">
        <f t="shared" si="214"/>
        <v>36.366454202040131</v>
      </c>
      <c r="D580" s="329">
        <f t="shared" si="215"/>
        <v>1.5432949911002463</v>
      </c>
      <c r="E580" s="329">
        <f t="shared" si="216"/>
        <v>1.0010098501741622</v>
      </c>
      <c r="F580" s="330">
        <f t="shared" si="217"/>
        <v>4.4922178814171619E-2</v>
      </c>
      <c r="G580" s="329">
        <f t="shared" si="218"/>
        <v>1</v>
      </c>
      <c r="H580" s="330">
        <f t="shared" si="219"/>
        <v>0</v>
      </c>
      <c r="I580" s="328">
        <f t="shared" si="220"/>
        <v>196596.81787316623</v>
      </c>
      <c r="J580" s="331">
        <f t="shared" si="221"/>
        <v>1.570791240242577</v>
      </c>
      <c r="K580" s="339">
        <f t="shared" si="237"/>
        <v>32.15653365157312</v>
      </c>
      <c r="L580" s="340">
        <f t="shared" si="238"/>
        <v>1.5396934330345615</v>
      </c>
      <c r="M580" s="328">
        <f t="shared" si="222"/>
        <v>1.12806688613088</v>
      </c>
      <c r="N580" s="331">
        <f t="shared" si="223"/>
        <v>0.48113062205384716</v>
      </c>
      <c r="O580" s="332">
        <f t="shared" si="224"/>
        <v>1.0709106861128683</v>
      </c>
      <c r="P580" s="333">
        <f t="shared" si="225"/>
        <v>0.78543563189583132</v>
      </c>
      <c r="Q580" s="334">
        <f t="shared" si="226"/>
        <v>-11.449227656441632</v>
      </c>
      <c r="R580" s="335">
        <f t="shared" si="227"/>
        <v>-160.20111239433868</v>
      </c>
      <c r="S580" s="337">
        <f t="shared" si="228"/>
        <v>19.798887605661321</v>
      </c>
      <c r="U580" s="310">
        <f t="shared" si="233"/>
        <v>108400</v>
      </c>
      <c r="V580" s="310">
        <f t="shared" si="234"/>
        <v>11750560000</v>
      </c>
      <c r="X580" s="336">
        <f t="shared" si="229"/>
        <v>0.2572169036696863</v>
      </c>
      <c r="Y580" s="337">
        <f t="shared" si="235"/>
        <v>-29.348527176855747</v>
      </c>
      <c r="AA580" s="336">
        <f t="shared" si="230"/>
        <v>-11.706444560111319</v>
      </c>
      <c r="AB580" s="337">
        <f t="shared" si="231"/>
        <v>-130.85258521748293</v>
      </c>
      <c r="AD580">
        <f t="shared" si="236"/>
        <v>0</v>
      </c>
      <c r="AE580">
        <f t="shared" si="239"/>
        <v>0</v>
      </c>
    </row>
    <row r="581" spans="1:31" x14ac:dyDescent="0.25">
      <c r="A581" s="338">
        <v>109650</v>
      </c>
      <c r="B581" s="355">
        <f t="shared" si="232"/>
        <v>109.65</v>
      </c>
      <c r="C581" s="328">
        <f t="shared" si="214"/>
        <v>36.785493788667175</v>
      </c>
      <c r="D581" s="329">
        <f t="shared" si="215"/>
        <v>1.5436083484557916</v>
      </c>
      <c r="E581" s="329">
        <f t="shared" si="216"/>
        <v>1.0010332622695768</v>
      </c>
      <c r="F581" s="330">
        <f t="shared" si="217"/>
        <v>4.5439484171750595E-2</v>
      </c>
      <c r="G581" s="329">
        <f t="shared" si="218"/>
        <v>1</v>
      </c>
      <c r="H581" s="330">
        <f t="shared" si="219"/>
        <v>0</v>
      </c>
      <c r="I581" s="328">
        <f t="shared" si="220"/>
        <v>198863.84759950513</v>
      </c>
      <c r="J581" s="331">
        <f t="shared" si="221"/>
        <v>1.5707912982288095</v>
      </c>
      <c r="K581" s="339">
        <f t="shared" si="237"/>
        <v>32.526985829379406</v>
      </c>
      <c r="L581" s="340">
        <f t="shared" si="238"/>
        <v>1.5400477784510471</v>
      </c>
      <c r="M581" s="328">
        <f t="shared" si="222"/>
        <v>1.1308653934825992</v>
      </c>
      <c r="N581" s="331">
        <f t="shared" si="223"/>
        <v>0.48584959665296884</v>
      </c>
      <c r="O581" s="332">
        <f t="shared" si="224"/>
        <v>1.0731518526635058</v>
      </c>
      <c r="P581" s="333">
        <f t="shared" si="225"/>
        <v>0.79490015746177456</v>
      </c>
      <c r="Q581" s="334">
        <f t="shared" si="226"/>
        <v>-11.588312166714388</v>
      </c>
      <c r="R581" s="335">
        <f t="shared" si="227"/>
        <v>-160.98178255916736</v>
      </c>
      <c r="S581" s="337">
        <f t="shared" si="228"/>
        <v>19.018217440832643</v>
      </c>
      <c r="U581" s="310">
        <f t="shared" si="233"/>
        <v>109650</v>
      </c>
      <c r="V581" s="310">
        <f t="shared" si="234"/>
        <v>12023122500</v>
      </c>
      <c r="X581" s="336">
        <f t="shared" si="229"/>
        <v>0.23560042643983967</v>
      </c>
      <c r="Y581" s="337">
        <f t="shared" si="235"/>
        <v>-29.598605330812571</v>
      </c>
      <c r="AA581" s="336">
        <f t="shared" si="230"/>
        <v>-11.82391259315423</v>
      </c>
      <c r="AB581" s="337">
        <f t="shared" si="231"/>
        <v>-131.38317722835478</v>
      </c>
      <c r="AD581">
        <f t="shared" si="236"/>
        <v>0</v>
      </c>
      <c r="AE581">
        <f t="shared" si="239"/>
        <v>0</v>
      </c>
    </row>
    <row r="582" spans="1:31" x14ac:dyDescent="0.25">
      <c r="A582" s="338">
        <v>110925</v>
      </c>
      <c r="B582" s="355">
        <f t="shared" si="232"/>
        <v>110.925</v>
      </c>
      <c r="C582" s="328">
        <f t="shared" si="214"/>
        <v>37.212917803540037</v>
      </c>
      <c r="D582" s="329">
        <f t="shared" si="215"/>
        <v>1.543920702619952</v>
      </c>
      <c r="E582" s="329">
        <f t="shared" si="216"/>
        <v>1.0010574185651733</v>
      </c>
      <c r="F582" s="330">
        <f t="shared" si="217"/>
        <v>4.5967110564411016E-2</v>
      </c>
      <c r="G582" s="329">
        <f t="shared" si="218"/>
        <v>1</v>
      </c>
      <c r="H582" s="330">
        <f t="shared" si="219"/>
        <v>0</v>
      </c>
      <c r="I582" s="328">
        <f t="shared" si="220"/>
        <v>201176.21792037148</v>
      </c>
      <c r="J582" s="331">
        <f t="shared" si="221"/>
        <v>1.5707913560284197</v>
      </c>
      <c r="K582" s="339">
        <f t="shared" si="237"/>
        <v>32.904851162507185</v>
      </c>
      <c r="L582" s="340">
        <f t="shared" si="238"/>
        <v>1.5404009911325676</v>
      </c>
      <c r="M582" s="328">
        <f t="shared" si="222"/>
        <v>1.1337456847302432</v>
      </c>
      <c r="N582" s="331">
        <f t="shared" si="223"/>
        <v>0.49063884175368078</v>
      </c>
      <c r="O582" s="332">
        <f t="shared" si="224"/>
        <v>1.0754903282116333</v>
      </c>
      <c r="P582" s="333">
        <f t="shared" si="225"/>
        <v>0.80455701844032323</v>
      </c>
      <c r="Q582" s="334">
        <f t="shared" si="226"/>
        <v>-11.729540309885438</v>
      </c>
      <c r="R582" s="335">
        <f t="shared" si="227"/>
        <v>-161.77691499442847</v>
      </c>
      <c r="S582" s="337">
        <f t="shared" si="228"/>
        <v>18.223085005571534</v>
      </c>
      <c r="U582" s="310">
        <f t="shared" si="233"/>
        <v>110925</v>
      </c>
      <c r="V582" s="310">
        <f t="shared" si="234"/>
        <v>12304355625</v>
      </c>
      <c r="X582" s="336">
        <f t="shared" si="229"/>
        <v>0.21341194396972046</v>
      </c>
      <c r="Y582" s="337">
        <f t="shared" si="235"/>
        <v>-29.852774578179616</v>
      </c>
      <c r="AA582" s="336">
        <f t="shared" si="230"/>
        <v>-11.942952253855157</v>
      </c>
      <c r="AB582" s="337">
        <f t="shared" si="231"/>
        <v>-131.92414041624892</v>
      </c>
      <c r="AD582">
        <f t="shared" si="236"/>
        <v>0</v>
      </c>
      <c r="AE582">
        <f t="shared" si="239"/>
        <v>0</v>
      </c>
    </row>
    <row r="583" spans="1:31" x14ac:dyDescent="0.25">
      <c r="A583" s="338">
        <v>112200</v>
      </c>
      <c r="B583" s="355">
        <f t="shared" si="232"/>
        <v>112.2</v>
      </c>
      <c r="C583" s="328">
        <f t="shared" si="214"/>
        <v>37.640345366639359</v>
      </c>
      <c r="D583" s="329">
        <f t="shared" si="215"/>
        <v>1.5442259628944066</v>
      </c>
      <c r="E583" s="329">
        <f t="shared" si="216"/>
        <v>1.0010818535312596</v>
      </c>
      <c r="F583" s="330">
        <f t="shared" si="217"/>
        <v>4.6494711346743572E-2</v>
      </c>
      <c r="G583" s="329">
        <f t="shared" si="218"/>
        <v>1</v>
      </c>
      <c r="H583" s="330">
        <f t="shared" si="219"/>
        <v>0</v>
      </c>
      <c r="I583" s="328">
        <f t="shared" si="220"/>
        <v>203488.5882412385</v>
      </c>
      <c r="J583" s="331">
        <f t="shared" si="221"/>
        <v>1.5707914125144022</v>
      </c>
      <c r="K583" s="339">
        <f t="shared" si="237"/>
        <v>33.282720507603607</v>
      </c>
      <c r="L583" s="340">
        <f t="shared" si="238"/>
        <v>1.5407461835838046</v>
      </c>
      <c r="M583" s="328">
        <f t="shared" si="222"/>
        <v>1.1366518484149113</v>
      </c>
      <c r="N583" s="331">
        <f t="shared" si="223"/>
        <v>0.4954037056322606</v>
      </c>
      <c r="O583" s="332">
        <f t="shared" si="224"/>
        <v>1.077882545642884</v>
      </c>
      <c r="P583" s="333">
        <f t="shared" si="225"/>
        <v>0.81421640108807103</v>
      </c>
      <c r="Q583" s="334">
        <f t="shared" si="226"/>
        <v>-11.870151373885793</v>
      </c>
      <c r="R583" s="335">
        <f t="shared" si="227"/>
        <v>-162.5708494370671</v>
      </c>
      <c r="S583" s="337">
        <f t="shared" si="228"/>
        <v>17.429150562932904</v>
      </c>
      <c r="U583" s="310">
        <f t="shared" si="233"/>
        <v>112200</v>
      </c>
      <c r="V583" s="310">
        <f t="shared" si="234"/>
        <v>12588840000</v>
      </c>
      <c r="X583" s="336">
        <f t="shared" si="229"/>
        <v>0.19108499018512398</v>
      </c>
      <c r="Y583" s="337">
        <f t="shared" si="235"/>
        <v>-30.106006334498666</v>
      </c>
      <c r="AA583" s="336">
        <f t="shared" si="230"/>
        <v>-12.061236364070918</v>
      </c>
      <c r="AB583" s="337">
        <f t="shared" si="231"/>
        <v>-132.46484310256838</v>
      </c>
      <c r="AD583">
        <f t="shared" si="236"/>
        <v>0</v>
      </c>
      <c r="AE583">
        <f t="shared" si="239"/>
        <v>0</v>
      </c>
    </row>
    <row r="584" spans="1:31" x14ac:dyDescent="0.25">
      <c r="A584" s="338">
        <v>113510</v>
      </c>
      <c r="B584" s="355">
        <f t="shared" si="232"/>
        <v>113.51</v>
      </c>
      <c r="C584" s="328">
        <f t="shared" si="214"/>
        <v>38.079509805473222</v>
      </c>
      <c r="D584" s="329">
        <f t="shared" si="215"/>
        <v>1.544532465221248</v>
      </c>
      <c r="E584" s="329">
        <f t="shared" si="216"/>
        <v>1.0011072494898257</v>
      </c>
      <c r="F584" s="330">
        <f t="shared" si="217"/>
        <v>4.7036768306536324E-2</v>
      </c>
      <c r="G584" s="329">
        <f t="shared" si="218"/>
        <v>1</v>
      </c>
      <c r="H584" s="330">
        <f t="shared" si="219"/>
        <v>0</v>
      </c>
      <c r="I584" s="328">
        <f t="shared" si="220"/>
        <v>205864.43539444366</v>
      </c>
      <c r="J584" s="331">
        <f t="shared" si="221"/>
        <v>1.5707914692292948</v>
      </c>
      <c r="K584" s="339">
        <f t="shared" si="237"/>
        <v>33.670966773390205</v>
      </c>
      <c r="L584" s="340">
        <f t="shared" si="238"/>
        <v>1.541092782136873</v>
      </c>
      <c r="M584" s="328">
        <f t="shared" si="222"/>
        <v>1.1396645286138172</v>
      </c>
      <c r="N584" s="331">
        <f t="shared" si="223"/>
        <v>0.50027394490507848</v>
      </c>
      <c r="O584" s="332">
        <f t="shared" si="224"/>
        <v>1.0803971840047413</v>
      </c>
      <c r="P584" s="333">
        <f t="shared" si="225"/>
        <v>0.82414297048842122</v>
      </c>
      <c r="Q584" s="334">
        <f t="shared" si="226"/>
        <v>-12.01400744978147</v>
      </c>
      <c r="R584" s="335">
        <f t="shared" si="227"/>
        <v>-163.38529245416777</v>
      </c>
      <c r="S584" s="337">
        <f t="shared" si="228"/>
        <v>16.614707545832232</v>
      </c>
      <c r="U584" s="310">
        <f t="shared" si="233"/>
        <v>113510</v>
      </c>
      <c r="V584" s="310">
        <f t="shared" si="234"/>
        <v>12884520100</v>
      </c>
      <c r="X584" s="336">
        <f t="shared" si="229"/>
        <v>0.1680036425503092</v>
      </c>
      <c r="Y584" s="337">
        <f t="shared" si="235"/>
        <v>-30.365195105593994</v>
      </c>
      <c r="AA584" s="336">
        <f t="shared" si="230"/>
        <v>-12.182011092331781</v>
      </c>
      <c r="AB584" s="337">
        <f t="shared" si="231"/>
        <v>-133.02009734857378</v>
      </c>
      <c r="AD584">
        <f t="shared" si="236"/>
        <v>0</v>
      </c>
      <c r="AE584">
        <f t="shared" si="239"/>
        <v>0</v>
      </c>
    </row>
    <row r="585" spans="1:31" x14ac:dyDescent="0.25">
      <c r="A585" s="338">
        <v>114820</v>
      </c>
      <c r="B585" s="355">
        <f t="shared" si="232"/>
        <v>114.82</v>
      </c>
      <c r="C585" s="328">
        <f t="shared" si="214"/>
        <v>38.518677740063367</v>
      </c>
      <c r="D585" s="329">
        <f t="shared" si="215"/>
        <v>1.5448319784472133</v>
      </c>
      <c r="E585" s="329">
        <f t="shared" si="216"/>
        <v>1.0011329395845039</v>
      </c>
      <c r="F585" s="330">
        <f t="shared" si="217"/>
        <v>4.757879760611302E-2</v>
      </c>
      <c r="G585" s="329">
        <f t="shared" si="218"/>
        <v>1</v>
      </c>
      <c r="H585" s="330">
        <f t="shared" si="219"/>
        <v>0</v>
      </c>
      <c r="I585" s="328">
        <f t="shared" si="220"/>
        <v>208240.28254764949</v>
      </c>
      <c r="J585" s="331">
        <f t="shared" si="221"/>
        <v>1.5707915246500486</v>
      </c>
      <c r="K585" s="339">
        <f t="shared" si="237"/>
        <v>34.059216991871367</v>
      </c>
      <c r="L585" s="340">
        <f t="shared" si="238"/>
        <v>1.5414314787887209</v>
      </c>
      <c r="M585" s="328">
        <f t="shared" si="222"/>
        <v>1.1427040978688228</v>
      </c>
      <c r="N585" s="331">
        <f t="shared" si="223"/>
        <v>0.50511838910615647</v>
      </c>
      <c r="O585" s="332">
        <f t="shared" si="224"/>
        <v>1.0829701352914607</v>
      </c>
      <c r="P585" s="333">
        <f t="shared" si="225"/>
        <v>0.83407096789344393</v>
      </c>
      <c r="Q585" s="334">
        <f t="shared" si="226"/>
        <v>-12.15726770095859</v>
      </c>
      <c r="R585" s="335">
        <f t="shared" si="227"/>
        <v>-164.19839315143707</v>
      </c>
      <c r="S585" s="337">
        <f t="shared" si="228"/>
        <v>15.801606848562926</v>
      </c>
      <c r="U585" s="310">
        <f t="shared" si="233"/>
        <v>114820</v>
      </c>
      <c r="V585" s="310">
        <f t="shared" si="234"/>
        <v>13183632400</v>
      </c>
      <c r="X585" s="336">
        <f t="shared" si="229"/>
        <v>0.14478166139976867</v>
      </c>
      <c r="Y585" s="337">
        <f t="shared" si="235"/>
        <v>-30.623358599386574</v>
      </c>
      <c r="AA585" s="336">
        <f t="shared" si="230"/>
        <v>-12.302049362358357</v>
      </c>
      <c r="AB585" s="337">
        <f t="shared" si="231"/>
        <v>-133.57503455205054</v>
      </c>
      <c r="AD585">
        <f t="shared" si="236"/>
        <v>0</v>
      </c>
      <c r="AE585">
        <f t="shared" si="239"/>
        <v>0</v>
      </c>
    </row>
    <row r="586" spans="1:31" x14ac:dyDescent="0.25">
      <c r="A586" s="338">
        <v>116155</v>
      </c>
      <c r="B586" s="355">
        <f t="shared" si="232"/>
        <v>116.155</v>
      </c>
      <c r="C586" s="328">
        <f t="shared" si="214"/>
        <v>38.966230216194667</v>
      </c>
      <c r="D586" s="329">
        <f t="shared" si="215"/>
        <v>1.545130261742188</v>
      </c>
      <c r="E586" s="329">
        <f t="shared" si="216"/>
        <v>1.0011594225343206</v>
      </c>
      <c r="F586" s="330">
        <f t="shared" si="217"/>
        <v>4.8131142191705813E-2</v>
      </c>
      <c r="G586" s="329">
        <f t="shared" si="218"/>
        <v>1</v>
      </c>
      <c r="H586" s="330">
        <f t="shared" si="219"/>
        <v>0</v>
      </c>
      <c r="I586" s="328">
        <f t="shared" si="220"/>
        <v>210661.47029538281</v>
      </c>
      <c r="J586" s="331">
        <f t="shared" si="221"/>
        <v>1.5707915798423637</v>
      </c>
      <c r="K586" s="339">
        <f t="shared" si="237"/>
        <v>34.454880493885945</v>
      </c>
      <c r="L586" s="340">
        <f t="shared" si="238"/>
        <v>1.541768786066557</v>
      </c>
      <c r="M586" s="328">
        <f t="shared" si="222"/>
        <v>1.1458291162859813</v>
      </c>
      <c r="N586" s="331">
        <f t="shared" si="223"/>
        <v>0.51002872444462988</v>
      </c>
      <c r="O586" s="332">
        <f t="shared" si="224"/>
        <v>1.0856530060950871</v>
      </c>
      <c r="P586" s="333">
        <f t="shared" si="225"/>
        <v>0.84418923121717171</v>
      </c>
      <c r="Q586" s="334">
        <f t="shared" si="226"/>
        <v>-12.302676489873152</v>
      </c>
      <c r="R586" s="335">
        <f t="shared" si="227"/>
        <v>-165.02558866689992</v>
      </c>
      <c r="S586" s="337">
        <f t="shared" si="228"/>
        <v>14.974411333100079</v>
      </c>
      <c r="U586" s="310">
        <f t="shared" si="233"/>
        <v>116155</v>
      </c>
      <c r="V586" s="310">
        <f t="shared" si="234"/>
        <v>13491984025</v>
      </c>
      <c r="X586" s="336">
        <f t="shared" si="229"/>
        <v>0.12097471859137626</v>
      </c>
      <c r="Y586" s="337">
        <f t="shared" si="235"/>
        <v>-30.885376969442095</v>
      </c>
      <c r="AA586" s="336">
        <f t="shared" si="230"/>
        <v>-12.423651208464531</v>
      </c>
      <c r="AB586" s="337">
        <f t="shared" si="231"/>
        <v>-134.14021169745789</v>
      </c>
      <c r="AD586">
        <f t="shared" si="236"/>
        <v>0</v>
      </c>
      <c r="AE586">
        <f t="shared" si="239"/>
        <v>0</v>
      </c>
    </row>
    <row r="587" spans="1:31" x14ac:dyDescent="0.25">
      <c r="A587" s="338">
        <v>117490</v>
      </c>
      <c r="B587" s="355">
        <f t="shared" si="232"/>
        <v>117.49</v>
      </c>
      <c r="C587" s="328">
        <f t="shared" si="214"/>
        <v>39.413786080529469</v>
      </c>
      <c r="D587" s="329">
        <f t="shared" si="215"/>
        <v>1.5454217708624549</v>
      </c>
      <c r="E587" s="329">
        <f t="shared" si="216"/>
        <v>1.0011862109061873</v>
      </c>
      <c r="F587" s="330">
        <f t="shared" si="217"/>
        <v>4.8683457388031384E-2</v>
      </c>
      <c r="G587" s="329">
        <f t="shared" si="218"/>
        <v>1</v>
      </c>
      <c r="H587" s="330">
        <f t="shared" si="219"/>
        <v>0</v>
      </c>
      <c r="I587" s="328">
        <f t="shared" si="220"/>
        <v>213082.65804311674</v>
      </c>
      <c r="J587" s="331">
        <f t="shared" si="221"/>
        <v>1.5707916337804149</v>
      </c>
      <c r="K587" s="339">
        <f t="shared" si="237"/>
        <v>34.85054782703363</v>
      </c>
      <c r="L587" s="340">
        <f t="shared" si="238"/>
        <v>1.5420984343066935</v>
      </c>
      <c r="M587" s="328">
        <f t="shared" si="222"/>
        <v>1.1489816115684528</v>
      </c>
      <c r="N587" s="331">
        <f t="shared" si="223"/>
        <v>0.51491223172705392</v>
      </c>
      <c r="O587" s="332">
        <f t="shared" si="224"/>
        <v>1.0883981031649228</v>
      </c>
      <c r="P587" s="333">
        <f t="shared" si="225"/>
        <v>0.85430760894122904</v>
      </c>
      <c r="Q587" s="334">
        <f t="shared" si="226"/>
        <v>-12.447521237563912</v>
      </c>
      <c r="R587" s="335">
        <f t="shared" si="227"/>
        <v>-165.85130591356486</v>
      </c>
      <c r="S587" s="337">
        <f t="shared" si="228"/>
        <v>14.148694086435142</v>
      </c>
      <c r="U587" s="310">
        <f t="shared" si="233"/>
        <v>117490</v>
      </c>
      <c r="V587" s="310">
        <f t="shared" si="234"/>
        <v>13803900100</v>
      </c>
      <c r="X587" s="336">
        <f t="shared" si="229"/>
        <v>9.7027563795694577E-2</v>
      </c>
      <c r="Y587" s="337">
        <f t="shared" si="235"/>
        <v>-31.146296963783502</v>
      </c>
      <c r="AA587" s="336">
        <f t="shared" si="230"/>
        <v>-12.54454880135961</v>
      </c>
      <c r="AB587" s="337">
        <f t="shared" si="231"/>
        <v>-134.70500894978136</v>
      </c>
      <c r="AD587">
        <f t="shared" si="236"/>
        <v>0</v>
      </c>
      <c r="AE587">
        <f t="shared" si="239"/>
        <v>0</v>
      </c>
    </row>
    <row r="588" spans="1:31" x14ac:dyDescent="0.25">
      <c r="A588" s="338">
        <v>118860</v>
      </c>
      <c r="B588" s="355">
        <f t="shared" si="232"/>
        <v>118.86</v>
      </c>
      <c r="C588" s="328">
        <f t="shared" si="214"/>
        <v>39.873079022166586</v>
      </c>
      <c r="D588" s="329">
        <f t="shared" si="215"/>
        <v>1.5457141188219463</v>
      </c>
      <c r="E588" s="329">
        <f t="shared" si="216"/>
        <v>1.0012140191072014</v>
      </c>
      <c r="F588" s="330">
        <f t="shared" si="217"/>
        <v>4.9250221852008461E-2</v>
      </c>
      <c r="G588" s="329">
        <f t="shared" si="218"/>
        <v>1</v>
      </c>
      <c r="H588" s="330">
        <f t="shared" si="219"/>
        <v>0</v>
      </c>
      <c r="I588" s="328">
        <f t="shared" si="220"/>
        <v>215567.32262318887</v>
      </c>
      <c r="J588" s="331">
        <f t="shared" si="221"/>
        <v>1.5707916878728752</v>
      </c>
      <c r="K588" s="339">
        <f t="shared" si="237"/>
        <v>35.256592308889218</v>
      </c>
      <c r="L588" s="340">
        <f t="shared" si="238"/>
        <v>1.542429032501085</v>
      </c>
      <c r="M588" s="328">
        <f t="shared" si="222"/>
        <v>1.1522450868633589</v>
      </c>
      <c r="N588" s="331">
        <f t="shared" si="223"/>
        <v>0.51989586643131347</v>
      </c>
      <c r="O588" s="332">
        <f t="shared" si="224"/>
        <v>1.091280739725466</v>
      </c>
      <c r="P588" s="333">
        <f t="shared" si="225"/>
        <v>0.86469063509081046</v>
      </c>
      <c r="Q588" s="334">
        <f t="shared" si="226"/>
        <v>-12.595604325356531</v>
      </c>
      <c r="R588" s="335">
        <f t="shared" si="227"/>
        <v>-166.69708903714593</v>
      </c>
      <c r="S588" s="337">
        <f t="shared" si="228"/>
        <v>13.302910962854071</v>
      </c>
      <c r="U588" s="310">
        <f t="shared" si="233"/>
        <v>118860</v>
      </c>
      <c r="V588" s="310">
        <f t="shared" si="234"/>
        <v>14127699600</v>
      </c>
      <c r="X588" s="336">
        <f t="shared" si="229"/>
        <v>7.2309874356538559E-2</v>
      </c>
      <c r="Y588" s="337">
        <f t="shared" si="235"/>
        <v>-31.412899417293538</v>
      </c>
      <c r="AA588" s="336">
        <f t="shared" si="230"/>
        <v>-12.667914199713069</v>
      </c>
      <c r="AB588" s="337">
        <f t="shared" si="231"/>
        <v>-135.28418961985241</v>
      </c>
      <c r="AD588">
        <f t="shared" si="236"/>
        <v>0</v>
      </c>
      <c r="AE588">
        <f t="shared" si="239"/>
        <v>0</v>
      </c>
    </row>
    <row r="589" spans="1:31" x14ac:dyDescent="0.25">
      <c r="A589" s="338">
        <v>120230</v>
      </c>
      <c r="B589" s="355">
        <f t="shared" si="232"/>
        <v>120.23</v>
      </c>
      <c r="C589" s="328">
        <f t="shared" ref="C589:C613" si="240">SQRT(1+(A589/pole1)^2)</f>
        <v>40.332375294034073</v>
      </c>
      <c r="D589" s="329">
        <f t="shared" ref="D589:D613" si="241">ATAN(A589/pole1)</f>
        <v>1.545999808416102</v>
      </c>
      <c r="E589" s="329">
        <f t="shared" ref="E589:E613" si="242">SQRT(1+(A589/Zero1)^2)</f>
        <v>1.0012421489022176</v>
      </c>
      <c r="F589" s="330">
        <f t="shared" ref="F589:F613" si="243">ATAN(A589/Zero1)</f>
        <v>4.981695465164563E-2</v>
      </c>
      <c r="G589" s="329">
        <f t="shared" ref="G589:G613" si="244">IF(VIN_nom&gt;Vout, 1, SQRT(1+(A589/z_RHP)^2))</f>
        <v>1</v>
      </c>
      <c r="H589" s="330">
        <f t="shared" ref="H589:H613" si="245">IF(VIN_nom&gt;Vout, 0, -ATAN(A589/z_RHP))</f>
        <v>0</v>
      </c>
      <c r="I589" s="328">
        <f t="shared" ref="I589:I613" si="246">SQRT(1+(A589/Pole2)^2)</f>
        <v>218051.98720326167</v>
      </c>
      <c r="J589" s="331">
        <f t="shared" ref="J589:J613" si="247">ATAN(A589/Pole2)</f>
        <v>1.5707917407325873</v>
      </c>
      <c r="K589" s="339">
        <f t="shared" si="237"/>
        <v>35.662640556372857</v>
      </c>
      <c r="L589" s="340">
        <f t="shared" si="238"/>
        <v>1.5427521024699931</v>
      </c>
      <c r="M589" s="328">
        <f t="shared" ref="M589:M613" si="248">SQRT(1+(A589/pole4)^2)</f>
        <v>1.1555370179669204</v>
      </c>
      <c r="N589" s="331">
        <f t="shared" ref="N589:N613" si="249">ATAN(A589/pole4)</f>
        <v>0.52485122855019151</v>
      </c>
      <c r="O589" s="332">
        <f t="shared" ref="O589:O613" si="250">SQRT((1-(V589/pterm2))^2+(A589/pterm1)^2)</f>
        <v>1.0942306853748802</v>
      </c>
      <c r="P589" s="333">
        <f t="shared" ref="P589:P613" si="251">IF((ATAN((A589/pterm1)/(1-A589^2/pterm2))&gt;0),ATAN((A589/pterm1)/(1-A589^2/pterm2)),PI()+ATAN((A589/pterm1)/(1-A589^2/pterm2)))</f>
        <v>0.8750722488310646</v>
      </c>
      <c r="Q589" s="334">
        <f t="shared" ref="Q589:Q613" si="252">20*LOG10(((E589*K589*G589)/(C589*I589*O589*M589))*Adc)</f>
        <v>-12.743147927605703</v>
      </c>
      <c r="R589" s="335">
        <f t="shared" ref="R589:R613" si="253">((F589+L589+H589)-(D589+J589+P589+N589))*radconv</f>
        <v>-167.54122291873043</v>
      </c>
      <c r="S589" s="337">
        <f t="shared" ref="S589:S613" si="254">IF(R589&gt;0,R589,R589+180)</f>
        <v>12.458777081269574</v>
      </c>
      <c r="U589" s="310">
        <f t="shared" si="233"/>
        <v>120230</v>
      </c>
      <c r="V589" s="310">
        <f t="shared" si="234"/>
        <v>14455252900</v>
      </c>
      <c r="X589" s="336">
        <f t="shared" ref="X589:X613" si="255">20*LOG10((K589/(I589*M589))*AEA*Afb_Ch2)</f>
        <v>4.7450747639727869E-2</v>
      </c>
      <c r="Y589" s="337">
        <f t="shared" si="235"/>
        <v>-31.678313235900081</v>
      </c>
      <c r="AA589" s="336">
        <f t="shared" ref="AA589:AA613" si="256">20*LOG10((E589*G589/(C589*O589))*Am_Ch2)</f>
        <v>-12.79059867524543</v>
      </c>
      <c r="AB589" s="337">
        <f t="shared" ref="AB589:AB613" si="257">(F589+H589-(D589+P589))*radconv</f>
        <v>-135.86290968283038</v>
      </c>
      <c r="AD589">
        <f t="shared" si="236"/>
        <v>0</v>
      </c>
      <c r="AE589">
        <f t="shared" si="239"/>
        <v>0</v>
      </c>
    </row>
    <row r="590" spans="1:31" x14ac:dyDescent="0.25">
      <c r="A590" s="338">
        <v>126030</v>
      </c>
      <c r="B590" s="355">
        <f t="shared" ref="B590:B613" si="258">A590/1000</f>
        <v>126.03</v>
      </c>
      <c r="C590" s="328">
        <f t="shared" si="240"/>
        <v>42.276875657556786</v>
      </c>
      <c r="D590" s="329">
        <f t="shared" si="241"/>
        <v>1.5471405278108912</v>
      </c>
      <c r="E590" s="329">
        <f t="shared" si="242"/>
        <v>1.0013648006543199</v>
      </c>
      <c r="F590" s="330">
        <f t="shared" si="243"/>
        <v>5.2215902289076882E-2</v>
      </c>
      <c r="G590" s="329">
        <f t="shared" si="244"/>
        <v>1</v>
      </c>
      <c r="H590" s="330">
        <f t="shared" si="245"/>
        <v>0</v>
      </c>
      <c r="I590" s="328">
        <f t="shared" si="246"/>
        <v>228571.00513350312</v>
      </c>
      <c r="J590" s="331">
        <f t="shared" si="247"/>
        <v>1.5707919517867917</v>
      </c>
      <c r="K590" s="339">
        <f t="shared" si="237"/>
        <v>37.381715824916093</v>
      </c>
      <c r="L590" s="340">
        <f t="shared" si="238"/>
        <v>1.5440420891656605</v>
      </c>
      <c r="M590" s="328">
        <f t="shared" si="248"/>
        <v>1.1697833359971124</v>
      </c>
      <c r="N590" s="331">
        <f t="shared" si="249"/>
        <v>0.54551698911113555</v>
      </c>
      <c r="O590" s="332">
        <f t="shared" si="250"/>
        <v>1.1074856048176738</v>
      </c>
      <c r="P590" s="333">
        <f t="shared" si="251"/>
        <v>0.91898935783267421</v>
      </c>
      <c r="Q590" s="334">
        <f t="shared" si="252"/>
        <v>-13.362388111787329</v>
      </c>
      <c r="R590" s="335">
        <f t="shared" si="253"/>
        <v>-171.09555890882794</v>
      </c>
      <c r="S590" s="337">
        <f t="shared" si="254"/>
        <v>8.9044410911720604</v>
      </c>
      <c r="U590" s="310">
        <f t="shared" ref="U590:U613" si="259">IF(Q590&lt;0,A590,1000000000)</f>
        <v>126030</v>
      </c>
      <c r="V590" s="310">
        <f t="shared" ref="V590:V613" si="260">A590^2</f>
        <v>15883560900</v>
      </c>
      <c r="X590" s="336">
        <f t="shared" si="255"/>
        <v>-5.9287680802109922E-2</v>
      </c>
      <c r="Y590" s="337">
        <f t="shared" ref="Y590:Y626" si="261">(L590-(J590+N590))*radconv</f>
        <v>-32.788475396964017</v>
      </c>
      <c r="AA590" s="336">
        <f t="shared" si="256"/>
        <v>-13.30310043098522</v>
      </c>
      <c r="AB590" s="337">
        <f t="shared" si="257"/>
        <v>-138.30708351186391</v>
      </c>
      <c r="AD590">
        <f t="shared" ref="AD590:AD613" si="262">SUM((Q591&lt;0)*(Q590&gt;0))*A590</f>
        <v>0</v>
      </c>
      <c r="AE590">
        <f t="shared" si="239"/>
        <v>0</v>
      </c>
    </row>
    <row r="591" spans="1:31" x14ac:dyDescent="0.25">
      <c r="A591" s="338">
        <v>131830</v>
      </c>
      <c r="B591" s="355">
        <f t="shared" si="258"/>
        <v>131.83000000000001</v>
      </c>
      <c r="C591" s="328">
        <f t="shared" si="240"/>
        <v>44.221426195433523</v>
      </c>
      <c r="D591" s="329">
        <f t="shared" si="241"/>
        <v>1.5481809266631277</v>
      </c>
      <c r="E591" s="329">
        <f t="shared" si="242"/>
        <v>1.0014932137796773</v>
      </c>
      <c r="F591" s="330">
        <f t="shared" si="243"/>
        <v>5.4614248531869317E-2</v>
      </c>
      <c r="G591" s="329">
        <f t="shared" si="244"/>
        <v>1</v>
      </c>
      <c r="H591" s="330">
        <f t="shared" si="245"/>
        <v>0</v>
      </c>
      <c r="I591" s="328">
        <f t="shared" si="246"/>
        <v>239090.02306375385</v>
      </c>
      <c r="J591" s="331">
        <f t="shared" si="247"/>
        <v>1.5707921442698913</v>
      </c>
      <c r="K591" s="339">
        <f t="shared" si="237"/>
        <v>39.100847829270812</v>
      </c>
      <c r="L591" s="340">
        <f t="shared" si="238"/>
        <v>1.5452186449760554</v>
      </c>
      <c r="M591" s="328">
        <f t="shared" si="248"/>
        <v>1.1845170979469433</v>
      </c>
      <c r="N591" s="331">
        <f t="shared" si="249"/>
        <v>0.5656770773078863</v>
      </c>
      <c r="O591" s="332">
        <f t="shared" si="250"/>
        <v>1.1220291248844905</v>
      </c>
      <c r="P591" s="333">
        <f t="shared" si="251"/>
        <v>0.96280357697976937</v>
      </c>
      <c r="Q591" s="334">
        <f t="shared" si="252"/>
        <v>-13.974177867289994</v>
      </c>
      <c r="R591" s="335">
        <f t="shared" si="253"/>
        <v>-174.61581141281792</v>
      </c>
      <c r="S591" s="337">
        <f t="shared" si="254"/>
        <v>5.3841885871820807</v>
      </c>
      <c r="U591" s="310">
        <f t="shared" si="259"/>
        <v>131830</v>
      </c>
      <c r="V591" s="310">
        <f t="shared" si="260"/>
        <v>17379148900</v>
      </c>
      <c r="X591" s="336">
        <f t="shared" si="255"/>
        <v>-0.16827321430762474</v>
      </c>
      <c r="Y591" s="337">
        <f t="shared" si="261"/>
        <v>-33.876162712664211</v>
      </c>
      <c r="AA591" s="336">
        <f t="shared" si="256"/>
        <v>-13.80590465298237</v>
      </c>
      <c r="AB591" s="337">
        <f t="shared" si="257"/>
        <v>-140.73964870015371</v>
      </c>
      <c r="AD591">
        <f t="shared" si="262"/>
        <v>0</v>
      </c>
      <c r="AE591">
        <f t="shared" si="239"/>
        <v>0</v>
      </c>
    </row>
    <row r="592" spans="1:31" x14ac:dyDescent="0.25">
      <c r="A592" s="338">
        <v>144540</v>
      </c>
      <c r="B592" s="355">
        <f t="shared" si="258"/>
        <v>144.54</v>
      </c>
      <c r="C592" s="328">
        <f t="shared" si="240"/>
        <v>48.482819965413086</v>
      </c>
      <c r="D592" s="329">
        <f t="shared" si="241"/>
        <v>1.5501690011017679</v>
      </c>
      <c r="E592" s="329">
        <f t="shared" si="242"/>
        <v>1.001794750824335</v>
      </c>
      <c r="F592" s="330">
        <f t="shared" si="243"/>
        <v>5.9867698360821321E-2</v>
      </c>
      <c r="G592" s="329">
        <f t="shared" si="244"/>
        <v>1</v>
      </c>
      <c r="H592" s="330">
        <f t="shared" si="245"/>
        <v>0</v>
      </c>
      <c r="I592" s="328">
        <f t="shared" si="246"/>
        <v>262141.18132127862</v>
      </c>
      <c r="J592" s="331">
        <f t="shared" si="247"/>
        <v>1.5707925120566133</v>
      </c>
      <c r="K592" s="339">
        <f t="shared" si="237"/>
        <v>42.868283179902285</v>
      </c>
      <c r="L592" s="340">
        <f t="shared" si="238"/>
        <v>1.5474669410202613</v>
      </c>
      <c r="M592" s="328">
        <f t="shared" si="248"/>
        <v>1.2184215958987492</v>
      </c>
      <c r="N592" s="331">
        <f t="shared" si="249"/>
        <v>0.60810176890903112</v>
      </c>
      <c r="O592" s="332">
        <f t="shared" si="250"/>
        <v>1.1587127585825767</v>
      </c>
      <c r="P592" s="333">
        <f t="shared" si="251"/>
        <v>1.0581305354436925</v>
      </c>
      <c r="Q592" s="334">
        <f t="shared" si="252"/>
        <v>-15.295701487704218</v>
      </c>
      <c r="R592" s="335">
        <f t="shared" si="253"/>
        <v>-182.19251056097417</v>
      </c>
      <c r="S592" s="337">
        <f t="shared" si="254"/>
        <v>-2.1925105609741706</v>
      </c>
      <c r="U592" s="310">
        <f t="shared" si="259"/>
        <v>144540</v>
      </c>
      <c r="V592" s="310">
        <f t="shared" si="260"/>
        <v>20891811600</v>
      </c>
      <c r="X592" s="336">
        <f t="shared" si="255"/>
        <v>-0.41387593140766632</v>
      </c>
      <c r="Y592" s="337">
        <f t="shared" si="261"/>
        <v>-36.178121689382266</v>
      </c>
      <c r="AA592" s="336">
        <f t="shared" si="256"/>
        <v>-14.881825556296555</v>
      </c>
      <c r="AB592" s="337">
        <f t="shared" si="257"/>
        <v>-146.0143888715919</v>
      </c>
      <c r="AD592">
        <f t="shared" si="262"/>
        <v>0</v>
      </c>
      <c r="AE592">
        <f t="shared" si="239"/>
        <v>0</v>
      </c>
    </row>
    <row r="593" spans="1:31" x14ac:dyDescent="0.25">
      <c r="A593" s="338">
        <v>158490</v>
      </c>
      <c r="B593" s="355">
        <f t="shared" si="258"/>
        <v>158.49</v>
      </c>
      <c r="C593" s="328">
        <f t="shared" si="240"/>
        <v>53.160142959565384</v>
      </c>
      <c r="D593" s="329">
        <f t="shared" si="241"/>
        <v>1.5519841316074101</v>
      </c>
      <c r="E593" s="329">
        <f t="shared" si="242"/>
        <v>1.0021575113884751</v>
      </c>
      <c r="F593" s="330">
        <f t="shared" si="243"/>
        <v>6.5629863180537679E-2</v>
      </c>
      <c r="G593" s="329">
        <f t="shared" si="244"/>
        <v>1</v>
      </c>
      <c r="H593" s="330">
        <f t="shared" si="245"/>
        <v>0</v>
      </c>
      <c r="I593" s="328">
        <f t="shared" si="246"/>
        <v>287441.23306737631</v>
      </c>
      <c r="J593" s="331">
        <f t="shared" si="247"/>
        <v>1.5707928478229018</v>
      </c>
      <c r="K593" s="339">
        <f t="shared" si="237"/>
        <v>47.003480696579906</v>
      </c>
      <c r="L593" s="340">
        <f t="shared" si="238"/>
        <v>1.5495197013557631</v>
      </c>
      <c r="M593" s="328">
        <f t="shared" si="248"/>
        <v>1.2580126075584432</v>
      </c>
      <c r="N593" s="331">
        <f t="shared" si="249"/>
        <v>0.65194600995022611</v>
      </c>
      <c r="O593" s="332">
        <f t="shared" si="250"/>
        <v>1.2071739729704518</v>
      </c>
      <c r="P593" s="333">
        <f t="shared" si="251"/>
        <v>1.1609589625650998</v>
      </c>
      <c r="Q593" s="334">
        <f t="shared" si="252"/>
        <v>-16.726549488364675</v>
      </c>
      <c r="R593" s="335">
        <f t="shared" si="253"/>
        <v>-190.25249175244934</v>
      </c>
      <c r="S593" s="337">
        <f t="shared" si="254"/>
        <v>-10.252491752449345</v>
      </c>
      <c r="U593" s="310">
        <f t="shared" si="259"/>
        <v>158490</v>
      </c>
      <c r="V593" s="310">
        <f t="shared" si="260"/>
        <v>25119080100</v>
      </c>
      <c r="X593" s="336">
        <f t="shared" si="255"/>
        <v>-0.69202177123854725</v>
      </c>
      <c r="Y593" s="337">
        <f t="shared" si="261"/>
        <v>-38.572616394148241</v>
      </c>
      <c r="AA593" s="336">
        <f t="shared" si="256"/>
        <v>-16.034527717126128</v>
      </c>
      <c r="AB593" s="337">
        <f t="shared" si="257"/>
        <v>-151.67987535830113</v>
      </c>
      <c r="AD593">
        <f t="shared" si="262"/>
        <v>0</v>
      </c>
      <c r="AE593">
        <f t="shared" si="239"/>
        <v>0</v>
      </c>
    </row>
    <row r="594" spans="1:31" x14ac:dyDescent="0.25">
      <c r="A594" s="338">
        <v>173780</v>
      </c>
      <c r="B594" s="355">
        <f t="shared" si="258"/>
        <v>173.78</v>
      </c>
      <c r="C594" s="328">
        <f t="shared" si="240"/>
        <v>58.286924544661183</v>
      </c>
      <c r="D594" s="329">
        <f t="shared" si="241"/>
        <v>1.5536389785228659</v>
      </c>
      <c r="E594" s="329">
        <f t="shared" si="242"/>
        <v>1.0025933099813022</v>
      </c>
      <c r="F594" s="330">
        <f t="shared" si="243"/>
        <v>7.1940502848897123E-2</v>
      </c>
      <c r="G594" s="329">
        <f t="shared" si="244"/>
        <v>1</v>
      </c>
      <c r="H594" s="330">
        <f t="shared" si="245"/>
        <v>0</v>
      </c>
      <c r="I594" s="328">
        <f t="shared" si="246"/>
        <v>315171.54068015527</v>
      </c>
      <c r="J594" s="331">
        <f t="shared" si="247"/>
        <v>1.5707931539195861</v>
      </c>
      <c r="K594" s="339">
        <f t="shared" si="237"/>
        <v>51.536083569845019</v>
      </c>
      <c r="L594" s="340">
        <f t="shared" si="238"/>
        <v>1.5513912285972185</v>
      </c>
      <c r="M594" s="328">
        <f t="shared" si="248"/>
        <v>1.304004382555366</v>
      </c>
      <c r="N594" s="331">
        <f t="shared" si="249"/>
        <v>0.69684857708023729</v>
      </c>
      <c r="O594" s="332">
        <f t="shared" si="250"/>
        <v>1.2709240375937141</v>
      </c>
      <c r="P594" s="333">
        <f t="shared" si="251"/>
        <v>1.2704175292933397</v>
      </c>
      <c r="Q594" s="334">
        <f t="shared" si="252"/>
        <v>-18.281679634154777</v>
      </c>
      <c r="R594" s="335">
        <f t="shared" si="253"/>
        <v>-198.72276290389985</v>
      </c>
      <c r="S594" s="337">
        <f t="shared" si="254"/>
        <v>-18.722762903899849</v>
      </c>
      <c r="U594" s="310">
        <f t="shared" si="259"/>
        <v>173780</v>
      </c>
      <c r="V594" s="310">
        <f t="shared" si="260"/>
        <v>30199488400</v>
      </c>
      <c r="X594" s="336">
        <f t="shared" si="255"/>
        <v>-1.0042336244916841</v>
      </c>
      <c r="Y594" s="337">
        <f t="shared" si="261"/>
        <v>-41.038130908687002</v>
      </c>
      <c r="AA594" s="336">
        <f t="shared" si="256"/>
        <v>-17.277446009663098</v>
      </c>
      <c r="AB594" s="337">
        <f t="shared" si="257"/>
        <v>-157.68463199521281</v>
      </c>
      <c r="AD594">
        <f t="shared" si="262"/>
        <v>0</v>
      </c>
      <c r="AE594">
        <f t="shared" si="239"/>
        <v>0</v>
      </c>
    </row>
    <row r="595" spans="1:31" x14ac:dyDescent="0.25">
      <c r="A595" s="338">
        <v>190550</v>
      </c>
      <c r="B595" s="355">
        <f t="shared" si="258"/>
        <v>190.55</v>
      </c>
      <c r="C595" s="328">
        <f t="shared" si="240"/>
        <v>63.910107115986563</v>
      </c>
      <c r="D595" s="329">
        <f t="shared" si="241"/>
        <v>1.555148710881322</v>
      </c>
      <c r="E595" s="329">
        <f t="shared" si="242"/>
        <v>1.0031171604798217</v>
      </c>
      <c r="F595" s="330">
        <f t="shared" si="243"/>
        <v>7.8855370378897421E-2</v>
      </c>
      <c r="G595" s="329">
        <f t="shared" si="244"/>
        <v>1</v>
      </c>
      <c r="H595" s="330">
        <f t="shared" si="245"/>
        <v>0</v>
      </c>
      <c r="I595" s="328">
        <f t="shared" si="246"/>
        <v>345586.01148896717</v>
      </c>
      <c r="J595" s="331">
        <f t="shared" si="247"/>
        <v>1.5707934331592552</v>
      </c>
      <c r="K595" s="339">
        <f t="shared" si="237"/>
        <v>56.507593712361995</v>
      </c>
      <c r="L595" s="340">
        <f t="shared" si="238"/>
        <v>1.553098666402644</v>
      </c>
      <c r="M595" s="328">
        <f t="shared" si="248"/>
        <v>1.3572525601223027</v>
      </c>
      <c r="N595" s="331">
        <f t="shared" si="249"/>
        <v>0.74249701928198142</v>
      </c>
      <c r="O595" s="332">
        <f t="shared" si="250"/>
        <v>1.3544087336829185</v>
      </c>
      <c r="P595" s="333">
        <f t="shared" si="251"/>
        <v>1.3852937797960561</v>
      </c>
      <c r="Q595" s="334">
        <f t="shared" si="252"/>
        <v>-19.977621140679677</v>
      </c>
      <c r="R595" s="335">
        <f t="shared" si="253"/>
        <v>-207.51264589973911</v>
      </c>
      <c r="S595" s="337">
        <f t="shared" si="254"/>
        <v>-27.512645899739113</v>
      </c>
      <c r="U595" s="310">
        <f t="shared" si="259"/>
        <v>190550</v>
      </c>
      <c r="V595" s="310">
        <f t="shared" si="260"/>
        <v>36309302500</v>
      </c>
      <c r="X595" s="336">
        <f t="shared" si="255"/>
        <v>-1.352141154978022</v>
      </c>
      <c r="Y595" s="337">
        <f t="shared" si="261"/>
        <v>-43.555781010293195</v>
      </c>
      <c r="AA595" s="336">
        <f t="shared" si="256"/>
        <v>-18.625479985701656</v>
      </c>
      <c r="AB595" s="337">
        <f t="shared" si="257"/>
        <v>-163.95686488944594</v>
      </c>
      <c r="AD595">
        <f t="shared" si="262"/>
        <v>0</v>
      </c>
      <c r="AE595">
        <f t="shared" si="239"/>
        <v>0</v>
      </c>
    </row>
    <row r="596" spans="1:31" x14ac:dyDescent="0.25">
      <c r="A596" s="338">
        <v>208930</v>
      </c>
      <c r="B596" s="355">
        <f t="shared" si="258"/>
        <v>208.93</v>
      </c>
      <c r="C596" s="328">
        <f t="shared" si="240"/>
        <v>70.073281214759632</v>
      </c>
      <c r="D596" s="329">
        <f t="shared" si="241"/>
        <v>1.5565250677889524</v>
      </c>
      <c r="E596" s="329">
        <f t="shared" si="242"/>
        <v>1.0037463338344141</v>
      </c>
      <c r="F596" s="330">
        <f t="shared" si="243"/>
        <v>8.6425404313002219E-2</v>
      </c>
      <c r="G596" s="329">
        <f t="shared" si="244"/>
        <v>1</v>
      </c>
      <c r="H596" s="330">
        <f t="shared" si="245"/>
        <v>0</v>
      </c>
      <c r="I596" s="328">
        <f t="shared" si="246"/>
        <v>378920.41658535332</v>
      </c>
      <c r="J596" s="331">
        <f t="shared" si="247"/>
        <v>1.5707936877183089</v>
      </c>
      <c r="K596" s="339">
        <f t="shared" si="237"/>
        <v>61.956549941586573</v>
      </c>
      <c r="L596" s="340">
        <f t="shared" si="238"/>
        <v>1.5546552823939126</v>
      </c>
      <c r="M596" s="328">
        <f t="shared" si="248"/>
        <v>1.4186015574837554</v>
      </c>
      <c r="N596" s="331">
        <f t="shared" si="249"/>
        <v>0.78848658277072303</v>
      </c>
      <c r="O596" s="332">
        <f t="shared" si="250"/>
        <v>1.4628670663271248</v>
      </c>
      <c r="P596" s="333">
        <f t="shared" si="251"/>
        <v>1.5036828258073196</v>
      </c>
      <c r="Q596" s="334">
        <f t="shared" si="252"/>
        <v>-21.825159451805703</v>
      </c>
      <c r="R596" s="335">
        <f t="shared" si="253"/>
        <v>-216.48680198182598</v>
      </c>
      <c r="S596" s="337">
        <f t="shared" si="254"/>
        <v>-36.486801981825977</v>
      </c>
      <c r="U596" s="310">
        <f t="shared" si="259"/>
        <v>208930</v>
      </c>
      <c r="V596" s="310">
        <f t="shared" si="260"/>
        <v>43651744900</v>
      </c>
      <c r="X596" s="336">
        <f t="shared" si="255"/>
        <v>-1.7363651926972223</v>
      </c>
      <c r="Y596" s="337">
        <f t="shared" si="261"/>
        <v>-46.101615961293227</v>
      </c>
      <c r="AA596" s="336">
        <f t="shared" si="256"/>
        <v>-20.088794259108482</v>
      </c>
      <c r="AB596" s="337">
        <f t="shared" si="257"/>
        <v>-170.38518602053276</v>
      </c>
      <c r="AD596">
        <f t="shared" si="262"/>
        <v>0</v>
      </c>
      <c r="AE596">
        <f t="shared" si="239"/>
        <v>0</v>
      </c>
    </row>
    <row r="597" spans="1:31" x14ac:dyDescent="0.25">
      <c r="A597" s="338">
        <v>229090</v>
      </c>
      <c r="B597" s="355">
        <f t="shared" si="258"/>
        <v>229.09</v>
      </c>
      <c r="C597" s="328">
        <f t="shared" si="240"/>
        <v>76.83345116122986</v>
      </c>
      <c r="D597" s="329">
        <f t="shared" si="241"/>
        <v>1.5577807948949784</v>
      </c>
      <c r="E597" s="329">
        <f t="shared" si="242"/>
        <v>1.0045024953196706</v>
      </c>
      <c r="F597" s="330">
        <f t="shared" si="243"/>
        <v>9.471711834763584E-2</v>
      </c>
      <c r="G597" s="329">
        <f t="shared" si="244"/>
        <v>1</v>
      </c>
      <c r="H597" s="330">
        <f t="shared" si="245"/>
        <v>0</v>
      </c>
      <c r="I597" s="328">
        <f t="shared" si="246"/>
        <v>415483.07201209833</v>
      </c>
      <c r="J597" s="331">
        <f t="shared" si="247"/>
        <v>1.5707939199579704</v>
      </c>
      <c r="K597" s="339">
        <f t="shared" si="237"/>
        <v>67.933350646488236</v>
      </c>
      <c r="L597" s="340">
        <f t="shared" si="238"/>
        <v>1.5560754848432743</v>
      </c>
      <c r="M597" s="328">
        <f t="shared" si="248"/>
        <v>1.4890395908443048</v>
      </c>
      <c r="N597" s="331">
        <f t="shared" si="249"/>
        <v>0.83446549174730733</v>
      </c>
      <c r="O597" s="332">
        <f t="shared" si="250"/>
        <v>1.6026314038222571</v>
      </c>
      <c r="P597" s="333">
        <f t="shared" si="251"/>
        <v>1.6234488200142814</v>
      </c>
      <c r="Q597" s="334">
        <f t="shared" si="252"/>
        <v>-23.832258571566783</v>
      </c>
      <c r="R597" s="335">
        <f t="shared" si="253"/>
        <v>-225.49879476457676</v>
      </c>
      <c r="S597" s="337">
        <f t="shared" si="254"/>
        <v>-45.498794764576758</v>
      </c>
      <c r="U597" s="310">
        <f t="shared" si="259"/>
        <v>229090</v>
      </c>
      <c r="V597" s="310">
        <f t="shared" si="260"/>
        <v>52482228100</v>
      </c>
      <c r="X597" s="336">
        <f t="shared" si="255"/>
        <v>-2.157471813216874</v>
      </c>
      <c r="Y597" s="337">
        <f t="shared" si="261"/>
        <v>-48.654655095134828</v>
      </c>
      <c r="AA597" s="336">
        <f t="shared" si="256"/>
        <v>-21.67478675834991</v>
      </c>
      <c r="AB597" s="337">
        <f t="shared" si="257"/>
        <v>-176.84413966944194</v>
      </c>
      <c r="AD597">
        <f t="shared" si="262"/>
        <v>0</v>
      </c>
      <c r="AE597">
        <f t="shared" si="239"/>
        <v>0</v>
      </c>
    </row>
    <row r="598" spans="1:31" x14ac:dyDescent="0.25">
      <c r="A598" s="338">
        <v>251190</v>
      </c>
      <c r="B598" s="355">
        <f t="shared" si="258"/>
        <v>251.19</v>
      </c>
      <c r="C598" s="328">
        <f t="shared" si="240"/>
        <v>84.244269122790513</v>
      </c>
      <c r="D598" s="329">
        <f t="shared" si="241"/>
        <v>1.5589258043761878</v>
      </c>
      <c r="E598" s="329">
        <f t="shared" si="242"/>
        <v>1.0054106442862891</v>
      </c>
      <c r="F598" s="330">
        <f t="shared" si="243"/>
        <v>0.10379171935320551</v>
      </c>
      <c r="G598" s="329">
        <f t="shared" si="244"/>
        <v>1</v>
      </c>
      <c r="H598" s="330">
        <f t="shared" si="245"/>
        <v>0</v>
      </c>
      <c r="I598" s="328">
        <f t="shared" si="246"/>
        <v>455564.15757417673</v>
      </c>
      <c r="J598" s="331">
        <f t="shared" si="247"/>
        <v>1.5707941317143939</v>
      </c>
      <c r="K598" s="339">
        <f t="shared" si="237"/>
        <v>74.485430783417755</v>
      </c>
      <c r="L598" s="340">
        <f t="shared" si="238"/>
        <v>1.5573704791849088</v>
      </c>
      <c r="M598" s="328">
        <f t="shared" si="248"/>
        <v>1.569527803016046</v>
      </c>
      <c r="N598" s="331">
        <f t="shared" si="249"/>
        <v>0.88002185284750045</v>
      </c>
      <c r="O598" s="332">
        <f t="shared" si="250"/>
        <v>1.7808769731226042</v>
      </c>
      <c r="P598" s="333">
        <f t="shared" si="251"/>
        <v>1.7421365018839172</v>
      </c>
      <c r="Q598" s="334">
        <f t="shared" si="252"/>
        <v>-25.997628985287484</v>
      </c>
      <c r="R598" s="335">
        <f t="shared" si="253"/>
        <v>-234.38076754193426</v>
      </c>
      <c r="S598" s="337">
        <f t="shared" si="254"/>
        <v>-54.380767541934262</v>
      </c>
      <c r="U598" s="310">
        <f t="shared" si="259"/>
        <v>251190</v>
      </c>
      <c r="V598" s="310">
        <f t="shared" si="260"/>
        <v>63096416100</v>
      </c>
      <c r="X598" s="336">
        <f t="shared" si="255"/>
        <v>-2.6148854892603075</v>
      </c>
      <c r="Y598" s="337">
        <f t="shared" si="261"/>
        <v>-51.190656741528009</v>
      </c>
      <c r="AA598" s="336">
        <f t="shared" si="256"/>
        <v>-23.382743496027175</v>
      </c>
      <c r="AB598" s="337">
        <f t="shared" si="257"/>
        <v>-183.19011080040625</v>
      </c>
      <c r="AD598">
        <f t="shared" si="262"/>
        <v>0</v>
      </c>
      <c r="AE598">
        <f t="shared" si="239"/>
        <v>0</v>
      </c>
    </row>
    <row r="599" spans="1:31" x14ac:dyDescent="0.25">
      <c r="A599" s="338">
        <v>275420</v>
      </c>
      <c r="B599" s="355">
        <f t="shared" si="258"/>
        <v>275.42</v>
      </c>
      <c r="C599" s="328">
        <f t="shared" si="240"/>
        <v>92.369447970206949</v>
      </c>
      <c r="D599" s="329">
        <f t="shared" si="241"/>
        <v>1.5599700248406831</v>
      </c>
      <c r="E599" s="329">
        <f t="shared" si="242"/>
        <v>1.0065012836224447</v>
      </c>
      <c r="F599" s="330">
        <f t="shared" si="243"/>
        <v>0.11372120019462231</v>
      </c>
      <c r="G599" s="329">
        <f t="shared" si="244"/>
        <v>1</v>
      </c>
      <c r="H599" s="330">
        <f t="shared" si="245"/>
        <v>0</v>
      </c>
      <c r="I599" s="328">
        <f t="shared" si="246"/>
        <v>499508.26178999525</v>
      </c>
      <c r="J599" s="331">
        <f t="shared" si="247"/>
        <v>1.5707943248260074</v>
      </c>
      <c r="K599" s="339">
        <f t="shared" ref="K599:K613" si="263">SQRT(1+(A599/Zero2)^2)</f>
        <v>81.669120404958079</v>
      </c>
      <c r="L599" s="340">
        <f t="shared" ref="L599:L613" si="264">ATAN(A599/Zero2)</f>
        <v>1.5585514907440923</v>
      </c>
      <c r="M599" s="328">
        <f t="shared" si="248"/>
        <v>1.6611318924141387</v>
      </c>
      <c r="N599" s="331">
        <f t="shared" si="249"/>
        <v>0.92479392213583345</v>
      </c>
      <c r="O599" s="332">
        <f t="shared" si="250"/>
        <v>2.0059524633326555</v>
      </c>
      <c r="P599" s="333">
        <f t="shared" si="251"/>
        <v>1.8575047182777238</v>
      </c>
      <c r="Q599" s="334">
        <f t="shared" si="252"/>
        <v>-28.314539631537375</v>
      </c>
      <c r="R599" s="335">
        <f t="shared" si="253"/>
        <v>-242.97938621847612</v>
      </c>
      <c r="S599" s="337">
        <f t="shared" si="254"/>
        <v>-62.979386218476122</v>
      </c>
      <c r="U599" s="310">
        <f t="shared" si="259"/>
        <v>275420</v>
      </c>
      <c r="V599" s="310">
        <f t="shared" si="260"/>
        <v>75856176400</v>
      </c>
      <c r="X599" s="336">
        <f t="shared" si="255"/>
        <v>-3.1077192254574255</v>
      </c>
      <c r="Y599" s="337">
        <f t="shared" si="261"/>
        <v>-53.688251441253762</v>
      </c>
      <c r="AA599" s="336">
        <f t="shared" si="256"/>
        <v>-25.206820406079956</v>
      </c>
      <c r="AB599" s="337">
        <f t="shared" si="257"/>
        <v>-189.2911347772224</v>
      </c>
      <c r="AD599">
        <f t="shared" si="262"/>
        <v>0</v>
      </c>
      <c r="AE599">
        <f t="shared" si="239"/>
        <v>0</v>
      </c>
    </row>
    <row r="600" spans="1:31" x14ac:dyDescent="0.25">
      <c r="A600" s="338">
        <v>302000</v>
      </c>
      <c r="B600" s="355">
        <f t="shared" si="258"/>
        <v>302</v>
      </c>
      <c r="C600" s="328">
        <f t="shared" si="240"/>
        <v>101.28276156922691</v>
      </c>
      <c r="D600" s="329">
        <f t="shared" si="241"/>
        <v>1.5609228178938028</v>
      </c>
      <c r="E600" s="329">
        <f t="shared" si="242"/>
        <v>1.0078115737865976</v>
      </c>
      <c r="F600" s="330">
        <f t="shared" si="243"/>
        <v>0.12458779948412006</v>
      </c>
      <c r="G600" s="329">
        <f t="shared" si="244"/>
        <v>1</v>
      </c>
      <c r="H600" s="330">
        <f t="shared" si="245"/>
        <v>0</v>
      </c>
      <c r="I600" s="328">
        <f t="shared" si="246"/>
        <v>547714.3818913938</v>
      </c>
      <c r="J600" s="331">
        <f t="shared" si="247"/>
        <v>1.5707945010257858</v>
      </c>
      <c r="K600" s="339">
        <f t="shared" si="263"/>
        <v>89.549644989847906</v>
      </c>
      <c r="L600" s="340">
        <f t="shared" si="264"/>
        <v>1.559629104580994</v>
      </c>
      <c r="M600" s="328">
        <f t="shared" si="248"/>
        <v>1.7650288020991698</v>
      </c>
      <c r="N600" s="331">
        <f t="shared" si="249"/>
        <v>0.96846751417834831</v>
      </c>
      <c r="O600" s="332">
        <f t="shared" si="250"/>
        <v>2.2876183595441053</v>
      </c>
      <c r="P600" s="333">
        <f t="shared" si="251"/>
        <v>1.9677322063313085</v>
      </c>
      <c r="Q600" s="334">
        <f t="shared" si="252"/>
        <v>-30.771705092642417</v>
      </c>
      <c r="R600" s="335">
        <f t="shared" si="253"/>
        <v>-251.16751669429314</v>
      </c>
      <c r="S600" s="337">
        <f t="shared" si="254"/>
        <v>-71.167516694293141</v>
      </c>
      <c r="U600" s="310">
        <f t="shared" si="259"/>
        <v>302000</v>
      </c>
      <c r="V600" s="310">
        <f t="shared" si="260"/>
        <v>91204000000</v>
      </c>
      <c r="X600" s="336">
        <f t="shared" si="255"/>
        <v>-3.6347824046377308</v>
      </c>
      <c r="Y600" s="337">
        <f t="shared" si="261"/>
        <v>-56.128831314959037</v>
      </c>
      <c r="AA600" s="336">
        <f t="shared" si="256"/>
        <v>-27.136922688004685</v>
      </c>
      <c r="AB600" s="337">
        <f t="shared" si="257"/>
        <v>-195.03868537933405</v>
      </c>
      <c r="AD600">
        <f t="shared" si="262"/>
        <v>0</v>
      </c>
      <c r="AE600">
        <f t="shared" si="239"/>
        <v>0</v>
      </c>
    </row>
    <row r="601" spans="1:31" x14ac:dyDescent="0.25">
      <c r="A601" s="338">
        <v>331130</v>
      </c>
      <c r="B601" s="355">
        <f t="shared" si="258"/>
        <v>331.13</v>
      </c>
      <c r="C601" s="328">
        <f t="shared" si="240"/>
        <v>111.05127773979565</v>
      </c>
      <c r="D601" s="329">
        <f t="shared" si="241"/>
        <v>1.5617913559796346</v>
      </c>
      <c r="E601" s="329">
        <f t="shared" si="242"/>
        <v>1.0093838650687406</v>
      </c>
      <c r="F601" s="330">
        <f t="shared" si="243"/>
        <v>0.13646294104811516</v>
      </c>
      <c r="G601" s="329">
        <f t="shared" si="244"/>
        <v>1</v>
      </c>
      <c r="H601" s="330">
        <f t="shared" si="245"/>
        <v>0</v>
      </c>
      <c r="I601" s="328">
        <f t="shared" si="246"/>
        <v>600545.24263459072</v>
      </c>
      <c r="J601" s="331">
        <f t="shared" si="247"/>
        <v>1.5707946616414177</v>
      </c>
      <c r="K601" s="339">
        <f t="shared" si="263"/>
        <v>98.186301184613882</v>
      </c>
      <c r="L601" s="340">
        <f t="shared" si="264"/>
        <v>1.560611430563658</v>
      </c>
      <c r="M601" s="328">
        <f t="shared" si="248"/>
        <v>1.8823080211448875</v>
      </c>
      <c r="N601" s="331">
        <f t="shared" si="249"/>
        <v>1.0107060562599333</v>
      </c>
      <c r="O601" s="332">
        <f t="shared" si="250"/>
        <v>2.6367559851136853</v>
      </c>
      <c r="P601" s="333">
        <f t="shared" si="251"/>
        <v>2.0713613799639954</v>
      </c>
      <c r="Q601" s="334">
        <f t="shared" si="252"/>
        <v>-33.350521630945792</v>
      </c>
      <c r="R601" s="335">
        <f t="shared" si="253"/>
        <v>-258.83821532431239</v>
      </c>
      <c r="S601" s="337">
        <f t="shared" si="254"/>
        <v>-78.838215324312387</v>
      </c>
      <c r="U601" s="310">
        <f t="shared" si="259"/>
        <v>331130</v>
      </c>
      <c r="V601" s="310">
        <f t="shared" si="260"/>
        <v>109647076900</v>
      </c>
      <c r="X601" s="336">
        <f t="shared" si="255"/>
        <v>-4.1936514248120602</v>
      </c>
      <c r="Y601" s="337">
        <f t="shared" si="261"/>
        <v>-58.492647581405791</v>
      </c>
      <c r="AA601" s="336">
        <f t="shared" si="256"/>
        <v>-29.156870206133728</v>
      </c>
      <c r="AB601" s="337">
        <f t="shared" si="257"/>
        <v>-200.34556774290664</v>
      </c>
      <c r="AD601">
        <f t="shared" si="262"/>
        <v>0</v>
      </c>
      <c r="AE601">
        <f t="shared" si="239"/>
        <v>0</v>
      </c>
    </row>
    <row r="602" spans="1:31" x14ac:dyDescent="0.25">
      <c r="A602" s="338">
        <v>363080</v>
      </c>
      <c r="B602" s="355">
        <f t="shared" si="258"/>
        <v>363.08</v>
      </c>
      <c r="C602" s="328">
        <f t="shared" si="240"/>
        <v>121.76553883520828</v>
      </c>
      <c r="D602" s="329">
        <f t="shared" si="241"/>
        <v>1.5625837302689991</v>
      </c>
      <c r="E602" s="329">
        <f t="shared" si="242"/>
        <v>1.0112714960086755</v>
      </c>
      <c r="F602" s="330">
        <f t="shared" si="243"/>
        <v>0.14944318147847585</v>
      </c>
      <c r="G602" s="329">
        <f t="shared" si="244"/>
        <v>1</v>
      </c>
      <c r="H602" s="330">
        <f t="shared" si="245"/>
        <v>0</v>
      </c>
      <c r="I602" s="328">
        <f t="shared" si="246"/>
        <v>658490.52244048053</v>
      </c>
      <c r="J602" s="331">
        <f t="shared" si="247"/>
        <v>1.5707948081701542</v>
      </c>
      <c r="K602" s="339">
        <f t="shared" si="263"/>
        <v>107.65914036226587</v>
      </c>
      <c r="L602" s="340">
        <f t="shared" si="264"/>
        <v>1.5615076182208025</v>
      </c>
      <c r="M602" s="328">
        <f t="shared" si="248"/>
        <v>2.0143267614599347</v>
      </c>
      <c r="N602" s="331">
        <f t="shared" si="249"/>
        <v>1.051299070817737</v>
      </c>
      <c r="O602" s="332">
        <f t="shared" si="250"/>
        <v>3.0667178266772126</v>
      </c>
      <c r="P602" s="333">
        <f t="shared" si="251"/>
        <v>2.1676788308739137</v>
      </c>
      <c r="Q602" s="334">
        <f t="shared" si="252"/>
        <v>-36.035248107850137</v>
      </c>
      <c r="R602" s="335">
        <f t="shared" si="253"/>
        <v>-265.93295450881402</v>
      </c>
      <c r="S602" s="337">
        <f t="shared" si="254"/>
        <v>-85.932954508814021</v>
      </c>
      <c r="U602" s="310">
        <f t="shared" si="259"/>
        <v>363080</v>
      </c>
      <c r="V602" s="310">
        <f t="shared" si="260"/>
        <v>131827086400</v>
      </c>
      <c r="X602" s="336">
        <f t="shared" si="255"/>
        <v>-4.7825118143236169</v>
      </c>
      <c r="Y602" s="337">
        <f t="shared" si="261"/>
        <v>-60.767116620952081</v>
      </c>
      <c r="AA602" s="336">
        <f t="shared" si="256"/>
        <v>-31.252736293526521</v>
      </c>
      <c r="AB602" s="337">
        <f t="shared" si="257"/>
        <v>-205.16583788786193</v>
      </c>
      <c r="AD602">
        <f t="shared" si="262"/>
        <v>0</v>
      </c>
      <c r="AE602">
        <f t="shared" ref="AE602:AE613" si="265">IF(AD602&gt;0,S602,0)</f>
        <v>0</v>
      </c>
    </row>
    <row r="603" spans="1:31" x14ac:dyDescent="0.25">
      <c r="A603" s="338">
        <v>398110</v>
      </c>
      <c r="B603" s="355">
        <f t="shared" si="258"/>
        <v>398.11</v>
      </c>
      <c r="C603" s="328">
        <f t="shared" si="240"/>
        <v>133.51273448730186</v>
      </c>
      <c r="D603" s="329">
        <f t="shared" si="241"/>
        <v>1.5633063345188887</v>
      </c>
      <c r="E603" s="329">
        <f t="shared" si="242"/>
        <v>1.0135361249415928</v>
      </c>
      <c r="F603" s="330">
        <f t="shared" si="243"/>
        <v>0.16361649787982657</v>
      </c>
      <c r="G603" s="329">
        <f t="shared" si="244"/>
        <v>1</v>
      </c>
      <c r="H603" s="330">
        <f t="shared" si="245"/>
        <v>0</v>
      </c>
      <c r="I603" s="328">
        <f t="shared" si="246"/>
        <v>722021.76349214744</v>
      </c>
      <c r="J603" s="331">
        <f t="shared" si="247"/>
        <v>1.5707949417950939</v>
      </c>
      <c r="K603" s="339">
        <f t="shared" si="263"/>
        <v>118.04524982062657</v>
      </c>
      <c r="L603" s="340">
        <f t="shared" si="264"/>
        <v>1.5623248977245068</v>
      </c>
      <c r="M603" s="328">
        <f t="shared" si="248"/>
        <v>2.1623947748044685</v>
      </c>
      <c r="N603" s="331">
        <f t="shared" si="249"/>
        <v>1.0900396090593278</v>
      </c>
      <c r="O603" s="332">
        <f t="shared" si="250"/>
        <v>3.5928856979672044</v>
      </c>
      <c r="P603" s="333">
        <f t="shared" si="251"/>
        <v>2.256334629549825</v>
      </c>
      <c r="Q603" s="334">
        <f t="shared" si="252"/>
        <v>-38.807340616432874</v>
      </c>
      <c r="R603" s="335">
        <f t="shared" si="253"/>
        <v>-272.41473889919632</v>
      </c>
      <c r="S603" s="337">
        <f t="shared" si="254"/>
        <v>-92.414738899196323</v>
      </c>
      <c r="U603" s="310">
        <f t="shared" si="259"/>
        <v>398110</v>
      </c>
      <c r="V603" s="310">
        <f t="shared" si="260"/>
        <v>158491572100</v>
      </c>
      <c r="X603" s="336">
        <f t="shared" si="255"/>
        <v>-5.398676066790788</v>
      </c>
      <c r="Y603" s="337">
        <f t="shared" si="261"/>
        <v>-62.939966950643559</v>
      </c>
      <c r="AA603" s="336">
        <f t="shared" si="256"/>
        <v>-33.40866454964209</v>
      </c>
      <c r="AB603" s="337">
        <f t="shared" si="257"/>
        <v>-209.47477194855279</v>
      </c>
      <c r="AD603">
        <f t="shared" si="262"/>
        <v>0</v>
      </c>
      <c r="AE603">
        <f t="shared" si="265"/>
        <v>0</v>
      </c>
    </row>
    <row r="604" spans="1:31" x14ac:dyDescent="0.25">
      <c r="A604" s="338">
        <v>436520</v>
      </c>
      <c r="B604" s="355">
        <f t="shared" si="258"/>
        <v>436.52</v>
      </c>
      <c r="C604" s="328">
        <f t="shared" si="240"/>
        <v>146.39346870679918</v>
      </c>
      <c r="D604" s="329">
        <f t="shared" si="241"/>
        <v>1.5639653678328869</v>
      </c>
      <c r="E604" s="329">
        <f t="shared" si="242"/>
        <v>1.0162521586998725</v>
      </c>
      <c r="F604" s="330">
        <f t="shared" si="243"/>
        <v>0.17908131212841896</v>
      </c>
      <c r="G604" s="329">
        <f t="shared" si="244"/>
        <v>1</v>
      </c>
      <c r="H604" s="330">
        <f t="shared" si="245"/>
        <v>0</v>
      </c>
      <c r="I604" s="328">
        <f t="shared" si="246"/>
        <v>791683.05292391882</v>
      </c>
      <c r="J604" s="331">
        <f t="shared" si="247"/>
        <v>1.5707950636631467</v>
      </c>
      <c r="K604" s="339">
        <f t="shared" si="263"/>
        <v>129.43357710819541</v>
      </c>
      <c r="L604" s="340">
        <f t="shared" si="264"/>
        <v>1.5630702794195077</v>
      </c>
      <c r="M604" s="328">
        <f t="shared" si="248"/>
        <v>2.327979148790603</v>
      </c>
      <c r="N604" s="331">
        <f t="shared" si="249"/>
        <v>1.1267940484199284</v>
      </c>
      <c r="O604" s="332">
        <f t="shared" si="250"/>
        <v>4.2338303284693009</v>
      </c>
      <c r="P604" s="333">
        <f t="shared" si="251"/>
        <v>2.3373997233550403</v>
      </c>
      <c r="Q604" s="334">
        <f t="shared" si="252"/>
        <v>-41.65081131875057</v>
      </c>
      <c r="R604" s="335">
        <f t="shared" si="253"/>
        <v>-278.27429189782242</v>
      </c>
      <c r="S604" s="337">
        <f t="shared" si="254"/>
        <v>-98.274291897822422</v>
      </c>
      <c r="U604" s="310">
        <f t="shared" si="259"/>
        <v>436520</v>
      </c>
      <c r="V604" s="310">
        <f t="shared" si="260"/>
        <v>190549710400</v>
      </c>
      <c r="X604" s="336">
        <f t="shared" si="255"/>
        <v>-6.0396105585653235</v>
      </c>
      <c r="Y604" s="337">
        <f t="shared" si="261"/>
        <v>-65.00314096400821</v>
      </c>
      <c r="AA604" s="336">
        <f t="shared" si="256"/>
        <v>-35.611200760185255</v>
      </c>
      <c r="AB604" s="337">
        <f t="shared" si="257"/>
        <v>-213.2711509338142</v>
      </c>
      <c r="AD604">
        <f t="shared" si="262"/>
        <v>0</v>
      </c>
      <c r="AE604">
        <f t="shared" si="265"/>
        <v>0</v>
      </c>
    </row>
    <row r="605" spans="1:31" x14ac:dyDescent="0.25">
      <c r="A605" s="338">
        <v>478630</v>
      </c>
      <c r="B605" s="355">
        <f t="shared" si="258"/>
        <v>478.63</v>
      </c>
      <c r="C605" s="328">
        <f t="shared" si="240"/>
        <v>160.51505298930115</v>
      </c>
      <c r="D605" s="329">
        <f t="shared" si="241"/>
        <v>1.5645663411942146</v>
      </c>
      <c r="E605" s="329">
        <f t="shared" si="242"/>
        <v>1.0195075157174451</v>
      </c>
      <c r="F605" s="330">
        <f t="shared" si="243"/>
        <v>0.19593665906977664</v>
      </c>
      <c r="G605" s="329">
        <f t="shared" si="244"/>
        <v>1</v>
      </c>
      <c r="H605" s="330">
        <f t="shared" si="245"/>
        <v>0</v>
      </c>
      <c r="I605" s="328">
        <f t="shared" si="246"/>
        <v>868054.75034574454</v>
      </c>
      <c r="J605" s="331">
        <f t="shared" si="247"/>
        <v>1.570795174793828</v>
      </c>
      <c r="K605" s="339">
        <f t="shared" si="263"/>
        <v>141.91900023292263</v>
      </c>
      <c r="L605" s="340">
        <f t="shared" si="264"/>
        <v>1.5637499956233327</v>
      </c>
      <c r="M605" s="328">
        <f t="shared" si="248"/>
        <v>2.5126258036663458</v>
      </c>
      <c r="N605" s="331">
        <f t="shared" si="249"/>
        <v>1.1614714992643211</v>
      </c>
      <c r="O605" s="332">
        <f t="shared" si="250"/>
        <v>5.0116833656156743</v>
      </c>
      <c r="P605" s="333">
        <f t="shared" si="251"/>
        <v>2.4111791359158414</v>
      </c>
      <c r="Q605" s="334">
        <f t="shared" si="252"/>
        <v>-44.550935311329447</v>
      </c>
      <c r="R605" s="335">
        <f t="shared" si="253"/>
        <v>-283.51816692896745</v>
      </c>
      <c r="S605" s="337">
        <f t="shared" si="254"/>
        <v>-103.51816692896745</v>
      </c>
      <c r="U605" s="310">
        <f t="shared" si="259"/>
        <v>478630</v>
      </c>
      <c r="V605" s="310">
        <f t="shared" si="260"/>
        <v>229086676900</v>
      </c>
      <c r="X605" s="336">
        <f t="shared" si="255"/>
        <v>-6.7026287545468488</v>
      </c>
      <c r="Y605" s="337">
        <f t="shared" si="261"/>
        <v>-66.951074041463301</v>
      </c>
      <c r="AA605" s="336">
        <f t="shared" si="256"/>
        <v>-37.848306556782603</v>
      </c>
      <c r="AB605" s="337">
        <f t="shared" si="257"/>
        <v>-216.56709288750412</v>
      </c>
      <c r="AD605">
        <f t="shared" si="262"/>
        <v>0</v>
      </c>
      <c r="AE605">
        <f t="shared" si="265"/>
        <v>0</v>
      </c>
    </row>
    <row r="606" spans="1:31" x14ac:dyDescent="0.25">
      <c r="A606" s="338">
        <v>524810</v>
      </c>
      <c r="B606" s="355">
        <f t="shared" si="258"/>
        <v>524.80999999999995</v>
      </c>
      <c r="C606" s="328">
        <f t="shared" si="240"/>
        <v>176.00156680075128</v>
      </c>
      <c r="D606" s="329">
        <f t="shared" si="241"/>
        <v>1.5651145286230423</v>
      </c>
      <c r="E606" s="329">
        <f t="shared" si="242"/>
        <v>1.0234082151939985</v>
      </c>
      <c r="F606" s="330">
        <f t="shared" si="243"/>
        <v>0.21429201408489248</v>
      </c>
      <c r="G606" s="329">
        <f t="shared" si="244"/>
        <v>1</v>
      </c>
      <c r="H606" s="330">
        <f t="shared" si="245"/>
        <v>0</v>
      </c>
      <c r="I606" s="328">
        <f t="shared" si="246"/>
        <v>951807.8965566291</v>
      </c>
      <c r="J606" s="331">
        <f t="shared" si="247"/>
        <v>1.5707952761627222</v>
      </c>
      <c r="K606" s="339">
        <f t="shared" si="263"/>
        <v>155.61122251249526</v>
      </c>
      <c r="L606" s="340">
        <f t="shared" si="264"/>
        <v>1.5643700108338119</v>
      </c>
      <c r="M606" s="328">
        <f t="shared" si="248"/>
        <v>2.7180952893077208</v>
      </c>
      <c r="N606" s="331">
        <f t="shared" si="249"/>
        <v>1.1940416675193359</v>
      </c>
      <c r="O606" s="332">
        <f t="shared" si="250"/>
        <v>5.9534477216898054</v>
      </c>
      <c r="P606" s="333">
        <f t="shared" si="251"/>
        <v>2.4781573312140068</v>
      </c>
      <c r="Q606" s="334">
        <f t="shared" si="252"/>
        <v>-47.496253236403803</v>
      </c>
      <c r="R606" s="335">
        <f t="shared" si="253"/>
        <v>-288.16607402874865</v>
      </c>
      <c r="S606" s="337">
        <f t="shared" si="254"/>
        <v>-108.16607402874865</v>
      </c>
      <c r="U606" s="310">
        <f t="shared" si="259"/>
        <v>524810</v>
      </c>
      <c r="V606" s="310">
        <f t="shared" si="260"/>
        <v>275425536100</v>
      </c>
      <c r="X606" s="336">
        <f t="shared" si="255"/>
        <v>-7.385402280783171</v>
      </c>
      <c r="Y606" s="337">
        <f t="shared" si="261"/>
        <v>-68.781688775813848</v>
      </c>
      <c r="AA606" s="336">
        <f t="shared" si="256"/>
        <v>-40.110850955620627</v>
      </c>
      <c r="AB606" s="337">
        <f t="shared" si="257"/>
        <v>-219.38438525293475</v>
      </c>
      <c r="AD606">
        <f t="shared" si="262"/>
        <v>0</v>
      </c>
      <c r="AE606">
        <f t="shared" si="265"/>
        <v>0</v>
      </c>
    </row>
    <row r="607" spans="1:31" x14ac:dyDescent="0.25">
      <c r="A607" s="338">
        <v>575440</v>
      </c>
      <c r="B607" s="355">
        <f t="shared" si="258"/>
        <v>575.44000000000005</v>
      </c>
      <c r="C607" s="328">
        <f t="shared" si="240"/>
        <v>192.98044356388976</v>
      </c>
      <c r="D607" s="329">
        <f t="shared" si="241"/>
        <v>1.5656144313816291</v>
      </c>
      <c r="E607" s="329">
        <f t="shared" si="242"/>
        <v>1.0280778008955211</v>
      </c>
      <c r="F607" s="330">
        <f t="shared" si="243"/>
        <v>0.23424857389586881</v>
      </c>
      <c r="G607" s="329">
        <f t="shared" si="244"/>
        <v>1</v>
      </c>
      <c r="H607" s="330">
        <f t="shared" si="245"/>
        <v>0</v>
      </c>
      <c r="I607" s="328">
        <f t="shared" si="246"/>
        <v>1043631.6685933875</v>
      </c>
      <c r="J607" s="331">
        <f t="shared" si="247"/>
        <v>1.5707953686024327</v>
      </c>
      <c r="K607" s="339">
        <f t="shared" si="263"/>
        <v>170.62291273676419</v>
      </c>
      <c r="L607" s="340">
        <f t="shared" si="264"/>
        <v>1.5649354156837831</v>
      </c>
      <c r="M607" s="328">
        <f t="shared" si="248"/>
        <v>2.9461912776536496</v>
      </c>
      <c r="N607" s="331">
        <f t="shared" si="249"/>
        <v>1.2244947471873209</v>
      </c>
      <c r="O607" s="332">
        <f t="shared" si="250"/>
        <v>7.0911276683053472</v>
      </c>
      <c r="P607" s="333">
        <f t="shared" si="251"/>
        <v>2.5388492097852504</v>
      </c>
      <c r="Q607" s="334">
        <f t="shared" si="252"/>
        <v>-50.475537511788289</v>
      </c>
      <c r="R607" s="335">
        <f t="shared" si="253"/>
        <v>-292.2411211166592</v>
      </c>
      <c r="S607" s="337">
        <f t="shared" si="254"/>
        <v>-112.2411211166592</v>
      </c>
      <c r="U607" s="310">
        <f t="shared" si="259"/>
        <v>575440</v>
      </c>
      <c r="V607" s="310">
        <f t="shared" si="260"/>
        <v>331131193600</v>
      </c>
      <c r="X607" s="336">
        <f t="shared" si="255"/>
        <v>-8.085357683468823</v>
      </c>
      <c r="Y607" s="337">
        <f t="shared" si="261"/>
        <v>-70.494131700707484</v>
      </c>
      <c r="AA607" s="336">
        <f t="shared" si="256"/>
        <v>-42.390179828319468</v>
      </c>
      <c r="AB607" s="337">
        <f t="shared" si="257"/>
        <v>-221.74698941595176</v>
      </c>
      <c r="AD607">
        <f t="shared" si="262"/>
        <v>0</v>
      </c>
      <c r="AE607">
        <f t="shared" si="265"/>
        <v>0</v>
      </c>
    </row>
    <row r="608" spans="1:31" x14ac:dyDescent="0.25">
      <c r="A608" s="338">
        <v>630960</v>
      </c>
      <c r="B608" s="355">
        <f t="shared" si="258"/>
        <v>630.96</v>
      </c>
      <c r="C608" s="328">
        <f t="shared" si="240"/>
        <v>211.59923820187353</v>
      </c>
      <c r="D608" s="329">
        <f t="shared" si="241"/>
        <v>1.5660703942683247</v>
      </c>
      <c r="E608" s="329">
        <f t="shared" si="242"/>
        <v>1.0336644837084641</v>
      </c>
      <c r="F608" s="330">
        <f t="shared" si="243"/>
        <v>0.25591571773561161</v>
      </c>
      <c r="G608" s="329">
        <f t="shared" si="244"/>
        <v>1</v>
      </c>
      <c r="H608" s="330">
        <f t="shared" si="245"/>
        <v>0</v>
      </c>
      <c r="I608" s="328">
        <f t="shared" si="246"/>
        <v>1144324.0609197011</v>
      </c>
      <c r="J608" s="331">
        <f t="shared" si="247"/>
        <v>1.570795452916566</v>
      </c>
      <c r="K608" s="339">
        <f t="shared" si="263"/>
        <v>187.08452999493031</v>
      </c>
      <c r="L608" s="340">
        <f t="shared" si="264"/>
        <v>1.5654511239504469</v>
      </c>
      <c r="M608" s="328">
        <f t="shared" si="248"/>
        <v>3.1989870771554196</v>
      </c>
      <c r="N608" s="331">
        <f t="shared" si="249"/>
        <v>1.2528684546245241</v>
      </c>
      <c r="O608" s="332">
        <f t="shared" si="250"/>
        <v>8.4638004048390361</v>
      </c>
      <c r="P608" s="333">
        <f t="shared" si="251"/>
        <v>2.5938179374433998</v>
      </c>
      <c r="Q608" s="334">
        <f t="shared" si="252"/>
        <v>-53.480539445677721</v>
      </c>
      <c r="R608" s="335">
        <f t="shared" si="253"/>
        <v>-295.77143668260618</v>
      </c>
      <c r="S608" s="337">
        <f t="shared" si="254"/>
        <v>-115.77143668260618</v>
      </c>
      <c r="U608" s="310">
        <f t="shared" si="259"/>
        <v>630960</v>
      </c>
      <c r="V608" s="310">
        <f t="shared" si="260"/>
        <v>398110521600</v>
      </c>
      <c r="X608" s="336">
        <f t="shared" si="255"/>
        <v>-8.8004137070507102</v>
      </c>
      <c r="Y608" s="337">
        <f t="shared" si="261"/>
        <v>-72.090282311526209</v>
      </c>
      <c r="AA608" s="336">
        <f t="shared" si="256"/>
        <v>-44.680125738627012</v>
      </c>
      <c r="AB608" s="337">
        <f t="shared" si="257"/>
        <v>-223.68115437107997</v>
      </c>
      <c r="AD608">
        <f t="shared" si="262"/>
        <v>0</v>
      </c>
      <c r="AE608">
        <f t="shared" si="265"/>
        <v>0</v>
      </c>
    </row>
    <row r="609" spans="1:31" x14ac:dyDescent="0.25">
      <c r="A609" s="338">
        <v>691830</v>
      </c>
      <c r="B609" s="355">
        <f t="shared" si="258"/>
        <v>691.83</v>
      </c>
      <c r="C609" s="328">
        <f t="shared" si="240"/>
        <v>232.01221306188978</v>
      </c>
      <c r="D609" s="329">
        <f t="shared" si="241"/>
        <v>1.5664861955176901</v>
      </c>
      <c r="E609" s="329">
        <f t="shared" si="242"/>
        <v>1.0403407241481231</v>
      </c>
      <c r="F609" s="330">
        <f t="shared" si="243"/>
        <v>0.2793910529025509</v>
      </c>
      <c r="G609" s="329">
        <f t="shared" si="244"/>
        <v>1</v>
      </c>
      <c r="H609" s="330">
        <f t="shared" si="245"/>
        <v>0</v>
      </c>
      <c r="I609" s="328">
        <f t="shared" si="246"/>
        <v>1254719.3404748735</v>
      </c>
      <c r="J609" s="331">
        <f t="shared" si="247"/>
        <v>1.570795529803914</v>
      </c>
      <c r="K609" s="339">
        <f t="shared" si="263"/>
        <v>205.13246376688977</v>
      </c>
      <c r="L609" s="340">
        <f t="shared" si="264"/>
        <v>1.5659214086934312</v>
      </c>
      <c r="M609" s="328">
        <f t="shared" si="248"/>
        <v>3.4786500372140501</v>
      </c>
      <c r="N609" s="331">
        <f t="shared" si="249"/>
        <v>1.2792142975543894</v>
      </c>
      <c r="O609" s="332">
        <f t="shared" si="250"/>
        <v>10.117977825281331</v>
      </c>
      <c r="P609" s="333">
        <f t="shared" si="251"/>
        <v>2.6435883018590056</v>
      </c>
      <c r="Q609" s="334">
        <f t="shared" si="252"/>
        <v>-56.503106437249585</v>
      </c>
      <c r="R609" s="335">
        <f t="shared" si="253"/>
        <v>-298.78441922284958</v>
      </c>
      <c r="S609" s="337">
        <f t="shared" si="254"/>
        <v>-118.78441922284958</v>
      </c>
      <c r="U609" s="310">
        <f t="shared" si="259"/>
        <v>691830</v>
      </c>
      <c r="V609" s="310">
        <f t="shared" si="260"/>
        <v>478628748900</v>
      </c>
      <c r="X609" s="336">
        <f t="shared" si="255"/>
        <v>-9.528399659331221</v>
      </c>
      <c r="Y609" s="337">
        <f t="shared" si="261"/>
        <v>-73.572846995194311</v>
      </c>
      <c r="AA609" s="336">
        <f t="shared" si="256"/>
        <v>-46.974706777918378</v>
      </c>
      <c r="AB609" s="337">
        <f t="shared" si="257"/>
        <v>-225.2115722276553</v>
      </c>
      <c r="AD609">
        <f t="shared" si="262"/>
        <v>0</v>
      </c>
      <c r="AE609">
        <f t="shared" si="265"/>
        <v>0</v>
      </c>
    </row>
    <row r="610" spans="1:31" s="599" customFormat="1" x14ac:dyDescent="0.25">
      <c r="A610" s="600">
        <v>758580</v>
      </c>
      <c r="B610" s="601">
        <f t="shared" si="258"/>
        <v>758.58</v>
      </c>
      <c r="C610" s="593">
        <f t="shared" si="240"/>
        <v>254.39710556316163</v>
      </c>
      <c r="D610" s="590">
        <f t="shared" si="241"/>
        <v>1.5668654543382938</v>
      </c>
      <c r="E610" s="590">
        <f t="shared" si="242"/>
        <v>1.0483119193097197</v>
      </c>
      <c r="F610" s="591">
        <f t="shared" si="243"/>
        <v>0.30477479168310034</v>
      </c>
      <c r="G610" s="590">
        <f t="shared" si="244"/>
        <v>1</v>
      </c>
      <c r="H610" s="591">
        <f t="shared" si="245"/>
        <v>0</v>
      </c>
      <c r="I610" s="593">
        <f t="shared" si="246"/>
        <v>1375778.7278628834</v>
      </c>
      <c r="J610" s="594">
        <f t="shared" si="247"/>
        <v>1.5707955999338252</v>
      </c>
      <c r="K610" s="588">
        <f t="shared" si="263"/>
        <v>224.92385886847728</v>
      </c>
      <c r="L610" s="589">
        <f t="shared" si="264"/>
        <v>1.5663503631720492</v>
      </c>
      <c r="M610" s="593">
        <f t="shared" si="248"/>
        <v>3.7876731103259522</v>
      </c>
      <c r="N610" s="594">
        <f t="shared" si="249"/>
        <v>1.3036144710567796</v>
      </c>
      <c r="O610" s="602">
        <f t="shared" si="250"/>
        <v>12.110374034012221</v>
      </c>
      <c r="P610" s="595">
        <f t="shared" si="251"/>
        <v>2.688674079328865</v>
      </c>
      <c r="Q610" s="596">
        <f t="shared" si="252"/>
        <v>-59.537363387321271</v>
      </c>
      <c r="R610" s="597">
        <f t="shared" si="253"/>
        <v>-301.30844651819211</v>
      </c>
      <c r="S610" s="598">
        <f t="shared" si="254"/>
        <v>-121.30844651819211</v>
      </c>
      <c r="U610" s="599">
        <f t="shared" si="259"/>
        <v>758580</v>
      </c>
      <c r="V610" s="599">
        <f t="shared" si="260"/>
        <v>575443616400</v>
      </c>
      <c r="X610" s="336">
        <f t="shared" si="255"/>
        <v>-10.267652047379688</v>
      </c>
      <c r="Y610" s="337">
        <f t="shared" si="261"/>
        <v>-74.946300694757468</v>
      </c>
      <c r="Z610" s="310"/>
      <c r="AA610" s="336">
        <f t="shared" si="256"/>
        <v>-49.26971133994158</v>
      </c>
      <c r="AB610" s="598">
        <f t="shared" si="257"/>
        <v>-226.36214582343464</v>
      </c>
      <c r="AD610" s="2">
        <f t="shared" si="262"/>
        <v>0</v>
      </c>
      <c r="AE610" s="2">
        <f t="shared" si="265"/>
        <v>0</v>
      </c>
    </row>
    <row r="611" spans="1:31" x14ac:dyDescent="0.25">
      <c r="A611" s="338">
        <v>831760</v>
      </c>
      <c r="B611" s="355">
        <f t="shared" si="258"/>
        <v>831.76</v>
      </c>
      <c r="C611" s="328">
        <f t="shared" si="240"/>
        <v>278.93836051177226</v>
      </c>
      <c r="D611" s="329">
        <f t="shared" si="241"/>
        <v>1.5672112976858104</v>
      </c>
      <c r="E611" s="329">
        <f t="shared" si="242"/>
        <v>1.0578145869620919</v>
      </c>
      <c r="F611" s="330">
        <f t="shared" si="243"/>
        <v>0.33214451180509896</v>
      </c>
      <c r="G611" s="329">
        <f t="shared" si="244"/>
        <v>1</v>
      </c>
      <c r="H611" s="330">
        <f t="shared" si="245"/>
        <v>0</v>
      </c>
      <c r="I611" s="328">
        <f t="shared" si="246"/>
        <v>1508499.7161633328</v>
      </c>
      <c r="J611" s="331">
        <f t="shared" si="247"/>
        <v>1.5707956638845961</v>
      </c>
      <c r="K611" s="339">
        <f t="shared" si="263"/>
        <v>246.62179046419601</v>
      </c>
      <c r="L611" s="340">
        <f t="shared" si="264"/>
        <v>1.5667415239392335</v>
      </c>
      <c r="M611" s="328">
        <f t="shared" si="248"/>
        <v>4.1286481109142139</v>
      </c>
      <c r="N611" s="331">
        <f t="shared" si="249"/>
        <v>1.3261532609843967</v>
      </c>
      <c r="O611" s="332">
        <f t="shared" si="250"/>
        <v>14.508313897575679</v>
      </c>
      <c r="P611" s="333">
        <f t="shared" si="251"/>
        <v>2.7295263621021966</v>
      </c>
      <c r="Q611" s="334">
        <f t="shared" si="252"/>
        <v>-62.576814133928657</v>
      </c>
      <c r="R611" s="335">
        <f t="shared" si="253"/>
        <v>-303.36972516289785</v>
      </c>
      <c r="S611" s="337">
        <f t="shared" si="254"/>
        <v>-123.36972516289785</v>
      </c>
      <c r="U611" s="310">
        <f t="shared" si="259"/>
        <v>831760</v>
      </c>
      <c r="V611" s="310">
        <f t="shared" si="260"/>
        <v>691824697600</v>
      </c>
      <c r="X611" s="336">
        <f t="shared" si="255"/>
        <v>-11.016374054103535</v>
      </c>
      <c r="Y611" s="337">
        <f t="shared" si="261"/>
        <v>-76.215270037430443</v>
      </c>
      <c r="AA611" s="336">
        <f t="shared" si="256"/>
        <v>-51.560440079825121</v>
      </c>
      <c r="AB611" s="337">
        <f t="shared" si="257"/>
        <v>-227.15445512546742</v>
      </c>
      <c r="AD611">
        <f t="shared" si="262"/>
        <v>0</v>
      </c>
      <c r="AE611">
        <f t="shared" si="265"/>
        <v>0</v>
      </c>
    </row>
    <row r="612" spans="1:31" x14ac:dyDescent="0.25">
      <c r="A612" s="338">
        <v>912010</v>
      </c>
      <c r="B612" s="355">
        <f t="shared" si="258"/>
        <v>912.01</v>
      </c>
      <c r="C612" s="328">
        <f t="shared" si="240"/>
        <v>305.85060489786537</v>
      </c>
      <c r="D612" s="329">
        <f t="shared" si="241"/>
        <v>1.5675267508461292</v>
      </c>
      <c r="E612" s="329">
        <f t="shared" si="242"/>
        <v>1.0691288406156074</v>
      </c>
      <c r="F612" s="330">
        <f t="shared" si="243"/>
        <v>0.36157462566528104</v>
      </c>
      <c r="G612" s="329">
        <f t="shared" si="244"/>
        <v>1</v>
      </c>
      <c r="H612" s="330">
        <f t="shared" si="245"/>
        <v>0</v>
      </c>
      <c r="I612" s="328">
        <f t="shared" si="246"/>
        <v>1654043.0245961221</v>
      </c>
      <c r="J612" s="331">
        <f t="shared" si="247"/>
        <v>1.5707957222157019</v>
      </c>
      <c r="K612" s="339">
        <f t="shared" si="263"/>
        <v>270.4160190923356</v>
      </c>
      <c r="L612" s="340">
        <f t="shared" si="264"/>
        <v>1.5670983125922677</v>
      </c>
      <c r="M612" s="328">
        <f t="shared" si="248"/>
        <v>4.5045927902935921</v>
      </c>
      <c r="N612" s="331">
        <f t="shared" si="249"/>
        <v>1.34693561206829</v>
      </c>
      <c r="O612" s="332">
        <f t="shared" si="250"/>
        <v>17.394039195335495</v>
      </c>
      <c r="P612" s="333">
        <f t="shared" si="251"/>
        <v>2.7665744782361559</v>
      </c>
      <c r="Q612" s="334">
        <f t="shared" si="252"/>
        <v>-65.617061658882065</v>
      </c>
      <c r="R612" s="335">
        <f t="shared" si="253"/>
        <v>-304.99458054167872</v>
      </c>
      <c r="S612" s="337">
        <f t="shared" si="254"/>
        <v>-124.99458054167872</v>
      </c>
      <c r="U612" s="310">
        <f t="shared" si="259"/>
        <v>912010</v>
      </c>
      <c r="V612" s="310">
        <f t="shared" si="260"/>
        <v>831762240100</v>
      </c>
      <c r="X612" s="336">
        <f t="shared" si="255"/>
        <v>-11.773339433799524</v>
      </c>
      <c r="Y612" s="337">
        <f t="shared" si="261"/>
        <v>-77.385571902363068</v>
      </c>
      <c r="AA612" s="336">
        <f t="shared" si="256"/>
        <v>-53.843722225082544</v>
      </c>
      <c r="AB612" s="337">
        <f t="shared" si="257"/>
        <v>-227.60900863931568</v>
      </c>
      <c r="AD612">
        <f t="shared" si="262"/>
        <v>0</v>
      </c>
      <c r="AE612">
        <f t="shared" si="265"/>
        <v>0</v>
      </c>
    </row>
    <row r="613" spans="1:31" x14ac:dyDescent="0.25">
      <c r="A613" s="338">
        <v>1000000</v>
      </c>
      <c r="B613" s="355">
        <f t="shared" si="258"/>
        <v>1000</v>
      </c>
      <c r="C613" s="328">
        <f t="shared" si="240"/>
        <v>335.35852662269605</v>
      </c>
      <c r="D613" s="329">
        <f t="shared" si="241"/>
        <v>1.5678144390462394</v>
      </c>
      <c r="E613" s="329">
        <f t="shared" si="242"/>
        <v>1.0825747025917321</v>
      </c>
      <c r="F613" s="330">
        <f t="shared" si="243"/>
        <v>0.3931058742190221</v>
      </c>
      <c r="G613" s="329">
        <f t="shared" si="244"/>
        <v>1</v>
      </c>
      <c r="H613" s="330">
        <f t="shared" si="245"/>
        <v>0</v>
      </c>
      <c r="I613" s="328">
        <f t="shared" si="246"/>
        <v>1813623.7810945834</v>
      </c>
      <c r="J613" s="331">
        <f t="shared" si="247"/>
        <v>1.5707957754126252</v>
      </c>
      <c r="K613" s="339">
        <f t="shared" si="263"/>
        <v>296.50520062285824</v>
      </c>
      <c r="L613" s="340">
        <f t="shared" si="264"/>
        <v>1.5674236982754899</v>
      </c>
      <c r="M613" s="328">
        <f t="shared" si="248"/>
        <v>4.9186740239378679</v>
      </c>
      <c r="N613" s="331">
        <f t="shared" si="249"/>
        <v>1.3660622218882026</v>
      </c>
      <c r="O613" s="332">
        <f t="shared" si="250"/>
        <v>20.865390997506594</v>
      </c>
      <c r="P613" s="333">
        <f t="shared" si="251"/>
        <v>2.8001888261935717</v>
      </c>
      <c r="Q613" s="334">
        <f t="shared" si="252"/>
        <v>-68.65288699108558</v>
      </c>
      <c r="R613" s="335">
        <f t="shared" si="253"/>
        <v>-306.20765050755477</v>
      </c>
      <c r="S613" s="337">
        <f t="shared" si="254"/>
        <v>-126.20765050755477</v>
      </c>
      <c r="U613" s="310">
        <f t="shared" si="259"/>
        <v>1000000</v>
      </c>
      <c r="V613" s="310">
        <f t="shared" si="260"/>
        <v>1000000000000</v>
      </c>
      <c r="X613" s="336">
        <f t="shared" si="255"/>
        <v>-12.537199506577954</v>
      </c>
      <c r="Y613" s="337">
        <f t="shared" si="261"/>
        <v>-78.462805744265012</v>
      </c>
      <c r="AA613" s="336">
        <f t="shared" si="256"/>
        <v>-56.115687484507632</v>
      </c>
      <c r="AB613" s="337">
        <f t="shared" si="257"/>
        <v>-227.74484476328973</v>
      </c>
      <c r="AD613">
        <f t="shared" si="262"/>
        <v>0</v>
      </c>
      <c r="AE613">
        <f t="shared" si="265"/>
        <v>0</v>
      </c>
    </row>
    <row r="614" spans="1:31" x14ac:dyDescent="0.25">
      <c r="A614" s="341"/>
      <c r="B614" s="341"/>
      <c r="C614" s="342"/>
      <c r="D614" s="342"/>
      <c r="E614" s="342"/>
      <c r="F614" s="342"/>
      <c r="G614" s="329"/>
      <c r="H614" s="330"/>
      <c r="I614" s="342"/>
      <c r="J614" s="342"/>
      <c r="K614" s="342"/>
      <c r="L614" s="342"/>
      <c r="M614" s="342"/>
      <c r="N614" s="342"/>
      <c r="O614" s="342"/>
      <c r="P614" s="343"/>
      <c r="Q614" s="417"/>
      <c r="R614" s="335"/>
      <c r="S614" s="344"/>
      <c r="X614" s="336"/>
      <c r="Y614" s="337"/>
      <c r="AA614" s="336"/>
      <c r="AB614" s="337"/>
    </row>
    <row r="615" spans="1:31" x14ac:dyDescent="0.25">
      <c r="A615" s="341"/>
      <c r="B615" s="341"/>
      <c r="C615" s="342"/>
      <c r="D615" s="342"/>
      <c r="E615" s="342"/>
      <c r="F615" s="342"/>
      <c r="G615" s="329"/>
      <c r="H615" s="330"/>
      <c r="I615" s="342"/>
      <c r="J615" s="342"/>
      <c r="K615" s="342"/>
      <c r="L615" s="342"/>
      <c r="M615" s="342"/>
      <c r="N615" s="342"/>
      <c r="O615" s="342"/>
      <c r="P615" s="343"/>
      <c r="Q615" s="344"/>
      <c r="R615" s="335"/>
      <c r="S615" s="344"/>
      <c r="X615" s="336"/>
      <c r="Y615" s="337"/>
      <c r="AA615" s="336"/>
      <c r="AB615" s="337"/>
    </row>
    <row r="616" spans="1:31" x14ac:dyDescent="0.25">
      <c r="A616" s="310" t="s">
        <v>352</v>
      </c>
      <c r="G616" s="329"/>
      <c r="H616" s="330"/>
      <c r="Q616" s="334"/>
      <c r="R616" s="335"/>
      <c r="S616" s="344"/>
      <c r="X616" s="336"/>
      <c r="Y616" s="337"/>
      <c r="AA616" s="336"/>
      <c r="AB616" s="337"/>
    </row>
    <row r="617" spans="1:31" x14ac:dyDescent="0.25">
      <c r="A617" s="345">
        <f>Q4*1000</f>
        <v>34279</v>
      </c>
      <c r="B617" s="345"/>
      <c r="C617" s="346">
        <f t="shared" ref="C617:C626" si="266">SQRT(1+(A617/pole1)^2)</f>
        <v>11.53911636370089</v>
      </c>
      <c r="D617" s="339">
        <f t="shared" ref="D617:D626" si="267">ATAN(A617/pole1)</f>
        <v>1.4840257347041701</v>
      </c>
      <c r="E617" s="339">
        <f t="shared" ref="E617:E626" si="268">SQRT(1+(A617/Zero1)^2)</f>
        <v>1.0001010303741413</v>
      </c>
      <c r="F617" s="340">
        <f t="shared" ref="F617:F626" si="269">ATAN(A617/Zero1)</f>
        <v>1.4214209012634982E-2</v>
      </c>
      <c r="G617" s="329">
        <f>IF(VIN_nom&gt;Vout, 1, SQRT(1+(A617/z_RHP)^2))</f>
        <v>1</v>
      </c>
      <c r="H617" s="330">
        <f>IF(VIN_nom&gt;Vout, 0, -ATAN(A617/z_RHP))</f>
        <v>0</v>
      </c>
      <c r="I617" s="346">
        <f t="shared" ref="I617:I626" si="270">SQRT(1+(A617/Pole2)^2)</f>
        <v>62169.209600174341</v>
      </c>
      <c r="J617" s="347">
        <f t="shared" ref="J617:J626" si="271">ATAN(A617/Pole2)</f>
        <v>1.5707802416619752</v>
      </c>
      <c r="K617" s="339">
        <f t="shared" ref="K617:K626" si="272">SQRT(1+(A617/Zero2)^2)</f>
        <v>10.212919474082442</v>
      </c>
      <c r="L617" s="340">
        <f t="shared" ref="L617:L626" si="273">ATAN(A617/Zero2)</f>
        <v>1.4727239946325157</v>
      </c>
      <c r="M617" s="346">
        <f t="shared" ref="M617:M626" si="274">SQRT(1+(A617/pole4)^2)</f>
        <v>1.013535074435332</v>
      </c>
      <c r="N617" s="347">
        <f t="shared" ref="N617:N626" si="275">ATAN(A617/pole4)</f>
        <v>0.16361021959187613</v>
      </c>
      <c r="O617" s="346">
        <f>SQRT((1-(A617^2/(pole3^2)))^2+(A617/(Q_Ch2*pole3))^2)</f>
        <v>1.0046791123183232</v>
      </c>
      <c r="P617" s="410">
        <f>ATAN((A617/(Q_Ch2*pole3))/(1-A617^2/pole3^2))</f>
        <v>0.24067266684243296</v>
      </c>
      <c r="Q617" s="334">
        <f>20*LOG10(((E617*K617*G617)/(C617*I617*O617*M617))*Adc)</f>
        <v>3.5526246242364112E-2</v>
      </c>
      <c r="R617" s="335">
        <f>((F617+L617+H617)-(D617+J617+P617+N617))*radconv</f>
        <v>-112.99590946265889</v>
      </c>
      <c r="S617" s="337">
        <f t="shared" ref="S617:S626" si="276">IF(R617&gt;0,R617,R617+180)</f>
        <v>67.004090537341114</v>
      </c>
      <c r="T617" s="310" t="s">
        <v>353</v>
      </c>
      <c r="X617" s="336">
        <f>20*LOG10((K617/(I617*M617))*AEA*Afb_Ch2)</f>
        <v>1.2247746396909425</v>
      </c>
      <c r="Y617" s="337">
        <f t="shared" si="261"/>
        <v>-14.992384194634651</v>
      </c>
      <c r="AA617" s="336">
        <f>20*LOG10((E617*G617/(C617*O617))*Am_Ch2)</f>
        <v>-1.1892483934485782</v>
      </c>
      <c r="AB617" s="337">
        <f>(F617+H617-(D617+P617))*radconv</f>
        <v>-98.003525268024248</v>
      </c>
    </row>
    <row r="618" spans="1:31" x14ac:dyDescent="0.25">
      <c r="A618" s="345">
        <f>A617</f>
        <v>34279</v>
      </c>
      <c r="B618" s="345"/>
      <c r="C618" s="346"/>
      <c r="D618" s="339"/>
      <c r="E618" s="339"/>
      <c r="F618" s="340"/>
      <c r="G618" s="329"/>
      <c r="H618" s="330"/>
      <c r="I618" s="346"/>
      <c r="J618" s="347"/>
      <c r="K618" s="339"/>
      <c r="L618" s="340"/>
      <c r="M618" s="328"/>
      <c r="N618" s="331"/>
      <c r="O618" s="346"/>
      <c r="P618" s="333"/>
      <c r="Q618" s="334"/>
      <c r="R618" s="335">
        <v>-135</v>
      </c>
      <c r="S618" s="337"/>
      <c r="X618" s="336"/>
      <c r="Y618" s="337"/>
      <c r="AA618" s="336"/>
      <c r="AB618" s="337"/>
    </row>
    <row r="619" spans="1:31" x14ac:dyDescent="0.25">
      <c r="A619" s="310">
        <f>A618</f>
        <v>34279</v>
      </c>
      <c r="B619" s="345"/>
      <c r="C619" s="346"/>
      <c r="D619" s="339"/>
      <c r="E619" s="339"/>
      <c r="F619" s="340"/>
      <c r="G619" s="329"/>
      <c r="H619" s="330"/>
      <c r="I619" s="346"/>
      <c r="J619" s="347"/>
      <c r="K619" s="339"/>
      <c r="L619" s="340"/>
      <c r="M619" s="328"/>
      <c r="N619" s="331"/>
      <c r="O619" s="346"/>
      <c r="P619" s="333"/>
      <c r="Q619" s="334"/>
      <c r="R619" s="335"/>
      <c r="S619" s="337"/>
      <c r="X619" s="336"/>
      <c r="Y619" s="337"/>
      <c r="AA619" s="336"/>
      <c r="AB619" s="337"/>
    </row>
    <row r="620" spans="1:31" x14ac:dyDescent="0.25">
      <c r="A620" s="345">
        <v>1000000</v>
      </c>
      <c r="B620" s="345"/>
      <c r="C620" s="346"/>
      <c r="D620" s="339"/>
      <c r="E620" s="339"/>
      <c r="F620" s="340"/>
      <c r="G620" s="329"/>
      <c r="H620" s="330"/>
      <c r="I620" s="346"/>
      <c r="J620" s="347"/>
      <c r="K620" s="339"/>
      <c r="L620" s="340"/>
      <c r="M620" s="328"/>
      <c r="N620" s="331"/>
      <c r="O620" s="346"/>
      <c r="P620" s="333"/>
      <c r="Q620" s="334"/>
      <c r="R620" s="335">
        <f>R617</f>
        <v>-112.99590946265889</v>
      </c>
      <c r="S620" s="337"/>
      <c r="X620" s="336"/>
      <c r="Y620" s="337"/>
      <c r="AA620" s="336"/>
      <c r="AB620" s="337"/>
    </row>
    <row r="621" spans="1:31" x14ac:dyDescent="0.25">
      <c r="A621" s="345"/>
      <c r="B621" s="345"/>
      <c r="C621" s="346"/>
      <c r="D621" s="339"/>
      <c r="E621" s="339"/>
      <c r="F621" s="340"/>
      <c r="G621" s="329"/>
      <c r="H621" s="330"/>
      <c r="I621" s="346"/>
      <c r="J621" s="347"/>
      <c r="K621" s="339"/>
      <c r="L621" s="340"/>
      <c r="M621" s="328"/>
      <c r="N621" s="331"/>
      <c r="O621" s="346"/>
      <c r="P621" s="333"/>
      <c r="Q621" s="334"/>
      <c r="R621" s="335"/>
      <c r="S621" s="337"/>
      <c r="X621" s="336"/>
      <c r="Y621" s="337"/>
      <c r="AA621" s="336"/>
      <c r="AB621" s="337"/>
    </row>
    <row r="622" spans="1:31" x14ac:dyDescent="0.25">
      <c r="A622" s="418">
        <f>pole1</f>
        <v>2981.8965866605963</v>
      </c>
      <c r="B622" s="345"/>
      <c r="C622" s="346">
        <f t="shared" si="266"/>
        <v>1.4142135623730951</v>
      </c>
      <c r="D622" s="339">
        <f t="shared" si="267"/>
        <v>0.78539816339744828</v>
      </c>
      <c r="E622" s="339">
        <f t="shared" si="268"/>
        <v>1.0000007645442051</v>
      </c>
      <c r="F622" s="340">
        <f t="shared" si="269"/>
        <v>1.2365627504908779E-3</v>
      </c>
      <c r="G622" s="329">
        <f t="shared" ref="G622:G628" si="277">IF(VIN_nom&gt;Vout, 1, SQRT(1+(A622/z_RHP)^2))</f>
        <v>1</v>
      </c>
      <c r="H622" s="330">
        <f t="shared" ref="H622:H628" si="278">IF(VIN_nom&gt;Vout, 0, -ATAN(A622/z_RHP))</f>
        <v>0</v>
      </c>
      <c r="I622" s="346">
        <f t="shared" si="270"/>
        <v>5408.0386547865619</v>
      </c>
      <c r="J622" s="347">
        <f t="shared" si="271"/>
        <v>1.5706114168729208</v>
      </c>
      <c r="K622" s="339">
        <f t="shared" si="272"/>
        <v>1.3348065482629963</v>
      </c>
      <c r="L622" s="340">
        <f t="shared" si="273"/>
        <v>0.72398483023288729</v>
      </c>
      <c r="M622" s="328">
        <f t="shared" si="274"/>
        <v>1.0001031089419545</v>
      </c>
      <c r="N622" s="331">
        <f t="shared" si="275"/>
        <v>1.4359671527511027E-2</v>
      </c>
      <c r="O622" s="346">
        <f t="shared" ref="O622:O628" si="279">SQRT((1-(A622^2/(pole3^2)))^2+(A622/(Q_Ch2*pole3))^2)</f>
        <v>1.0000332763388502</v>
      </c>
      <c r="P622" s="333">
        <f t="shared" ref="P622:P628" si="280">ATAN((A622/(Q_Ch2*pole3))/(1-A622^2/pole3^2))</f>
        <v>2.0832183063198433E-2</v>
      </c>
      <c r="Q622" s="334">
        <f t="shared" ref="Q622:Q628" si="281">20*LOG10(((E622*K622*G622)/(C622*I622*O622*M622))*Adc)</f>
        <v>21.96002462573983</v>
      </c>
      <c r="R622" s="335">
        <f t="shared" ref="R622:R628" si="282">((F622+L622+H622)-(D622+J622+P622+N622))*radconv</f>
        <v>-95.453625261692025</v>
      </c>
      <c r="S622" s="337">
        <f t="shared" si="276"/>
        <v>84.546374738307975</v>
      </c>
      <c r="T622" s="310" t="s">
        <v>327</v>
      </c>
      <c r="X622" s="336">
        <f>20*LOG10((K622/(I622*M622))*AEA*Afb_Ch2)</f>
        <v>4.8767343368613432</v>
      </c>
      <c r="Y622" s="337">
        <f t="shared" si="261"/>
        <v>-49.330878868130149</v>
      </c>
      <c r="AA622" s="336">
        <f t="shared" ref="AA622:AA628" si="283">20*LOG10((E622*G622/(C622*O622))*Am_Ch2)</f>
        <v>17.083290288878487</v>
      </c>
      <c r="AB622" s="337">
        <f t="shared" ref="AB622:AB628" si="284">(F622+H622-(D622+P622))*radconv</f>
        <v>-46.12274639356189</v>
      </c>
    </row>
    <row r="623" spans="1:31" s="599" customFormat="1" x14ac:dyDescent="0.25">
      <c r="A623" s="585">
        <f>Zero1</f>
        <v>2411438.5344508542</v>
      </c>
      <c r="B623" s="586"/>
      <c r="C623" s="587">
        <f t="shared" si="266"/>
        <v>808.69349691391062</v>
      </c>
      <c r="D623" s="588">
        <f t="shared" si="267"/>
        <v>1.5695597640444057</v>
      </c>
      <c r="E623" s="588">
        <f t="shared" si="268"/>
        <v>1.4142135623730951</v>
      </c>
      <c r="F623" s="589">
        <f t="shared" si="269"/>
        <v>0.78539816339744828</v>
      </c>
      <c r="G623" s="590">
        <f t="shared" si="277"/>
        <v>1</v>
      </c>
      <c r="H623" s="591">
        <f t="shared" si="278"/>
        <v>0</v>
      </c>
      <c r="I623" s="587">
        <f t="shared" si="270"/>
        <v>4373442.2727273889</v>
      </c>
      <c r="J623" s="592">
        <f t="shared" si="271"/>
        <v>1.5707960981420557</v>
      </c>
      <c r="K623" s="588">
        <f t="shared" si="272"/>
        <v>715.0006993003575</v>
      </c>
      <c r="L623" s="589">
        <f t="shared" si="273"/>
        <v>1.5693977263082224</v>
      </c>
      <c r="M623" s="593">
        <f t="shared" si="274"/>
        <v>11.656336682347659</v>
      </c>
      <c r="N623" s="594">
        <f t="shared" si="275"/>
        <v>1.4849004944310593</v>
      </c>
      <c r="O623" s="587">
        <f t="shared" si="279"/>
        <v>120.33043036968493</v>
      </c>
      <c r="P623" s="595">
        <f t="shared" si="280"/>
        <v>-0.14046074236665052</v>
      </c>
      <c r="Q623" s="596">
        <f>20*LOG10(((E623*K623*G623)/(C623*I623*O623*M623))*Adc)</f>
        <v>-96.690537068258138</v>
      </c>
      <c r="R623" s="597">
        <f t="shared" si="282"/>
        <v>-122.03999471991888</v>
      </c>
      <c r="S623" s="598">
        <f t="shared" si="276"/>
        <v>57.96000528008112</v>
      </c>
      <c r="T623" s="599" t="s">
        <v>322</v>
      </c>
      <c r="X623" s="336">
        <f>20*LOG10((K623/(I623*M623))*AEA*Afb_Ch2)</f>
        <v>-20.031521244578695</v>
      </c>
      <c r="Y623" s="337">
        <f t="shared" si="261"/>
        <v>-85.158652229365472</v>
      </c>
      <c r="Z623" s="310"/>
      <c r="AA623" s="336">
        <f t="shared" si="283"/>
        <v>-76.659015823679439</v>
      </c>
      <c r="AB623" s="598">
        <f t="shared" si="284"/>
        <v>-36.881342490553386</v>
      </c>
      <c r="AD623" s="2"/>
      <c r="AE623" s="2"/>
    </row>
    <row r="624" spans="1:31" x14ac:dyDescent="0.25">
      <c r="A624" s="418">
        <f>Pole2</f>
        <v>0.5513822714634995</v>
      </c>
      <c r="B624" s="345"/>
      <c r="C624" s="346">
        <f t="shared" si="266"/>
        <v>1.0000000170958399</v>
      </c>
      <c r="D624" s="339">
        <f t="shared" si="267"/>
        <v>1.8490992197578513E-4</v>
      </c>
      <c r="E624" s="339">
        <f t="shared" si="268"/>
        <v>1.0000000000000262</v>
      </c>
      <c r="F624" s="340">
        <f t="shared" si="269"/>
        <v>2.2865284086084059E-7</v>
      </c>
      <c r="G624" s="329">
        <f t="shared" si="277"/>
        <v>1</v>
      </c>
      <c r="H624" s="330">
        <f t="shared" si="278"/>
        <v>0</v>
      </c>
      <c r="I624" s="346">
        <f t="shared" si="270"/>
        <v>1.4142135623730951</v>
      </c>
      <c r="J624" s="347">
        <f t="shared" si="271"/>
        <v>0.78539816339744828</v>
      </c>
      <c r="K624" s="339">
        <f t="shared" si="272"/>
        <v>1.0000000133639637</v>
      </c>
      <c r="L624" s="340">
        <f t="shared" si="273"/>
        <v>1.6348677975894967E-4</v>
      </c>
      <c r="M624" s="328">
        <f t="shared" si="274"/>
        <v>1.0000000000035256</v>
      </c>
      <c r="N624" s="331">
        <f t="shared" si="275"/>
        <v>2.6554282911003529E-6</v>
      </c>
      <c r="O624" s="346">
        <f t="shared" si="279"/>
        <v>1.0000000000011373</v>
      </c>
      <c r="P624" s="333">
        <f t="shared" si="280"/>
        <v>3.8519269478543724E-6</v>
      </c>
      <c r="Q624" s="334">
        <f t="shared" si="281"/>
        <v>94.113631700888305</v>
      </c>
      <c r="R624" s="335">
        <f t="shared" si="282"/>
        <v>-45.001587250202974</v>
      </c>
      <c r="S624" s="337">
        <f t="shared" si="276"/>
        <v>134.99841274979701</v>
      </c>
      <c r="T624" s="310" t="s">
        <v>330</v>
      </c>
      <c r="W624" s="310">
        <f>Pole2</f>
        <v>0.5513822714634995</v>
      </c>
      <c r="X624" s="336">
        <f>20*LOG10((K624/(I624*M624))*AEA*Afb_Ch2)</f>
        <v>74.019759214818365</v>
      </c>
      <c r="Y624" s="337">
        <f t="shared" si="261"/>
        <v>-44.990785093756969</v>
      </c>
      <c r="AA624" s="336">
        <f t="shared" si="283"/>
        <v>20.093872486069934</v>
      </c>
      <c r="AB624" s="337">
        <f t="shared" si="284"/>
        <v>-1.0802156445998867E-2</v>
      </c>
    </row>
    <row r="625" spans="1:28" x14ac:dyDescent="0.25">
      <c r="A625" s="418">
        <f>Zero2</f>
        <v>3372.6413069242708</v>
      </c>
      <c r="B625" s="345"/>
      <c r="C625" s="346">
        <f t="shared" si="266"/>
        <v>1.5097182516535039</v>
      </c>
      <c r="D625" s="339">
        <f t="shared" si="267"/>
        <v>0.84681149656200927</v>
      </c>
      <c r="E625" s="339">
        <f t="shared" si="268"/>
        <v>1.0000009780424579</v>
      </c>
      <c r="F625" s="340">
        <f t="shared" si="269"/>
        <v>1.3986004866743231E-3</v>
      </c>
      <c r="G625" s="329">
        <f t="shared" si="277"/>
        <v>1</v>
      </c>
      <c r="H625" s="330">
        <f t="shared" si="278"/>
        <v>0</v>
      </c>
      <c r="I625" s="346">
        <f t="shared" si="270"/>
        <v>6116.7025610822338</v>
      </c>
      <c r="J625" s="347">
        <f t="shared" si="271"/>
        <v>1.5706328400151377</v>
      </c>
      <c r="K625" s="339">
        <f t="shared" si="272"/>
        <v>1.4142135623730951</v>
      </c>
      <c r="L625" s="340">
        <f t="shared" si="273"/>
        <v>0.78539816339744828</v>
      </c>
      <c r="M625" s="328">
        <f t="shared" si="274"/>
        <v>1.0001319001327607</v>
      </c>
      <c r="N625" s="331">
        <f t="shared" si="275"/>
        <v>1.6241036688266364E-2</v>
      </c>
      <c r="O625" s="346">
        <f t="shared" si="279"/>
        <v>1.0000425745601269</v>
      </c>
      <c r="P625" s="333">
        <f t="shared" si="280"/>
        <v>2.3562268209811155E-2</v>
      </c>
      <c r="Q625" s="334">
        <f t="shared" si="281"/>
        <v>20.824459399499808</v>
      </c>
      <c r="R625" s="335">
        <f t="shared" si="282"/>
        <v>-95.709785279259023</v>
      </c>
      <c r="S625" s="337">
        <f t="shared" si="276"/>
        <v>84.290214720740977</v>
      </c>
      <c r="T625" s="310" t="s">
        <v>325</v>
      </c>
      <c r="W625" s="310">
        <f>Zero2</f>
        <v>3372.6413069242708</v>
      </c>
      <c r="X625" s="336">
        <f>20*LOG10((K625/(I625*M625))*AEA*Afb_Ch2)</f>
        <v>4.308866169006742</v>
      </c>
      <c r="Y625" s="337">
        <f t="shared" si="261"/>
        <v>-45.921175807141012</v>
      </c>
      <c r="AA625" s="336">
        <f t="shared" si="283"/>
        <v>16.515593230493064</v>
      </c>
      <c r="AB625" s="337">
        <f t="shared" si="284"/>
        <v>-49.788609472117997</v>
      </c>
    </row>
    <row r="626" spans="1:28" x14ac:dyDescent="0.25">
      <c r="A626" s="418">
        <f>pole3</f>
        <v>220000</v>
      </c>
      <c r="B626" s="345"/>
      <c r="C626" s="346">
        <f t="shared" si="266"/>
        <v>73.785324575565866</v>
      </c>
      <c r="D626" s="339">
        <f t="shared" si="267"/>
        <v>1.5572430813292748</v>
      </c>
      <c r="E626" s="339">
        <f t="shared" si="268"/>
        <v>1.0041530015669287</v>
      </c>
      <c r="F626" s="340">
        <f t="shared" si="269"/>
        <v>9.0979991950386349E-2</v>
      </c>
      <c r="G626" s="329">
        <f t="shared" si="277"/>
        <v>1</v>
      </c>
      <c r="H626" s="330">
        <f t="shared" si="278"/>
        <v>0</v>
      </c>
      <c r="I626" s="346">
        <f t="shared" si="270"/>
        <v>398997.23184200085</v>
      </c>
      <c r="J626" s="347">
        <f t="shared" si="271"/>
        <v>1.5707938205118446</v>
      </c>
      <c r="K626" s="339">
        <f t="shared" si="272"/>
        <v>65.238437791119949</v>
      </c>
      <c r="L626" s="340">
        <f t="shared" si="273"/>
        <v>1.5554673398064398</v>
      </c>
      <c r="M626" s="328">
        <f t="shared" si="274"/>
        <v>1.4569002508895517</v>
      </c>
      <c r="N626" s="331">
        <f t="shared" si="275"/>
        <v>0.81428465918183346</v>
      </c>
      <c r="O626" s="346">
        <f t="shared" si="279"/>
        <v>1.5369081894446222</v>
      </c>
      <c r="P626" s="333" t="e">
        <f t="shared" si="280"/>
        <v>#DIV/0!</v>
      </c>
      <c r="Q626" s="334">
        <f t="shared" si="281"/>
        <v>-22.930351789053919</v>
      </c>
      <c r="R626" s="335" t="e">
        <f t="shared" si="282"/>
        <v>#DIV/0!</v>
      </c>
      <c r="S626" s="337" t="e">
        <f t="shared" si="276"/>
        <v>#DIV/0!</v>
      </c>
      <c r="T626" s="310" t="s">
        <v>323</v>
      </c>
      <c r="X626" s="336">
        <f>20*LOG10((K626/(I626*M626))*AEA*Afb_Ch2)</f>
        <v>-1.9678639031736498</v>
      </c>
      <c r="Y626" s="337">
        <f t="shared" si="261"/>
        <v>-47.533217006890716</v>
      </c>
      <c r="AA626" s="336">
        <f t="shared" si="283"/>
        <v>-20.962487885880275</v>
      </c>
      <c r="AB626" s="337" t="e">
        <f t="shared" si="284"/>
        <v>#DIV/0!</v>
      </c>
    </row>
    <row r="627" spans="1:28" ht="13.8" thickBot="1" x14ac:dyDescent="0.3">
      <c r="A627" s="396">
        <f>Fp2_u</f>
        <v>221650.7791442411</v>
      </c>
      <c r="C627" s="346">
        <f>SQRT(1+(A627/pole1)^2)</f>
        <v>74.338874509781505</v>
      </c>
      <c r="D627" s="339">
        <f>ATAN(A627/pole1)</f>
        <v>1.5573440090400181</v>
      </c>
      <c r="E627" s="339">
        <f>SQRT(1+(A627/Zero1)^2)</f>
        <v>1.0042154285281519</v>
      </c>
      <c r="F627" s="340">
        <f>ATAN(A627/Zero1)</f>
        <v>9.1658861032440794E-2</v>
      </c>
      <c r="G627" s="329">
        <f t="shared" si="277"/>
        <v>1</v>
      </c>
      <c r="H627" s="330">
        <f t="shared" si="278"/>
        <v>0</v>
      </c>
      <c r="I627" s="346">
        <f>SQRT(1+(A627/Pole2)^2)</f>
        <v>401991.12415532168</v>
      </c>
      <c r="J627" s="347">
        <f>ATAN(A627/Pole2)</f>
        <v>1.5707938391777829</v>
      </c>
      <c r="K627" s="339">
        <f>SQRT(1+(A627/Zero2)^2)</f>
        <v>65.727842531721777</v>
      </c>
      <c r="L627" s="340">
        <f>ATAN(A627/Zero2)</f>
        <v>1.5555814871711835</v>
      </c>
      <c r="M627" s="328">
        <f>SQRT(1+(A627/pole4)^2)</f>
        <v>1.4626919945561643</v>
      </c>
      <c r="N627" s="331">
        <f>ATAN(A627/pole4)</f>
        <v>0.81801534828001443</v>
      </c>
      <c r="O627" s="346">
        <f t="shared" si="279"/>
        <v>1.5485137112694076</v>
      </c>
      <c r="P627" s="333">
        <f t="shared" si="280"/>
        <v>-1.5610685318563258</v>
      </c>
      <c r="Q627" s="334">
        <f t="shared" si="281"/>
        <v>-23.094550684227514</v>
      </c>
      <c r="R627" s="335">
        <f t="shared" si="282"/>
        <v>-42.275365317911536</v>
      </c>
      <c r="S627" s="337">
        <f>IF(R627&gt;0,R627,R627+180)</f>
        <v>137.72463468208846</v>
      </c>
      <c r="T627" s="310" t="s">
        <v>335</v>
      </c>
      <c r="X627" s="348"/>
      <c r="Y627" s="349"/>
      <c r="AA627" s="336">
        <f t="shared" si="283"/>
        <v>-21.092210310696643</v>
      </c>
      <c r="AB627" s="337">
        <f t="shared" si="284"/>
        <v>5.4650653364543347</v>
      </c>
    </row>
    <row r="628" spans="1:28" x14ac:dyDescent="0.25">
      <c r="A628" s="396">
        <f>z_RHP</f>
        <v>0</v>
      </c>
      <c r="C628" s="346">
        <f>SQRT(1+(A628/pole1)^2)</f>
        <v>1</v>
      </c>
      <c r="D628" s="339">
        <f>ATAN(A628/pole1)</f>
        <v>0</v>
      </c>
      <c r="E628" s="339">
        <f>SQRT(1+(A628/Zero1)^2)</f>
        <v>1</v>
      </c>
      <c r="F628" s="340">
        <f>ATAN(A628/Zero1)</f>
        <v>0</v>
      </c>
      <c r="G628" s="329">
        <f t="shared" si="277"/>
        <v>1</v>
      </c>
      <c r="H628" s="330">
        <f t="shared" si="278"/>
        <v>0</v>
      </c>
      <c r="I628" s="346">
        <f>SQRT(1+(A628/Pole2)^2)</f>
        <v>1</v>
      </c>
      <c r="J628" s="347">
        <f>ATAN(A628/Pole2)</f>
        <v>0</v>
      </c>
      <c r="K628" s="339">
        <f>SQRT(1+(A628/Zero2)^2)</f>
        <v>1</v>
      </c>
      <c r="L628" s="340">
        <f>ATAN(A628/Zero2)</f>
        <v>0</v>
      </c>
      <c r="M628" s="328">
        <f>SQRT(1+(A628/pole4)^2)</f>
        <v>1</v>
      </c>
      <c r="N628" s="331">
        <f>ATAN(A628/pole4)</f>
        <v>0</v>
      </c>
      <c r="O628" s="346">
        <f t="shared" si="279"/>
        <v>1</v>
      </c>
      <c r="P628" s="333">
        <f t="shared" si="280"/>
        <v>0</v>
      </c>
      <c r="Q628" s="334">
        <f t="shared" si="281"/>
        <v>97.123931689983053</v>
      </c>
      <c r="R628" s="335">
        <f t="shared" si="282"/>
        <v>0</v>
      </c>
      <c r="S628" s="337">
        <f>IF(R628&gt;0,R628,R628+180)</f>
        <v>180</v>
      </c>
      <c r="T628" s="310" t="s">
        <v>429</v>
      </c>
      <c r="X628" s="344"/>
      <c r="Y628" s="344"/>
      <c r="AA628" s="336">
        <f t="shared" si="283"/>
        <v>20.093872634572165</v>
      </c>
      <c r="AB628" s="337">
        <f t="shared" si="284"/>
        <v>0</v>
      </c>
    </row>
    <row r="629" spans="1:28" x14ac:dyDescent="0.25">
      <c r="A629" s="396">
        <f>Fp2_u</f>
        <v>221650.7791442411</v>
      </c>
      <c r="Q629" s="334">
        <v>-25</v>
      </c>
    </row>
    <row r="631" spans="1:28" x14ac:dyDescent="0.25">
      <c r="D631" s="310" t="s">
        <v>354</v>
      </c>
      <c r="E631" s="310" t="s">
        <v>355</v>
      </c>
    </row>
    <row r="632" spans="1:28" x14ac:dyDescent="0.25">
      <c r="A632" s="310" t="s">
        <v>327</v>
      </c>
      <c r="B632" s="310" t="s">
        <v>426</v>
      </c>
      <c r="C632" s="350">
        <f>pole1</f>
        <v>2981.8965866605963</v>
      </c>
      <c r="D632" s="350">
        <f>Q622</f>
        <v>21.96002462573983</v>
      </c>
      <c r="E632" s="350">
        <f>AA622</f>
        <v>17.083290288878487</v>
      </c>
    </row>
    <row r="633" spans="1:28" x14ac:dyDescent="0.25">
      <c r="A633" s="310" t="s">
        <v>322</v>
      </c>
      <c r="B633" s="310" t="s">
        <v>436</v>
      </c>
      <c r="C633" s="350">
        <f>Zero1</f>
        <v>2411438.5344508542</v>
      </c>
      <c r="D633" s="350">
        <f>Q623</f>
        <v>-96.690537068258138</v>
      </c>
      <c r="E633" s="350">
        <f>AA623</f>
        <v>-76.659015823679439</v>
      </c>
    </row>
    <row r="634" spans="1:28" x14ac:dyDescent="0.25">
      <c r="A634" s="310" t="s">
        <v>330</v>
      </c>
      <c r="B634" s="310" t="s">
        <v>437</v>
      </c>
      <c r="C634" s="350">
        <f>Pole2</f>
        <v>0.5513822714634995</v>
      </c>
      <c r="D634" s="350">
        <f>Q624</f>
        <v>94.113631700888305</v>
      </c>
      <c r="E634" s="350">
        <f>AA624</f>
        <v>20.093872486069934</v>
      </c>
    </row>
    <row r="635" spans="1:28" x14ac:dyDescent="0.25">
      <c r="A635" s="310" t="s">
        <v>325</v>
      </c>
      <c r="B635" s="310" t="s">
        <v>438</v>
      </c>
      <c r="C635" s="350">
        <f>Zero2</f>
        <v>3372.6413069242708</v>
      </c>
      <c r="D635" s="350">
        <f>Q625</f>
        <v>20.824459399499808</v>
      </c>
      <c r="E635" s="350">
        <f>AA625</f>
        <v>16.515593230493064</v>
      </c>
    </row>
    <row r="636" spans="1:28" x14ac:dyDescent="0.25">
      <c r="A636" s="310" t="s">
        <v>323</v>
      </c>
      <c r="B636" s="310" t="s">
        <v>435</v>
      </c>
      <c r="C636" s="310">
        <f>pole3</f>
        <v>220000</v>
      </c>
      <c r="D636" s="350">
        <f>Q626</f>
        <v>-22.930351789053919</v>
      </c>
      <c r="E636" s="350">
        <f>AA626</f>
        <v>-20.962487885880275</v>
      </c>
    </row>
    <row r="637" spans="1:28" x14ac:dyDescent="0.25">
      <c r="C637" s="396"/>
      <c r="D637" s="350"/>
      <c r="E637" s="350"/>
    </row>
    <row r="639" spans="1:28" x14ac:dyDescent="0.25">
      <c r="A639" s="350">
        <f>Q4*1000</f>
        <v>34279</v>
      </c>
    </row>
    <row r="640" spans="1:28" x14ac:dyDescent="0.25">
      <c r="A640" s="350">
        <f>Q4*1000</f>
        <v>34279</v>
      </c>
    </row>
    <row r="687" spans="30:31" x14ac:dyDescent="0.25">
      <c r="AD687" t="s">
        <v>44</v>
      </c>
      <c r="AE687" s="4">
        <f>SUM(AE689:AE1306)</f>
        <v>0</v>
      </c>
    </row>
  </sheetData>
  <mergeCells count="20">
    <mergeCell ref="A10:A12"/>
    <mergeCell ref="B10:B11"/>
    <mergeCell ref="C10:H10"/>
    <mergeCell ref="I10:N10"/>
    <mergeCell ref="O10:P10"/>
    <mergeCell ref="A2:D2"/>
    <mergeCell ref="E2:G2"/>
    <mergeCell ref="J2:L2"/>
    <mergeCell ref="M2:O2"/>
    <mergeCell ref="P2:R2"/>
    <mergeCell ref="Q10:S10"/>
    <mergeCell ref="X10:Y10"/>
    <mergeCell ref="AA10:AB10"/>
    <mergeCell ref="C11:D11"/>
    <mergeCell ref="E11:F11"/>
    <mergeCell ref="G11:H11"/>
    <mergeCell ref="I11:J11"/>
    <mergeCell ref="K11:L11"/>
    <mergeCell ref="M11:N11"/>
    <mergeCell ref="O11:P11"/>
  </mergeCells>
  <phoneticPr fontId="91" type="noConversion"/>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70" zoomScaleNormal="70" workbookViewId="0">
      <selection activeCell="A2" sqref="A2"/>
    </sheetView>
  </sheetViews>
  <sheetFormatPr defaultRowHeight="13.2" x14ac:dyDescent="0.25"/>
  <cols>
    <col min="1" max="1" width="10.5546875" customWidth="1"/>
    <col min="2" max="2" width="129.33203125" customWidth="1"/>
  </cols>
  <sheetData>
    <row r="1" spans="1:14" x14ac:dyDescent="0.25">
      <c r="J1" s="112" t="s">
        <v>598</v>
      </c>
      <c r="N1" s="112" t="s">
        <v>600</v>
      </c>
    </row>
    <row r="2" spans="1:14" x14ac:dyDescent="0.25">
      <c r="A2" t="str">
        <f>CHOOSE(BODE_PLOT_TYPE, "BODE_PLOT_Ch1", "BODE_PLOT_Ch2")</f>
        <v>BODE_PLOT_Ch2</v>
      </c>
      <c r="J2" s="112" t="s">
        <v>599</v>
      </c>
      <c r="N2" s="112" t="s">
        <v>735</v>
      </c>
    </row>
    <row r="3" spans="1:14" x14ac:dyDescent="0.25">
      <c r="J3" s="112" t="s">
        <v>597</v>
      </c>
    </row>
    <row r="4" spans="1:14" x14ac:dyDescent="0.25">
      <c r="J4" s="112" t="s">
        <v>596</v>
      </c>
    </row>
    <row r="5" spans="1:14" ht="409.5" customHeight="1" x14ac:dyDescent="0.25">
      <c r="B5" s="516"/>
    </row>
    <row r="6" spans="1:14" ht="12" customHeight="1" x14ac:dyDescent="0.25">
      <c r="B6" s="516"/>
      <c r="F6">
        <f ca="1">INDIRECT(A2)</f>
        <v>0</v>
      </c>
    </row>
    <row r="7" spans="1:14" ht="34.5" customHeight="1" x14ac:dyDescent="0.25"/>
    <row r="8" spans="1:14" ht="409.5" customHeight="1" x14ac:dyDescent="0.25">
      <c r="B8" s="516"/>
    </row>
    <row r="9" spans="1:14" x14ac:dyDescent="0.25">
      <c r="B9" s="516"/>
    </row>
  </sheetData>
  <phoneticPr fontId="9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zoomScale="115" zoomScaleNormal="115" workbookViewId="0">
      <pane ySplit="8" topLeftCell="A9" activePane="bottomLeft" state="frozen"/>
      <selection activeCell="F1" sqref="F1"/>
      <selection pane="bottomLeft" activeCell="B73" sqref="B73"/>
    </sheetView>
  </sheetViews>
  <sheetFormatPr defaultRowHeight="13.2" x14ac:dyDescent="0.25"/>
  <cols>
    <col min="1" max="1" width="19.88671875" customWidth="1"/>
    <col min="2" max="2" width="13.109375" bestFit="1" customWidth="1"/>
    <col min="4" max="4" width="74.5546875" customWidth="1"/>
    <col min="6" max="6" width="9.109375" customWidth="1"/>
    <col min="7" max="7" width="6.88671875" customWidth="1"/>
    <col min="8" max="8" width="9.109375" style="526"/>
    <col min="9" max="10" width="9.88671875" customWidth="1"/>
    <col min="11" max="11" width="8.109375" customWidth="1"/>
    <col min="12" max="12" width="7.44140625" customWidth="1"/>
    <col min="13" max="13" width="10.6640625" style="351" customWidth="1"/>
    <col min="14" max="16" width="8.88671875" style="4" customWidth="1"/>
    <col min="17" max="17" width="12.109375" style="4" customWidth="1"/>
    <col min="18" max="18" width="8" style="4" customWidth="1"/>
    <col min="19" max="19" width="9.44140625" style="302" customWidth="1"/>
    <col min="20" max="20" width="8" customWidth="1"/>
    <col min="21" max="21" width="9.33203125" customWidth="1"/>
    <col min="22" max="22" width="8.88671875" style="4" customWidth="1"/>
    <col min="23" max="23" width="9.88671875" customWidth="1"/>
    <col min="24" max="24" width="10.6640625" customWidth="1"/>
    <col min="25" max="25" width="9.6640625" style="302" customWidth="1"/>
    <col min="26" max="26" width="10.5546875" customWidth="1"/>
    <col min="28" max="29" width="8.5546875" customWidth="1"/>
    <col min="30" max="30" width="11.6640625" customWidth="1"/>
    <col min="31" max="31" width="12.88671875" customWidth="1"/>
    <col min="32" max="32" width="8" customWidth="1"/>
    <col min="33" max="33" width="9.88671875" customWidth="1"/>
    <col min="34" max="35" width="8.88671875" customWidth="1"/>
    <col min="36" max="36" width="10.5546875" customWidth="1"/>
    <col min="37" max="37" width="10.33203125" customWidth="1"/>
    <col min="38" max="38" width="13.6640625" customWidth="1"/>
    <col min="39" max="39" width="12" style="302" customWidth="1"/>
    <col min="40" max="40" width="11.5546875" customWidth="1"/>
    <col min="41" max="41" width="9.33203125" customWidth="1"/>
    <col min="42" max="43" width="10.44140625" customWidth="1"/>
    <col min="44" max="44" width="14.6640625" customWidth="1"/>
    <col min="46" max="46" width="8.44140625" style="4" customWidth="1"/>
    <col min="47" max="47" width="7.33203125" customWidth="1"/>
    <col min="48" max="48" width="10.109375" style="9" customWidth="1"/>
    <col min="49" max="49" width="12.44140625" style="370" customWidth="1"/>
    <col min="50" max="50" width="11.44140625" style="370" customWidth="1"/>
    <col min="51" max="51" width="3.33203125" customWidth="1"/>
    <col min="52" max="52" width="7.88671875" style="351" customWidth="1"/>
    <col min="53" max="53" width="9.109375" style="302"/>
    <col min="54" max="54" width="10.33203125" style="302" customWidth="1"/>
    <col min="55" max="55" width="12.109375" style="302" customWidth="1"/>
    <col min="56" max="56" width="8.88671875" style="302" customWidth="1"/>
    <col min="57" max="57" width="7.88671875" customWidth="1"/>
    <col min="61" max="61" width="28.44140625" customWidth="1"/>
    <col min="64" max="64" width="12.44140625" bestFit="1" customWidth="1"/>
  </cols>
  <sheetData>
    <row r="1" spans="1:65" ht="12.75" customHeight="1" x14ac:dyDescent="0.25">
      <c r="A1" s="769" t="s">
        <v>719</v>
      </c>
      <c r="B1" s="769"/>
      <c r="C1" s="769"/>
      <c r="D1" s="769"/>
    </row>
    <row r="2" spans="1:65" ht="12.75" customHeight="1" x14ac:dyDescent="0.25">
      <c r="A2" s="769"/>
      <c r="B2" s="769"/>
      <c r="C2" s="769"/>
      <c r="D2" s="769"/>
      <c r="H2" s="531">
        <f>AV19</f>
        <v>0.5435483712627015</v>
      </c>
      <c r="I2" s="112" t="s">
        <v>584</v>
      </c>
      <c r="J2" s="112"/>
      <c r="AK2" s="112"/>
    </row>
    <row r="3" spans="1:65" ht="12.75" customHeight="1" x14ac:dyDescent="0.25">
      <c r="A3" s="769"/>
      <c r="B3" s="769"/>
      <c r="C3" s="769"/>
      <c r="D3" s="769"/>
      <c r="H3" s="531">
        <f>AV59</f>
        <v>0.77405000879379149</v>
      </c>
      <c r="I3" s="112" t="s">
        <v>586</v>
      </c>
      <c r="J3" s="112"/>
      <c r="AK3" s="112"/>
      <c r="AP3">
        <f>IF(MODE=1, (Qg_Q1+Qg_Q2)*Fsw*Vin, (Qg_Q1+Qg_Q2+Qg_Q3+Qg_Q4)*Fsw*Vin)</f>
        <v>0.41183999999999998</v>
      </c>
    </row>
    <row r="4" spans="1:65" ht="12.75" customHeight="1" x14ac:dyDescent="0.25">
      <c r="A4" s="769"/>
      <c r="B4" s="769"/>
      <c r="C4" s="769"/>
      <c r="D4" s="769"/>
      <c r="H4" s="531">
        <f>AV109</f>
        <v>0.81516292243695998</v>
      </c>
      <c r="I4" s="112" t="s">
        <v>585</v>
      </c>
      <c r="J4" s="112"/>
      <c r="AK4" s="112"/>
      <c r="AO4" s="112" t="s">
        <v>760</v>
      </c>
      <c r="AP4">
        <f>(Qg_Q1+Qg_Q2)*Fsw*1000</f>
        <v>17.159999999999997</v>
      </c>
      <c r="AQ4" s="112" t="s">
        <v>64</v>
      </c>
      <c r="AR4">
        <f>AP4*5/1000</f>
        <v>8.5799999999999987E-2</v>
      </c>
    </row>
    <row r="5" spans="1:65" x14ac:dyDescent="0.25">
      <c r="A5" s="10"/>
      <c r="B5" s="11"/>
      <c r="C5" s="6"/>
      <c r="D5" s="6"/>
    </row>
    <row r="6" spans="1:65" ht="13.5" customHeight="1" thickBot="1" x14ac:dyDescent="0.3">
      <c r="A6" s="770" t="s">
        <v>462</v>
      </c>
      <c r="B6" s="770"/>
      <c r="C6" s="770"/>
      <c r="D6" s="770"/>
    </row>
    <row r="7" spans="1:65" ht="13.8" thickBot="1" x14ac:dyDescent="0.3">
      <c r="A7" s="770"/>
      <c r="B7" s="770"/>
      <c r="C7" s="770"/>
      <c r="D7" s="770"/>
      <c r="G7" s="766" t="s">
        <v>577</v>
      </c>
      <c r="H7" s="767"/>
      <c r="I7" s="767"/>
      <c r="J7" s="767"/>
      <c r="K7" s="767"/>
      <c r="L7" s="767"/>
      <c r="M7" s="767"/>
      <c r="N7" s="768"/>
      <c r="O7" s="619"/>
      <c r="P7" s="619"/>
      <c r="Q7" s="619"/>
      <c r="R7" s="766" t="s">
        <v>473</v>
      </c>
      <c r="S7" s="767"/>
      <c r="T7" s="767"/>
      <c r="U7" s="768"/>
      <c r="V7" s="771" t="s">
        <v>25</v>
      </c>
      <c r="W7" s="772"/>
      <c r="X7" s="773"/>
      <c r="Y7" s="766" t="s">
        <v>57</v>
      </c>
      <c r="Z7" s="767"/>
      <c r="AA7" s="768"/>
      <c r="AB7" s="766" t="s">
        <v>574</v>
      </c>
      <c r="AC7" s="767"/>
      <c r="AD7" s="767"/>
      <c r="AE7" s="767"/>
      <c r="AF7" s="767"/>
      <c r="AG7" s="768"/>
      <c r="AH7" s="766" t="s">
        <v>575</v>
      </c>
      <c r="AI7" s="767"/>
      <c r="AJ7" s="767"/>
      <c r="AK7" s="768"/>
      <c r="AL7" s="453" t="s">
        <v>198</v>
      </c>
      <c r="AM7" s="455" t="s">
        <v>448</v>
      </c>
      <c r="AN7" s="454" t="s">
        <v>491</v>
      </c>
      <c r="AO7" s="775" t="s">
        <v>480</v>
      </c>
      <c r="AP7" s="776"/>
      <c r="AQ7" s="776"/>
      <c r="AR7" s="777"/>
      <c r="AS7" s="778"/>
      <c r="AT7" s="766" t="s">
        <v>488</v>
      </c>
      <c r="AU7" s="767"/>
      <c r="AV7" s="767"/>
      <c r="AW7" s="767"/>
      <c r="AX7" s="767"/>
      <c r="AY7" s="522"/>
      <c r="AZ7" s="774" t="s">
        <v>489</v>
      </c>
      <c r="BA7" s="774"/>
      <c r="BB7" s="774"/>
      <c r="BC7" s="774"/>
      <c r="BD7" s="774"/>
      <c r="BE7" s="774"/>
    </row>
    <row r="8" spans="1:65" ht="66.599999999999994" thickBot="1" x14ac:dyDescent="0.55000000000000004">
      <c r="A8" s="579" t="s">
        <v>108</v>
      </c>
      <c r="B8" s="13"/>
      <c r="C8" s="13"/>
      <c r="D8" s="6"/>
      <c r="G8" s="438" t="s">
        <v>53</v>
      </c>
      <c r="H8" s="517" t="s">
        <v>3</v>
      </c>
      <c r="I8" s="517" t="s">
        <v>576</v>
      </c>
      <c r="J8" s="517" t="s">
        <v>5</v>
      </c>
      <c r="K8" s="439" t="s">
        <v>732</v>
      </c>
      <c r="L8" s="439" t="s">
        <v>298</v>
      </c>
      <c r="M8" s="450" t="s">
        <v>578</v>
      </c>
      <c r="N8" s="519" t="s">
        <v>474</v>
      </c>
      <c r="O8" s="620" t="s">
        <v>775</v>
      </c>
      <c r="P8" s="620" t="s">
        <v>776</v>
      </c>
      <c r="Q8" s="620" t="s">
        <v>777</v>
      </c>
      <c r="R8" s="518" t="s">
        <v>857</v>
      </c>
      <c r="S8" s="452" t="s">
        <v>87</v>
      </c>
      <c r="T8" s="439" t="s">
        <v>572</v>
      </c>
      <c r="U8" s="440" t="s">
        <v>508</v>
      </c>
      <c r="V8" s="518" t="s">
        <v>476</v>
      </c>
      <c r="W8" s="441" t="s">
        <v>475</v>
      </c>
      <c r="X8" s="440" t="s">
        <v>507</v>
      </c>
      <c r="Y8" s="451" t="s">
        <v>477</v>
      </c>
      <c r="Z8" s="439" t="s">
        <v>478</v>
      </c>
      <c r="AA8" s="440" t="s">
        <v>505</v>
      </c>
      <c r="AB8" s="438" t="s">
        <v>84</v>
      </c>
      <c r="AC8" s="439" t="s">
        <v>479</v>
      </c>
      <c r="AD8" s="439" t="s">
        <v>773</v>
      </c>
      <c r="AE8" s="621" t="s">
        <v>774</v>
      </c>
      <c r="AF8" s="442" t="s">
        <v>199</v>
      </c>
      <c r="AG8" s="440" t="s">
        <v>570</v>
      </c>
      <c r="AH8" s="438" t="s">
        <v>84</v>
      </c>
      <c r="AI8" s="439" t="s">
        <v>479</v>
      </c>
      <c r="AJ8" s="439" t="s">
        <v>482</v>
      </c>
      <c r="AK8" s="443" t="s">
        <v>571</v>
      </c>
      <c r="AL8" s="440" t="s">
        <v>482</v>
      </c>
      <c r="AM8" s="456" t="s">
        <v>93</v>
      </c>
      <c r="AN8" s="457" t="s">
        <v>490</v>
      </c>
      <c r="AO8" s="444" t="s">
        <v>483</v>
      </c>
      <c r="AP8" s="445" t="s">
        <v>135</v>
      </c>
      <c r="AQ8" s="446" t="s">
        <v>201</v>
      </c>
      <c r="AR8" s="445" t="s">
        <v>848</v>
      </c>
      <c r="AS8" s="447" t="s">
        <v>481</v>
      </c>
      <c r="AT8" s="448" t="s">
        <v>54</v>
      </c>
      <c r="AU8" s="439" t="s">
        <v>288</v>
      </c>
      <c r="AV8" s="449" t="s">
        <v>485</v>
      </c>
      <c r="AW8" s="529" t="str">
        <f>IF(Vin&gt;Vout, "Buck ''CONTROL'' MOSFET Temp Rise", "Boost ''CONTROL'' MOSFET Temp Rise")</f>
        <v>Buck ''CONTROL'' MOSFET Temp Rise</v>
      </c>
      <c r="AX8" s="529" t="str">
        <f>IF(Vin&gt;Vout, "Buck ''SYNC'' MOSFET Temp Rise", "Boost ''SYNC'' MOSFET Temp Rise")</f>
        <v>Buck ''SYNC'' MOSFET Temp Rise</v>
      </c>
      <c r="AZ8" s="523" t="s">
        <v>484</v>
      </c>
      <c r="BA8" s="524" t="s">
        <v>506</v>
      </c>
      <c r="BB8" s="524" t="s">
        <v>579</v>
      </c>
      <c r="BC8" s="524" t="s">
        <v>717</v>
      </c>
      <c r="BD8" s="524" t="s">
        <v>718</v>
      </c>
      <c r="BE8" s="524" t="s">
        <v>553</v>
      </c>
      <c r="BF8" s="524"/>
    </row>
    <row r="9" spans="1:65" x14ac:dyDescent="0.25">
      <c r="A9" s="14" t="s">
        <v>55</v>
      </c>
      <c r="B9" s="15" t="s">
        <v>111</v>
      </c>
      <c r="C9" s="16" t="s">
        <v>76</v>
      </c>
      <c r="D9" s="17" t="s">
        <v>107</v>
      </c>
      <c r="G9">
        <v>0</v>
      </c>
      <c r="H9" s="527">
        <f t="shared" ref="H9:H40" si="0">Vin</f>
        <v>24</v>
      </c>
      <c r="I9" s="4">
        <f t="shared" ref="I9:I40" si="1">MODE</f>
        <v>1</v>
      </c>
      <c r="J9">
        <v>0</v>
      </c>
      <c r="K9" s="351">
        <f t="shared" ref="K9:K40" si="2">Iout*G9/100/Number_of_Phases</f>
        <v>0</v>
      </c>
      <c r="L9" s="4">
        <f t="shared" ref="L9:L40" si="3">Vout*K9/(Vin*Efficiency)</f>
        <v>0</v>
      </c>
      <c r="M9" s="351">
        <f t="shared" ref="M9:M40" si="4">(Vout+(Rdson2+Rs+Rdcr)*K9)/(Vin+(Rs+Rdson2-Rdson1)*K9)</f>
        <v>0.13749999999999998</v>
      </c>
      <c r="N9" s="4">
        <f t="shared" ref="N9:N40" si="5">(Vin-(Rdson1+Rdcr)*K9-Vout)*M9/(Fsw*Lf)</f>
        <v>1.9602272727272725</v>
      </c>
      <c r="O9" s="4">
        <f>K9+N9/2</f>
        <v>0.98011363636363624</v>
      </c>
      <c r="P9" s="4">
        <f>K9-N9/2</f>
        <v>-0.98011363636363624</v>
      </c>
      <c r="Q9" s="4">
        <f t="shared" ref="Q9:Q40" si="6">IF(MIN(Vin, -P9/(Coss_Q1+Coss_Q2)*0.00000002)&lt;0, 0, MIN(Vin, -P9/(Coss_Q1+Coss_Q2)*0.00000002))</f>
        <v>24</v>
      </c>
      <c r="R9" s="4">
        <f>SQRT(K9^2+(N9^2)/12)</f>
        <v>0.56586887179096834</v>
      </c>
      <c r="S9" s="351">
        <f t="shared" ref="S9:S40" si="7">R9^2*Rdcr</f>
        <v>8.0051895015495842E-3</v>
      </c>
      <c r="T9" s="351">
        <f t="shared" ref="T9:T40" si="8">Core_Loss_Ch1</f>
        <v>0.65</v>
      </c>
      <c r="U9" s="351">
        <f t="shared" ref="U9:U40" si="9">(T9+S9*(1+Ltc*(Ta-25)))/(1-S9*Ltc*ThetaCa)</f>
        <v>0.65842685604199169</v>
      </c>
      <c r="V9" s="4">
        <f>N9/SQRT(12)</f>
        <v>0.56586887179096834</v>
      </c>
      <c r="W9" s="351">
        <f t="shared" ref="W9:W73" si="10">RCoutEsr*V9^2</f>
        <v>3.2020758006198334E-4</v>
      </c>
      <c r="X9" s="351">
        <f>W9</f>
        <v>3.2020758006198334E-4</v>
      </c>
      <c r="Y9" s="4">
        <f>SQRT(M9*(1-M9))*SQRT(K9^2+(N9^2)/12)</f>
        <v>0.19487077178986037</v>
      </c>
      <c r="Z9" s="351">
        <f t="shared" ref="Z9:Z73" si="11">RCinEsr*Y9^2</f>
        <v>3.7974617697975837E-5</v>
      </c>
      <c r="AA9" s="520">
        <f>Z9</f>
        <v>3.7974617697975837E-5</v>
      </c>
      <c r="AB9" s="351">
        <f>SQRT(M9)*SQRT(K9^2+(N9^2)/12)</f>
        <v>0.20982979354353543</v>
      </c>
      <c r="AC9" s="351">
        <f t="shared" ref="AC9:AC40" si="12">Rdson1*AB9^2</f>
        <v>5.06328235973011E-4</v>
      </c>
      <c r="AD9" s="351">
        <f t="shared" ref="AD9:AD40" si="13">(Vin*K9/2)*Fsw*(Tr_buck+Tf_buck)</f>
        <v>0</v>
      </c>
      <c r="AE9" s="351">
        <f t="shared" ref="AE9:AE40" si="14">(0.5*Coss_Q1*(Vin-Q9)^2-0.5*Coss_Q2*(Vin-Q9)^2+(Qoss_Q2*(Vin-Q9)/Vin)*Vin)*Fsw</f>
        <v>0</v>
      </c>
      <c r="AF9" s="351">
        <f t="shared" ref="AF9:AF40" si="15">IF(K9&gt;N9/2,0,ABS(K9-N9/2)*Vsd_Q1*Deadtime2*Fsw)</f>
        <v>6.0374999999999986E-3</v>
      </c>
      <c r="AG9" s="351">
        <f t="shared" ref="AG9:AG40" si="16">(AF9+AE9+AD9+AC9*(1+RdsonTopTc*Ta-RdsonTopTc*25))/(1-AC9*RdsonTopTc*ThetaJA_Q1)</f>
        <v>6.5443849219276821E-3</v>
      </c>
      <c r="AH9" s="351">
        <f t="shared" ref="AH9:AH40" si="17">SQRT((1-M9))*SQRT(K9^2+(N9^2)/12)</f>
        <v>0.5255273901553188</v>
      </c>
      <c r="AI9" s="351">
        <f t="shared" ref="AI9:AI40" si="18">Rdson2*AH9^2</f>
        <v>9.1139082475142014E-4</v>
      </c>
      <c r="AJ9" s="351">
        <f t="shared" ref="AJ9:AJ40" si="19">IF(K9&lt;N9/2,Deadtime1*Fsw*IF(VfdSky_Q2&gt;0,0,Vsd_Q2)*O9,(Deadtime1+Deadtime2)*Fsw*IF(VfdSky_Q2&gt;0,0,Vsd_Q2)*K9)</f>
        <v>6.0374999999999986E-3</v>
      </c>
      <c r="AK9" s="351">
        <f t="shared" ref="AK9:AK40" si="20">(AJ9+AI9*(1+RdsonBotTc*Ta-RdsonBotTc*25))/(1-AI9*RdsonBotTc*ThetaJA_Q2)</f>
        <v>6.94990427739003E-3</v>
      </c>
      <c r="AL9" s="351">
        <f t="shared" ref="AL9:AL40" si="21">(Deadtime1+Deadtime2)*Fsw*IF(VfdSky_Q2&gt;0,VfdSky_Q2,Vsd_Q2)*K9</f>
        <v>0</v>
      </c>
      <c r="AM9" s="351">
        <f t="shared" ref="AM9:AM40" si="22">IF(QrrSky_Q2&gt;0,QrrSky_Q2,Qrr_Q2*K9/(Iout/Number_of_Phases))*Fsw*Vin</f>
        <v>0</v>
      </c>
      <c r="AN9" s="351">
        <f t="shared" ref="AN9:AN40" si="23">CHOOSE(SENSING_TYPE, Rs*R9^2, 0)</f>
        <v>2.8818682205578499E-3</v>
      </c>
      <c r="AO9" s="351">
        <f t="shared" ref="AO9:AO40" si="24">Iq*Vin</f>
        <v>8.3999999999999993E-4</v>
      </c>
      <c r="AP9" s="351">
        <f>'Variable Management'!$B$346</f>
        <v>0.41183999999999998</v>
      </c>
      <c r="AQ9" s="351">
        <f t="shared" ref="AQ9:AQ72" si="25">(Vin-VCC)*Fsw*(Qg_Q1+Qg_Q2)+(RdsonDRT+RdsonDRT2)*Fsw*Qg_Q1*VCC/(RdsonDRT+2*Rgate1+RdsonDRT2)+(RdsonDRB+RdsonDRB2)*Fsw*Qg_Q2*VCC/(RdsonDRB+2*Rgate2+RdsonDRB2)</f>
        <v>0.36108727954971853</v>
      </c>
      <c r="AR9" s="351">
        <f t="shared" ref="AR9:AR40" si="26">(Qg_Q1+Qg_Q2)*Fsw*(Vin-Vout)</f>
        <v>0.35521199999999997</v>
      </c>
      <c r="AS9" s="351">
        <f t="shared" ref="AS9:AS40" si="27">SUM(AO9:AP9)</f>
        <v>0.41267999999999999</v>
      </c>
      <c r="AT9" s="351">
        <f t="shared" ref="AT9:AT40" si="28" xml:space="preserve"> SUM(U9,X9,AA9,AG9,AK9,AL9,AM9,AS9,AN9)</f>
        <v>1.0878411956596272</v>
      </c>
      <c r="AU9">
        <f t="shared" ref="AU9:AU40" si="29">Vout*K9</f>
        <v>0</v>
      </c>
      <c r="AV9" s="521">
        <f>AU9/(AU9+AT9)</f>
        <v>0</v>
      </c>
      <c r="AW9" s="530">
        <f t="shared" ref="AW9:AW40" si="30">ThetaJA_Q1*BC9</f>
        <v>0.27486416672096264</v>
      </c>
      <c r="AX9" s="530">
        <f t="shared" ref="AX9:AX40" si="31">ThetaJA_Q2*BD9</f>
        <v>0.27799617109560121</v>
      </c>
      <c r="AZ9" s="4">
        <f>AV9*100</f>
        <v>0</v>
      </c>
      <c r="BA9" s="351">
        <f t="shared" ref="BA9:BA40" si="32">U9</f>
        <v>0.65842685604199169</v>
      </c>
      <c r="BB9" s="351">
        <f t="shared" ref="BB9:BB40" si="33">AG9+AK9+AM9</f>
        <v>1.3494289199317711E-2</v>
      </c>
      <c r="BC9" s="351">
        <f t="shared" ref="BC9:BC40" si="34">AG9+AM9*0.66</f>
        <v>6.5443849219276821E-3</v>
      </c>
      <c r="BD9" s="351">
        <f t="shared" ref="BD9:BD40" si="35">AK9+AM9*0.33</f>
        <v>6.94990427739003E-3</v>
      </c>
      <c r="BE9" s="351">
        <f t="shared" ref="BE9:BE40" si="36">AN9</f>
        <v>2.8818682205578499E-3</v>
      </c>
      <c r="BJ9" s="18"/>
      <c r="BK9" s="18"/>
      <c r="BL9" s="18"/>
      <c r="BM9" s="19"/>
    </row>
    <row r="10" spans="1:65" x14ac:dyDescent="0.25">
      <c r="A10" s="475"/>
      <c r="B10" s="24"/>
      <c r="C10" s="16"/>
      <c r="D10" s="17"/>
      <c r="G10">
        <v>1</v>
      </c>
      <c r="H10" s="527">
        <f t="shared" si="0"/>
        <v>24</v>
      </c>
      <c r="I10" s="4">
        <f t="shared" si="1"/>
        <v>1</v>
      </c>
      <c r="J10" s="351">
        <f t="shared" ref="J10:J41" si="37">Iout*G10/100</f>
        <v>0.05</v>
      </c>
      <c r="K10" s="351">
        <f t="shared" si="2"/>
        <v>0.05</v>
      </c>
      <c r="L10" s="4">
        <f t="shared" si="3"/>
        <v>7.6388888888888886E-3</v>
      </c>
      <c r="M10" s="351">
        <f t="shared" si="4"/>
        <v>0.13757747903753495</v>
      </c>
      <c r="N10" s="4">
        <f t="shared" si="5"/>
        <v>1.9611589099020177</v>
      </c>
      <c r="O10" s="4">
        <f t="shared" ref="O10:O73" si="38">K10+N10/2</f>
        <v>1.0305794549510088</v>
      </c>
      <c r="P10" s="4">
        <f t="shared" ref="P10:P73" si="39">K10-N10/2</f>
        <v>-0.9305794549510088</v>
      </c>
      <c r="Q10" s="4">
        <f t="shared" si="6"/>
        <v>24</v>
      </c>
      <c r="R10" s="4">
        <f t="shared" ref="R10:R73" si="40">SQRT(K10^2+(N10^2)/12)</f>
        <v>0.5683414664536387</v>
      </c>
      <c r="S10" s="351">
        <f t="shared" si="7"/>
        <v>8.0753005622668135E-3</v>
      </c>
      <c r="T10" s="351">
        <f t="shared" si="8"/>
        <v>0.65</v>
      </c>
      <c r="U10" s="351">
        <f t="shared" si="9"/>
        <v>0.65850070785317727</v>
      </c>
      <c r="V10" s="4">
        <f t="shared" ref="V10:V73" si="41">N10/SQRT(12)</f>
        <v>0.56613781227778148</v>
      </c>
      <c r="W10" s="351">
        <f t="shared" si="10"/>
        <v>3.2051202249067258E-4</v>
      </c>
      <c r="X10" s="351">
        <f t="shared" ref="X10:X73" si="42">W10</f>
        <v>3.2051202249067258E-4</v>
      </c>
      <c r="Y10" s="4">
        <f t="shared" ref="Y10:Y73" si="43">SQRT(M10*(1-M10))*SQRT(K10^2+(N10^2)/12)</f>
        <v>0.19576861196871512</v>
      </c>
      <c r="Z10" s="351">
        <f t="shared" si="11"/>
        <v>3.8325349432157346E-5</v>
      </c>
      <c r="AA10" s="520">
        <f t="shared" ref="AA10:AA73" si="44">Z10</f>
        <v>3.8325349432157346E-5</v>
      </c>
      <c r="AB10" s="351">
        <f t="shared" ref="AB10:AB73" si="45">SQRT(M10)*SQRT(K10^2+(N10^2)/12)</f>
        <v>0.21080602399619008</v>
      </c>
      <c r="AC10" s="351">
        <f t="shared" si="12"/>
        <v>5.1105056716044608E-4</v>
      </c>
      <c r="AD10" s="351">
        <f t="shared" si="13"/>
        <v>1.9550142857142861E-3</v>
      </c>
      <c r="AE10" s="351">
        <f t="shared" si="14"/>
        <v>0</v>
      </c>
      <c r="AF10" s="351">
        <f t="shared" si="15"/>
        <v>5.7323694424982136E-3</v>
      </c>
      <c r="AG10" s="351">
        <f t="shared" si="16"/>
        <v>8.199138244646971E-3</v>
      </c>
      <c r="AH10" s="351">
        <f t="shared" si="17"/>
        <v>0.52780000259339732</v>
      </c>
      <c r="AI10" s="351">
        <f t="shared" si="18"/>
        <v>9.1929038103404765E-4</v>
      </c>
      <c r="AJ10" s="351">
        <f t="shared" si="19"/>
        <v>6.3483694424982138E-3</v>
      </c>
      <c r="AK10" s="351">
        <f t="shared" si="20"/>
        <v>7.2687289551499916E-3</v>
      </c>
      <c r="AL10" s="351">
        <f t="shared" si="21"/>
        <v>6.1600000000000001E-4</v>
      </c>
      <c r="AM10" s="351">
        <f t="shared" si="22"/>
        <v>7.7088E-3</v>
      </c>
      <c r="AN10" s="351">
        <f t="shared" si="23"/>
        <v>2.9071082024160525E-3</v>
      </c>
      <c r="AO10" s="351">
        <f t="shared" si="24"/>
        <v>8.3999999999999993E-4</v>
      </c>
      <c r="AP10" s="351">
        <f>'Variable Management'!$B$346</f>
        <v>0.41183999999999998</v>
      </c>
      <c r="AQ10" s="351">
        <f t="shared" si="25"/>
        <v>0.36108727954971853</v>
      </c>
      <c r="AR10" s="351">
        <f t="shared" si="26"/>
        <v>0.35521199999999997</v>
      </c>
      <c r="AS10" s="351">
        <f t="shared" si="27"/>
        <v>0.41267999999999999</v>
      </c>
      <c r="AT10" s="351">
        <f t="shared" si="28"/>
        <v>1.0982393206273131</v>
      </c>
      <c r="AU10">
        <f t="shared" si="29"/>
        <v>0.16500000000000001</v>
      </c>
      <c r="AV10" s="521">
        <f t="shared" ref="AV10:AV73" si="46">AU10/(AU10+AT10)</f>
        <v>0.1306165801726806</v>
      </c>
      <c r="AW10" s="530">
        <f t="shared" si="30"/>
        <v>0.55805174227517274</v>
      </c>
      <c r="AX10" s="530">
        <f t="shared" si="31"/>
        <v>0.39250531820599965</v>
      </c>
      <c r="AY10" s="9"/>
      <c r="AZ10" s="4">
        <f t="shared" ref="AZ10:AZ73" si="47">AV10*100</f>
        <v>13.06165801726806</v>
      </c>
      <c r="BA10" s="351">
        <f t="shared" si="32"/>
        <v>0.65850070785317727</v>
      </c>
      <c r="BB10" s="351">
        <f t="shared" si="33"/>
        <v>2.3176667199796962E-2</v>
      </c>
      <c r="BC10" s="351">
        <f t="shared" si="34"/>
        <v>1.328694624464697E-2</v>
      </c>
      <c r="BD10" s="351">
        <f t="shared" si="35"/>
        <v>9.812632955149992E-3</v>
      </c>
      <c r="BE10" s="351">
        <f t="shared" si="36"/>
        <v>2.9071082024160525E-3</v>
      </c>
      <c r="BJ10" s="18"/>
      <c r="BK10" s="18"/>
      <c r="BL10" s="18"/>
      <c r="BM10" s="19"/>
    </row>
    <row r="11" spans="1:65" x14ac:dyDescent="0.25">
      <c r="A11" s="20" t="s">
        <v>3</v>
      </c>
      <c r="B11" s="5">
        <f>Vin</f>
        <v>24</v>
      </c>
      <c r="C11" s="427" t="s">
        <v>0</v>
      </c>
      <c r="D11" s="21" t="s">
        <v>3</v>
      </c>
      <c r="G11">
        <v>2</v>
      </c>
      <c r="H11" s="527">
        <f t="shared" si="0"/>
        <v>24</v>
      </c>
      <c r="I11" s="4">
        <f t="shared" si="1"/>
        <v>1</v>
      </c>
      <c r="J11" s="351">
        <f t="shared" si="37"/>
        <v>0.1</v>
      </c>
      <c r="K11" s="351">
        <f t="shared" si="2"/>
        <v>0.1</v>
      </c>
      <c r="L11" s="4">
        <f t="shared" si="3"/>
        <v>1.5277777777777777E-2</v>
      </c>
      <c r="M11" s="351">
        <f t="shared" si="4"/>
        <v>0.13765495781680726</v>
      </c>
      <c r="N11" s="4">
        <f t="shared" si="5"/>
        <v>1.9620903486307704</v>
      </c>
      <c r="O11" s="4">
        <f t="shared" si="38"/>
        <v>1.0810451743153853</v>
      </c>
      <c r="P11" s="4">
        <f t="shared" si="39"/>
        <v>-0.8810451743153852</v>
      </c>
      <c r="Q11" s="4">
        <f t="shared" si="6"/>
        <v>24</v>
      </c>
      <c r="R11" s="4">
        <f t="shared" si="40"/>
        <v>0.57516653647661165</v>
      </c>
      <c r="S11" s="351">
        <f t="shared" si="7"/>
        <v>8.2704136170625355E-3</v>
      </c>
      <c r="T11" s="351">
        <f t="shared" si="8"/>
        <v>0.65</v>
      </c>
      <c r="U11" s="351">
        <f t="shared" si="9"/>
        <v>0.65870623545861295</v>
      </c>
      <c r="V11" s="4">
        <f t="shared" si="41"/>
        <v>0.56640669547817102</v>
      </c>
      <c r="W11" s="351">
        <f t="shared" si="10"/>
        <v>3.2081654468250155E-4</v>
      </c>
      <c r="X11" s="351">
        <f t="shared" si="42"/>
        <v>3.2081654468250155E-4</v>
      </c>
      <c r="Y11" s="4">
        <f t="shared" si="43"/>
        <v>0.19816642511865107</v>
      </c>
      <c r="Z11" s="351">
        <f t="shared" si="11"/>
        <v>3.9269932044305945E-5</v>
      </c>
      <c r="AA11" s="520">
        <f t="shared" si="44"/>
        <v>3.9269932044305945E-5</v>
      </c>
      <c r="AB11" s="351">
        <f t="shared" si="45"/>
        <v>0.21339760425874438</v>
      </c>
      <c r="AC11" s="351">
        <f t="shared" si="12"/>
        <v>5.2369318128877424E-4</v>
      </c>
      <c r="AD11" s="351">
        <f t="shared" si="13"/>
        <v>3.9100285714285723E-3</v>
      </c>
      <c r="AE11" s="351">
        <f t="shared" si="14"/>
        <v>0</v>
      </c>
      <c r="AF11" s="351">
        <f t="shared" si="15"/>
        <v>5.4272382737827725E-3</v>
      </c>
      <c r="AG11" s="351">
        <f t="shared" si="16"/>
        <v>9.8618276745807004E-3</v>
      </c>
      <c r="AH11" s="351">
        <f t="shared" si="17"/>
        <v>0.53411422671478215</v>
      </c>
      <c r="AI11" s="351">
        <f t="shared" si="18"/>
        <v>9.4141742369112803E-4</v>
      </c>
      <c r="AJ11" s="351">
        <f t="shared" si="19"/>
        <v>6.659238273782773E-3</v>
      </c>
      <c r="AK11" s="351">
        <f t="shared" si="20"/>
        <v>7.6018007322996312E-3</v>
      </c>
      <c r="AL11" s="351">
        <f t="shared" si="21"/>
        <v>1.232E-3</v>
      </c>
      <c r="AM11" s="351">
        <f t="shared" si="22"/>
        <v>1.54176E-2</v>
      </c>
      <c r="AN11" s="351">
        <f t="shared" si="23"/>
        <v>2.9773489021425125E-3</v>
      </c>
      <c r="AO11" s="351">
        <f t="shared" si="24"/>
        <v>8.3999999999999993E-4</v>
      </c>
      <c r="AP11" s="351">
        <f>'Variable Management'!$B$346</f>
        <v>0.41183999999999998</v>
      </c>
      <c r="AQ11" s="351">
        <f t="shared" si="25"/>
        <v>0.36108727954971853</v>
      </c>
      <c r="AR11" s="351">
        <f t="shared" si="26"/>
        <v>0.35521199999999997</v>
      </c>
      <c r="AS11" s="351">
        <f t="shared" si="27"/>
        <v>0.41267999999999999</v>
      </c>
      <c r="AT11" s="351">
        <f t="shared" si="28"/>
        <v>1.1088368992443627</v>
      </c>
      <c r="AU11">
        <f t="shared" si="29"/>
        <v>0.33</v>
      </c>
      <c r="AV11" s="521">
        <f t="shared" si="46"/>
        <v>0.22935191624103252</v>
      </c>
      <c r="AW11" s="530">
        <f t="shared" si="30"/>
        <v>0.84157263433238938</v>
      </c>
      <c r="AX11" s="530">
        <f t="shared" si="31"/>
        <v>0.50758434929198526</v>
      </c>
      <c r="AY11" s="9"/>
      <c r="AZ11" s="4">
        <f t="shared" si="47"/>
        <v>22.935191624103251</v>
      </c>
      <c r="BA11" s="351">
        <f t="shared" si="32"/>
        <v>0.65870623545861295</v>
      </c>
      <c r="BB11" s="351">
        <f t="shared" si="33"/>
        <v>3.2881228406880333E-2</v>
      </c>
      <c r="BC11" s="351">
        <f t="shared" si="34"/>
        <v>2.0037443674580699E-2</v>
      </c>
      <c r="BD11" s="351">
        <f t="shared" si="35"/>
        <v>1.2689608732299632E-2</v>
      </c>
      <c r="BE11" s="351">
        <f t="shared" si="36"/>
        <v>2.9773489021425125E-3</v>
      </c>
      <c r="BJ11" s="18"/>
      <c r="BK11" s="18"/>
      <c r="BL11" s="18"/>
      <c r="BM11" s="19"/>
    </row>
    <row r="12" spans="1:65" x14ac:dyDescent="0.25">
      <c r="A12" s="22" t="s">
        <v>4</v>
      </c>
      <c r="B12" s="5">
        <f>Vout</f>
        <v>3.3</v>
      </c>
      <c r="C12" s="427" t="s">
        <v>0</v>
      </c>
      <c r="D12" s="21" t="s">
        <v>4</v>
      </c>
      <c r="G12">
        <v>3</v>
      </c>
      <c r="H12" s="527">
        <f t="shared" si="0"/>
        <v>24</v>
      </c>
      <c r="I12" s="4">
        <f t="shared" si="1"/>
        <v>1</v>
      </c>
      <c r="J12" s="351">
        <f t="shared" si="37"/>
        <v>0.15</v>
      </c>
      <c r="K12" s="351">
        <f t="shared" si="2"/>
        <v>0.15</v>
      </c>
      <c r="L12" s="4">
        <f t="shared" si="3"/>
        <v>2.2916666666666662E-2</v>
      </c>
      <c r="M12" s="351">
        <f t="shared" si="4"/>
        <v>0.13773243633781831</v>
      </c>
      <c r="N12" s="4">
        <f t="shared" si="5"/>
        <v>1.9630215889145246</v>
      </c>
      <c r="O12" s="4">
        <f t="shared" si="38"/>
        <v>1.1315107944572622</v>
      </c>
      <c r="P12" s="4">
        <f t="shared" si="39"/>
        <v>-0.83151079445726228</v>
      </c>
      <c r="Q12" s="4">
        <f t="shared" si="6"/>
        <v>24</v>
      </c>
      <c r="R12" s="4">
        <f t="shared" si="40"/>
        <v>0.58619207308302579</v>
      </c>
      <c r="S12" s="351">
        <f t="shared" si="7"/>
        <v>8.5905286636343871E-3</v>
      </c>
      <c r="T12" s="351">
        <f t="shared" si="8"/>
        <v>0.65</v>
      </c>
      <c r="U12" s="351">
        <f t="shared" si="9"/>
        <v>0.65904345119628105</v>
      </c>
      <c r="V12" s="4">
        <f t="shared" si="41"/>
        <v>0.56667552139242383</v>
      </c>
      <c r="W12" s="351">
        <f t="shared" si="10"/>
        <v>3.2112114654537539E-4</v>
      </c>
      <c r="X12" s="351">
        <f t="shared" si="42"/>
        <v>3.2112114654537539E-4</v>
      </c>
      <c r="Y12" s="4">
        <f t="shared" si="43"/>
        <v>0.20201288959635288</v>
      </c>
      <c r="Z12" s="351">
        <f t="shared" si="11"/>
        <v>4.0809207563068257E-5</v>
      </c>
      <c r="AA12" s="520">
        <f t="shared" si="44"/>
        <v>4.0809207563068257E-5</v>
      </c>
      <c r="AB12" s="351">
        <f t="shared" si="45"/>
        <v>0.21754948331561044</v>
      </c>
      <c r="AC12" s="351">
        <f t="shared" si="12"/>
        <v>5.4426944344522434E-4</v>
      </c>
      <c r="AD12" s="351">
        <f t="shared" si="13"/>
        <v>5.8650428571428567E-3</v>
      </c>
      <c r="AE12" s="351">
        <f t="shared" si="14"/>
        <v>0</v>
      </c>
      <c r="AF12" s="351">
        <f t="shared" si="15"/>
        <v>5.1221064938567354E-3</v>
      </c>
      <c r="AG12" s="351">
        <f t="shared" si="16"/>
        <v>1.1532473292278633E-2</v>
      </c>
      <c r="AH12" s="351">
        <f t="shared" si="17"/>
        <v>0.54432836491816805</v>
      </c>
      <c r="AI12" s="351">
        <f t="shared" si="18"/>
        <v>9.7776811721980478E-4</v>
      </c>
      <c r="AJ12" s="351">
        <f t="shared" si="19"/>
        <v>6.9701064938567352E-3</v>
      </c>
      <c r="AK12" s="351">
        <f t="shared" si="20"/>
        <v>7.9491181941693835E-3</v>
      </c>
      <c r="AL12" s="351">
        <f t="shared" si="21"/>
        <v>1.8479999999999998E-3</v>
      </c>
      <c r="AM12" s="351">
        <f t="shared" si="22"/>
        <v>2.3126399999999998E-2</v>
      </c>
      <c r="AN12" s="351">
        <f t="shared" si="23"/>
        <v>3.092590318908379E-3</v>
      </c>
      <c r="AO12" s="351">
        <f t="shared" si="24"/>
        <v>8.3999999999999993E-4</v>
      </c>
      <c r="AP12" s="351">
        <f>'Variable Management'!$B$346</f>
        <v>0.41183999999999998</v>
      </c>
      <c r="AQ12" s="351">
        <f t="shared" si="25"/>
        <v>0.36108727954971853</v>
      </c>
      <c r="AR12" s="351">
        <f t="shared" si="26"/>
        <v>0.35521199999999997</v>
      </c>
      <c r="AS12" s="351">
        <f t="shared" si="27"/>
        <v>0.41267999999999999</v>
      </c>
      <c r="AT12" s="351">
        <f t="shared" si="28"/>
        <v>1.1196339633557457</v>
      </c>
      <c r="AU12">
        <f t="shared" si="29"/>
        <v>0.49499999999999994</v>
      </c>
      <c r="AV12" s="521">
        <f t="shared" si="46"/>
        <v>0.30657103172240074</v>
      </c>
      <c r="AW12" s="530">
        <f t="shared" si="30"/>
        <v>1.1254276862757024</v>
      </c>
      <c r="AX12" s="530">
        <f t="shared" si="31"/>
        <v>0.62323320776677527</v>
      </c>
      <c r="AY12" s="9"/>
      <c r="AZ12" s="4">
        <f t="shared" si="47"/>
        <v>30.657103172240074</v>
      </c>
      <c r="BA12" s="351">
        <f t="shared" si="32"/>
        <v>0.65904345119628105</v>
      </c>
      <c r="BB12" s="351">
        <f t="shared" si="33"/>
        <v>4.2607991486448019E-2</v>
      </c>
      <c r="BC12" s="351">
        <f t="shared" si="34"/>
        <v>2.6795897292278631E-2</v>
      </c>
      <c r="BD12" s="351">
        <f t="shared" si="35"/>
        <v>1.5580830194169382E-2</v>
      </c>
      <c r="BE12" s="351">
        <f t="shared" si="36"/>
        <v>3.092590318908379E-3</v>
      </c>
      <c r="BJ12" s="18"/>
      <c r="BK12" s="18"/>
      <c r="BL12" s="18"/>
      <c r="BM12" s="19"/>
    </row>
    <row r="13" spans="1:65" x14ac:dyDescent="0.25">
      <c r="A13" s="22" t="s">
        <v>6</v>
      </c>
      <c r="B13" s="5">
        <f>Fsw/1000</f>
        <v>440</v>
      </c>
      <c r="C13" s="427" t="s">
        <v>2</v>
      </c>
      <c r="D13" s="21" t="s">
        <v>94</v>
      </c>
      <c r="G13">
        <v>4</v>
      </c>
      <c r="H13" s="527">
        <f t="shared" si="0"/>
        <v>24</v>
      </c>
      <c r="I13" s="4">
        <f t="shared" si="1"/>
        <v>1</v>
      </c>
      <c r="J13" s="351">
        <f t="shared" si="37"/>
        <v>0.2</v>
      </c>
      <c r="K13" s="351">
        <f t="shared" si="2"/>
        <v>0.2</v>
      </c>
      <c r="L13" s="4">
        <f t="shared" si="3"/>
        <v>3.0555555555555555E-2</v>
      </c>
      <c r="M13" s="351">
        <f t="shared" si="4"/>
        <v>0.13780991460056932</v>
      </c>
      <c r="N13" s="4">
        <f t="shared" si="5"/>
        <v>1.9639526307542703</v>
      </c>
      <c r="O13" s="4">
        <f t="shared" si="38"/>
        <v>1.1819763153771352</v>
      </c>
      <c r="P13" s="4">
        <f t="shared" si="39"/>
        <v>-0.78197631537713508</v>
      </c>
      <c r="Q13" s="4">
        <f t="shared" si="6"/>
        <v>24</v>
      </c>
      <c r="R13" s="4">
        <f t="shared" si="40"/>
        <v>0.60118701581722322</v>
      </c>
      <c r="S13" s="351">
        <f t="shared" si="7"/>
        <v>9.0356456996804561E-3</v>
      </c>
      <c r="T13" s="351">
        <f t="shared" si="8"/>
        <v>0.65</v>
      </c>
      <c r="U13" s="351">
        <f t="shared" si="9"/>
        <v>0.65951237531231055</v>
      </c>
      <c r="V13" s="4">
        <f t="shared" si="41"/>
        <v>0.5669442900208258</v>
      </c>
      <c r="W13" s="351">
        <f t="shared" si="10"/>
        <v>3.2142582798721825E-4</v>
      </c>
      <c r="X13" s="351">
        <f t="shared" si="42"/>
        <v>3.2142582798721825E-4</v>
      </c>
      <c r="Y13" s="4">
        <f t="shared" si="43"/>
        <v>0.20722938414057082</v>
      </c>
      <c r="Z13" s="351">
        <f t="shared" si="11"/>
        <v>4.2944017651280266E-5</v>
      </c>
      <c r="AA13" s="520">
        <f t="shared" si="44"/>
        <v>4.2944017651280266E-5</v>
      </c>
      <c r="AB13" s="351">
        <f t="shared" si="45"/>
        <v>0.22317719975248052</v>
      </c>
      <c r="AC13" s="351">
        <f t="shared" si="12"/>
        <v>5.727927186276238E-4</v>
      </c>
      <c r="AD13" s="351">
        <f t="shared" si="13"/>
        <v>7.8200571428571446E-3</v>
      </c>
      <c r="AE13" s="351">
        <f t="shared" si="14"/>
        <v>0</v>
      </c>
      <c r="AF13" s="351">
        <f t="shared" si="15"/>
        <v>4.8169741027231519E-3</v>
      </c>
      <c r="AG13" s="351">
        <f t="shared" si="16"/>
        <v>1.3211095257028198E-2</v>
      </c>
      <c r="AH13" s="351">
        <f t="shared" si="17"/>
        <v>0.55822734212671776</v>
      </c>
      <c r="AI13" s="351">
        <f t="shared" si="18"/>
        <v>1.0283386261429365E-3</v>
      </c>
      <c r="AJ13" s="351">
        <f t="shared" si="19"/>
        <v>7.2809741027231529E-3</v>
      </c>
      <c r="AK13" s="351">
        <f t="shared" si="20"/>
        <v>8.3106801198063653E-3</v>
      </c>
      <c r="AL13" s="351">
        <f t="shared" si="21"/>
        <v>2.464E-3</v>
      </c>
      <c r="AM13" s="351">
        <f t="shared" si="22"/>
        <v>3.08352E-2</v>
      </c>
      <c r="AN13" s="351">
        <f t="shared" si="23"/>
        <v>3.2528324518849637E-3</v>
      </c>
      <c r="AO13" s="351">
        <f t="shared" si="24"/>
        <v>8.3999999999999993E-4</v>
      </c>
      <c r="AP13" s="351">
        <f>'Variable Management'!$B$346</f>
        <v>0.41183999999999998</v>
      </c>
      <c r="AQ13" s="351">
        <f t="shared" si="25"/>
        <v>0.36108727954971853</v>
      </c>
      <c r="AR13" s="351">
        <f t="shared" si="26"/>
        <v>0.35521199999999997</v>
      </c>
      <c r="AS13" s="351">
        <f t="shared" si="27"/>
        <v>0.41267999999999999</v>
      </c>
      <c r="AT13" s="351">
        <f t="shared" si="28"/>
        <v>1.1306305529866687</v>
      </c>
      <c r="AU13">
        <f t="shared" si="29"/>
        <v>0.66</v>
      </c>
      <c r="AV13" s="521">
        <f t="shared" si="46"/>
        <v>0.36858524439849305</v>
      </c>
      <c r="AW13" s="530">
        <f t="shared" si="30"/>
        <v>1.4096177447951843</v>
      </c>
      <c r="AX13" s="530">
        <f t="shared" si="31"/>
        <v>0.73945184479225468</v>
      </c>
      <c r="AY13" s="9"/>
      <c r="AZ13" s="4">
        <f t="shared" si="47"/>
        <v>36.858524439849305</v>
      </c>
      <c r="BA13" s="351">
        <f t="shared" si="32"/>
        <v>0.65951237531231055</v>
      </c>
      <c r="BB13" s="351">
        <f t="shared" si="33"/>
        <v>5.2356975376834564E-2</v>
      </c>
      <c r="BC13" s="351">
        <f t="shared" si="34"/>
        <v>3.35623272570282E-2</v>
      </c>
      <c r="BD13" s="351">
        <f t="shared" si="35"/>
        <v>1.8486296119806366E-2</v>
      </c>
      <c r="BE13" s="351">
        <f t="shared" si="36"/>
        <v>3.2528324518849637E-3</v>
      </c>
      <c r="BJ13" s="18"/>
      <c r="BK13" s="18"/>
      <c r="BL13" s="18"/>
      <c r="BM13" s="19"/>
    </row>
    <row r="14" spans="1:65" x14ac:dyDescent="0.25">
      <c r="A14" s="22" t="s">
        <v>5</v>
      </c>
      <c r="B14" s="5">
        <f>Iout</f>
        <v>5</v>
      </c>
      <c r="C14" s="427" t="s">
        <v>1</v>
      </c>
      <c r="D14" s="21" t="s">
        <v>95</v>
      </c>
      <c r="G14">
        <v>5</v>
      </c>
      <c r="H14" s="527">
        <f t="shared" si="0"/>
        <v>24</v>
      </c>
      <c r="I14" s="4">
        <f t="shared" si="1"/>
        <v>1</v>
      </c>
      <c r="J14" s="351">
        <f t="shared" si="37"/>
        <v>0.25</v>
      </c>
      <c r="K14" s="351">
        <f t="shared" si="2"/>
        <v>0.25</v>
      </c>
      <c r="L14" s="4">
        <f t="shared" si="3"/>
        <v>3.8194444444444441E-2</v>
      </c>
      <c r="M14" s="351">
        <f t="shared" si="4"/>
        <v>0.13788739260506161</v>
      </c>
      <c r="N14" s="4">
        <f t="shared" si="5"/>
        <v>1.9648834741510015</v>
      </c>
      <c r="O14" s="4">
        <f t="shared" si="38"/>
        <v>1.2324417370755008</v>
      </c>
      <c r="P14" s="4">
        <f t="shared" si="39"/>
        <v>-0.73244173707550075</v>
      </c>
      <c r="Q14" s="4">
        <f t="shared" si="6"/>
        <v>24</v>
      </c>
      <c r="R14" s="4">
        <f t="shared" si="40"/>
        <v>0.61986336310188217</v>
      </c>
      <c r="S14" s="351">
        <f t="shared" si="7"/>
        <v>9.6057647228993959E-3</v>
      </c>
      <c r="T14" s="351">
        <f t="shared" si="8"/>
        <v>0.65</v>
      </c>
      <c r="U14" s="351">
        <f t="shared" si="9"/>
        <v>0.6601130359640186</v>
      </c>
      <c r="V14" s="4">
        <f t="shared" si="41"/>
        <v>0.56721300136366393</v>
      </c>
      <c r="W14" s="351">
        <f t="shared" si="10"/>
        <v>3.2173058891597582E-4</v>
      </c>
      <c r="X14" s="351">
        <f t="shared" si="42"/>
        <v>3.2173058891597582E-4</v>
      </c>
      <c r="Y14" s="4">
        <f t="shared" si="43"/>
        <v>0.21371757907569022</v>
      </c>
      <c r="Z14" s="351">
        <f t="shared" si="11"/>
        <v>4.5675203605973904E-5</v>
      </c>
      <c r="AA14" s="520">
        <f t="shared" si="44"/>
        <v>4.5675203605973904E-5</v>
      </c>
      <c r="AB14" s="351">
        <f t="shared" si="45"/>
        <v>0.2301750509171904</v>
      </c>
      <c r="AC14" s="351">
        <f t="shared" si="12"/>
        <v>6.0927637174440865E-4</v>
      </c>
      <c r="AD14" s="351">
        <f t="shared" si="13"/>
        <v>9.7750714285714281E-3</v>
      </c>
      <c r="AE14" s="351">
        <f t="shared" si="14"/>
        <v>0</v>
      </c>
      <c r="AF14" s="351">
        <f t="shared" si="15"/>
        <v>4.5118411003850847E-3</v>
      </c>
      <c r="AG14" s="351">
        <f t="shared" si="16"/>
        <v>1.4897713807303575E-2</v>
      </c>
      <c r="AH14" s="351">
        <f t="shared" si="17"/>
        <v>0.57554325193789269</v>
      </c>
      <c r="AI14" s="351">
        <f t="shared" si="18"/>
        <v>1.0931251150091072E-3</v>
      </c>
      <c r="AJ14" s="351">
        <f t="shared" si="19"/>
        <v>7.5918411003850841E-3</v>
      </c>
      <c r="AK14" s="351">
        <f t="shared" si="20"/>
        <v>8.6864854818648127E-3</v>
      </c>
      <c r="AL14" s="351">
        <f t="shared" si="21"/>
        <v>3.0799999999999998E-3</v>
      </c>
      <c r="AM14" s="351">
        <f t="shared" si="22"/>
        <v>3.8544000000000009E-2</v>
      </c>
      <c r="AN14" s="351">
        <f t="shared" si="23"/>
        <v>3.4580753002437822E-3</v>
      </c>
      <c r="AO14" s="351">
        <f t="shared" si="24"/>
        <v>8.3999999999999993E-4</v>
      </c>
      <c r="AP14" s="351">
        <f>'Variable Management'!$B$346</f>
        <v>0.41183999999999998</v>
      </c>
      <c r="AQ14" s="351">
        <f t="shared" si="25"/>
        <v>0.36108727954971853</v>
      </c>
      <c r="AR14" s="351">
        <f t="shared" si="26"/>
        <v>0.35521199999999997</v>
      </c>
      <c r="AS14" s="351">
        <f t="shared" si="27"/>
        <v>0.41267999999999999</v>
      </c>
      <c r="AT14" s="351">
        <f t="shared" si="28"/>
        <v>1.1418267163459526</v>
      </c>
      <c r="AU14">
        <f t="shared" si="29"/>
        <v>0.82499999999999996</v>
      </c>
      <c r="AV14" s="521">
        <f t="shared" si="46"/>
        <v>0.41945738948102007</v>
      </c>
      <c r="AW14" s="530">
        <f t="shared" si="30"/>
        <v>1.6941436599067503</v>
      </c>
      <c r="AX14" s="530">
        <f t="shared" si="31"/>
        <v>0.85624021927459271</v>
      </c>
      <c r="AY14" s="9"/>
      <c r="AZ14" s="4">
        <f t="shared" si="47"/>
        <v>41.945738948102004</v>
      </c>
      <c r="BA14" s="351">
        <f t="shared" si="32"/>
        <v>0.6601130359640186</v>
      </c>
      <c r="BB14" s="351">
        <f t="shared" si="33"/>
        <v>6.2128199289168393E-2</v>
      </c>
      <c r="BC14" s="351">
        <f t="shared" si="34"/>
        <v>4.0336753807303581E-2</v>
      </c>
      <c r="BD14" s="351">
        <f t="shared" si="35"/>
        <v>2.1406005481864818E-2</v>
      </c>
      <c r="BE14" s="351">
        <f t="shared" si="36"/>
        <v>3.4580753002437822E-3</v>
      </c>
      <c r="BJ14" s="18"/>
      <c r="BK14" s="18"/>
      <c r="BL14" s="18"/>
      <c r="BM14" s="19"/>
    </row>
    <row r="15" spans="1:65" x14ac:dyDescent="0.25">
      <c r="A15" s="23" t="s">
        <v>83</v>
      </c>
      <c r="B15" s="5">
        <f>Ta</f>
        <v>25</v>
      </c>
      <c r="C15" s="427" t="s">
        <v>453</v>
      </c>
      <c r="D15" s="21" t="s">
        <v>96</v>
      </c>
      <c r="G15">
        <v>6</v>
      </c>
      <c r="H15" s="527">
        <f t="shared" si="0"/>
        <v>24</v>
      </c>
      <c r="I15" s="4">
        <f t="shared" si="1"/>
        <v>1</v>
      </c>
      <c r="J15" s="351">
        <f t="shared" si="37"/>
        <v>0.3</v>
      </c>
      <c r="K15" s="351">
        <f t="shared" si="2"/>
        <v>0.3</v>
      </c>
      <c r="L15" s="4">
        <f t="shared" si="3"/>
        <v>4.5833333333333323E-2</v>
      </c>
      <c r="M15" s="351">
        <f t="shared" si="4"/>
        <v>0.13796487035129648</v>
      </c>
      <c r="N15" s="4">
        <f t="shared" si="5"/>
        <v>1.9658141191057097</v>
      </c>
      <c r="O15" s="4">
        <f t="shared" si="38"/>
        <v>1.2829070595528549</v>
      </c>
      <c r="P15" s="4">
        <f t="shared" si="39"/>
        <v>-0.6829070595528548</v>
      </c>
      <c r="Q15" s="4">
        <f t="shared" si="6"/>
        <v>22.76356865176183</v>
      </c>
      <c r="R15" s="4">
        <f t="shared" si="40"/>
        <v>0.64189985919893544</v>
      </c>
      <c r="S15" s="351">
        <f t="shared" si="7"/>
        <v>1.030088573099033E-2</v>
      </c>
      <c r="T15" s="351">
        <f t="shared" si="8"/>
        <v>0.65</v>
      </c>
      <c r="U15" s="351">
        <f t="shared" si="9"/>
        <v>0.66084546922413601</v>
      </c>
      <c r="V15" s="4">
        <f t="shared" si="41"/>
        <v>0.56748165542122431</v>
      </c>
      <c r="W15" s="351">
        <f t="shared" si="10"/>
        <v>3.2203542923961318E-4</v>
      </c>
      <c r="X15" s="351">
        <f t="shared" si="42"/>
        <v>3.2203542923961318E-4</v>
      </c>
      <c r="Y15" s="4">
        <f t="shared" si="43"/>
        <v>0.22136758199515733</v>
      </c>
      <c r="Z15" s="351">
        <f t="shared" si="11"/>
        <v>4.9003606358382706E-5</v>
      </c>
      <c r="AA15" s="520">
        <f t="shared" si="44"/>
        <v>4.9003606358382706E-5</v>
      </c>
      <c r="AB15" s="351">
        <f t="shared" si="45"/>
        <v>0.23842486148718639</v>
      </c>
      <c r="AC15" s="351">
        <f t="shared" si="12"/>
        <v>6.5373376761461617E-4</v>
      </c>
      <c r="AD15" s="351">
        <f t="shared" si="13"/>
        <v>1.1730085714285713E-2</v>
      </c>
      <c r="AE15" s="351">
        <f t="shared" si="14"/>
        <v>2.9797870017071494E-2</v>
      </c>
      <c r="AF15" s="351">
        <f t="shared" si="15"/>
        <v>4.2067074868455852E-3</v>
      </c>
      <c r="AG15" s="351">
        <f t="shared" si="16"/>
        <v>4.6393492256555008E-2</v>
      </c>
      <c r="AH15" s="351">
        <f t="shared" si="17"/>
        <v>0.59597736086568687</v>
      </c>
      <c r="AI15" s="351">
        <f t="shared" si="18"/>
        <v>1.1721237483926163E-3</v>
      </c>
      <c r="AJ15" s="351">
        <f t="shared" si="19"/>
        <v>7.9027074868455865E-3</v>
      </c>
      <c r="AK15" s="351">
        <f t="shared" si="20"/>
        <v>9.0765334465031187E-3</v>
      </c>
      <c r="AL15" s="351">
        <f t="shared" si="21"/>
        <v>3.6959999999999996E-3</v>
      </c>
      <c r="AM15" s="351">
        <f t="shared" si="22"/>
        <v>4.6252799999999997E-2</v>
      </c>
      <c r="AN15" s="351">
        <f t="shared" si="23"/>
        <v>3.7083188631565184E-3</v>
      </c>
      <c r="AO15" s="351">
        <f t="shared" si="24"/>
        <v>8.3999999999999993E-4</v>
      </c>
      <c r="AP15" s="351">
        <f>'Variable Management'!$B$346</f>
        <v>0.41183999999999998</v>
      </c>
      <c r="AQ15" s="351">
        <f t="shared" si="25"/>
        <v>0.36108727954971853</v>
      </c>
      <c r="AR15" s="351">
        <f t="shared" si="26"/>
        <v>0.35521199999999997</v>
      </c>
      <c r="AS15" s="351">
        <f t="shared" si="27"/>
        <v>0.41267999999999999</v>
      </c>
      <c r="AT15" s="351">
        <f t="shared" si="28"/>
        <v>1.1830236528259488</v>
      </c>
      <c r="AU15">
        <f t="shared" si="29"/>
        <v>0.98999999999999988</v>
      </c>
      <c r="AV15" s="521">
        <f t="shared" si="46"/>
        <v>0.45558638936697082</v>
      </c>
      <c r="AW15" s="530">
        <f t="shared" si="30"/>
        <v>3.23065429077531</v>
      </c>
      <c r="AX15" s="530">
        <f t="shared" si="31"/>
        <v>0.97359829786012475</v>
      </c>
      <c r="AY15" s="9"/>
      <c r="AZ15" s="4">
        <f t="shared" si="47"/>
        <v>45.558638936697079</v>
      </c>
      <c r="BA15" s="351">
        <f t="shared" si="32"/>
        <v>0.66084546922413601</v>
      </c>
      <c r="BB15" s="351">
        <f t="shared" si="33"/>
        <v>0.10172282570305813</v>
      </c>
      <c r="BC15" s="351">
        <f t="shared" si="34"/>
        <v>7.6920340256555003E-2</v>
      </c>
      <c r="BD15" s="351">
        <f t="shared" si="35"/>
        <v>2.4339957446503118E-2</v>
      </c>
      <c r="BE15" s="351">
        <f t="shared" si="36"/>
        <v>3.7083188631565184E-3</v>
      </c>
      <c r="BJ15" s="18"/>
      <c r="BK15" s="18"/>
      <c r="BL15" s="18"/>
      <c r="BM15" s="19"/>
    </row>
    <row r="16" spans="1:65" x14ac:dyDescent="0.25">
      <c r="A16" s="435" t="s">
        <v>464</v>
      </c>
      <c r="B16" s="5">
        <f>VCC</f>
        <v>5</v>
      </c>
      <c r="C16" s="427" t="s">
        <v>0</v>
      </c>
      <c r="D16" s="427" t="s">
        <v>463</v>
      </c>
      <c r="G16">
        <v>7</v>
      </c>
      <c r="H16" s="527">
        <f t="shared" si="0"/>
        <v>24</v>
      </c>
      <c r="I16" s="4">
        <f t="shared" si="1"/>
        <v>1</v>
      </c>
      <c r="J16" s="351">
        <f t="shared" si="37"/>
        <v>0.35</v>
      </c>
      <c r="K16" s="351">
        <f t="shared" si="2"/>
        <v>0.35</v>
      </c>
      <c r="L16" s="4">
        <f t="shared" si="3"/>
        <v>5.3472222222222213E-2</v>
      </c>
      <c r="M16" s="351">
        <f t="shared" si="4"/>
        <v>0.13804234783927521</v>
      </c>
      <c r="N16" s="4">
        <f t="shared" si="5"/>
        <v>1.9667445656193869</v>
      </c>
      <c r="O16" s="4">
        <f t="shared" si="38"/>
        <v>1.3333722828096934</v>
      </c>
      <c r="P16" s="4">
        <f t="shared" si="39"/>
        <v>-0.63337228280969349</v>
      </c>
      <c r="Q16" s="4">
        <f t="shared" si="6"/>
        <v>21.112409426989785</v>
      </c>
      <c r="R16" s="4">
        <f t="shared" si="40"/>
        <v>0.66696352888753663</v>
      </c>
      <c r="S16" s="351">
        <f t="shared" si="7"/>
        <v>1.1121008721652899E-2</v>
      </c>
      <c r="T16" s="351">
        <f t="shared" si="8"/>
        <v>0.65</v>
      </c>
      <c r="U16" s="351">
        <f t="shared" si="9"/>
        <v>0.66170971908622578</v>
      </c>
      <c r="V16" s="4">
        <f t="shared" si="41"/>
        <v>0.56775025219379338</v>
      </c>
      <c r="W16" s="351">
        <f t="shared" si="10"/>
        <v>3.2234034886611602E-4</v>
      </c>
      <c r="X16" s="351">
        <f t="shared" si="42"/>
        <v>3.2234034886611602E-4</v>
      </c>
      <c r="Y16" s="4">
        <f t="shared" si="43"/>
        <v>0.2300653526151821</v>
      </c>
      <c r="Z16" s="351">
        <f t="shared" si="11"/>
        <v>5.293006647394808E-5</v>
      </c>
      <c r="AA16" s="520">
        <f t="shared" si="44"/>
        <v>5.293006647394808E-5</v>
      </c>
      <c r="AB16" s="351">
        <f t="shared" si="45"/>
        <v>0.24780396722232051</v>
      </c>
      <c r="AC16" s="351">
        <f t="shared" si="12"/>
        <v>7.0617827096789028E-4</v>
      </c>
      <c r="AD16" s="351">
        <f t="shared" si="13"/>
        <v>1.3685099999999999E-2</v>
      </c>
      <c r="AE16" s="351">
        <f t="shared" si="14"/>
        <v>6.9204632869315552E-2</v>
      </c>
      <c r="AF16" s="351">
        <f t="shared" si="15"/>
        <v>3.9015732621077112E-3</v>
      </c>
      <c r="AG16" s="351">
        <f t="shared" si="16"/>
        <v>8.750786615619903E-2</v>
      </c>
      <c r="AH16" s="351">
        <f t="shared" si="17"/>
        <v>0.61922010843882891</v>
      </c>
      <c r="AI16" s="351">
        <f t="shared" si="18"/>
        <v>1.2653306908934835E-3</v>
      </c>
      <c r="AJ16" s="351">
        <f t="shared" si="19"/>
        <v>8.2135732621077106E-3</v>
      </c>
      <c r="AK16" s="351">
        <f t="shared" si="20"/>
        <v>9.4808233732874593E-3</v>
      </c>
      <c r="AL16" s="351">
        <f t="shared" si="21"/>
        <v>4.3119999999999999E-3</v>
      </c>
      <c r="AM16" s="351">
        <f t="shared" si="22"/>
        <v>5.3961599999999998E-2</v>
      </c>
      <c r="AN16" s="351">
        <f t="shared" si="23"/>
        <v>4.0035631397950426E-3</v>
      </c>
      <c r="AO16" s="351">
        <f t="shared" si="24"/>
        <v>8.3999999999999993E-4</v>
      </c>
      <c r="AP16" s="351">
        <f>'Variable Management'!$B$346</f>
        <v>0.41183999999999998</v>
      </c>
      <c r="AQ16" s="351">
        <f t="shared" si="25"/>
        <v>0.36108727954971853</v>
      </c>
      <c r="AR16" s="351">
        <f t="shared" si="26"/>
        <v>0.35521199999999997</v>
      </c>
      <c r="AS16" s="351">
        <f t="shared" si="27"/>
        <v>0.41267999999999999</v>
      </c>
      <c r="AT16" s="351">
        <f t="shared" si="28"/>
        <v>1.2340308421708472</v>
      </c>
      <c r="AU16">
        <f t="shared" si="29"/>
        <v>1.1549999999999998</v>
      </c>
      <c r="AV16" s="521">
        <f t="shared" si="46"/>
        <v>0.48345964380706069</v>
      </c>
      <c r="AW16" s="530">
        <f t="shared" si="30"/>
        <v>5.1711459305603595</v>
      </c>
      <c r="AX16" s="530">
        <f t="shared" si="31"/>
        <v>1.0915260549314985</v>
      </c>
      <c r="AY16" s="9"/>
      <c r="AZ16" s="4">
        <f t="shared" si="47"/>
        <v>48.345964380706071</v>
      </c>
      <c r="BA16" s="351">
        <f t="shared" si="32"/>
        <v>0.66170971908622578</v>
      </c>
      <c r="BB16" s="351">
        <f t="shared" si="33"/>
        <v>0.15095028952948647</v>
      </c>
      <c r="BC16" s="351">
        <f t="shared" si="34"/>
        <v>0.12312252215619904</v>
      </c>
      <c r="BD16" s="351">
        <f t="shared" si="35"/>
        <v>2.728815137328746E-2</v>
      </c>
      <c r="BE16" s="351">
        <f t="shared" si="36"/>
        <v>4.0035631397950426E-3</v>
      </c>
      <c r="BJ16" s="18"/>
      <c r="BK16" s="18"/>
      <c r="BL16" s="18"/>
      <c r="BM16" s="19"/>
    </row>
    <row r="17" spans="1:65" x14ac:dyDescent="0.25">
      <c r="A17" s="24" t="s">
        <v>58</v>
      </c>
      <c r="B17" s="16" t="s">
        <v>111</v>
      </c>
      <c r="C17" s="24" t="s">
        <v>76</v>
      </c>
      <c r="D17" s="17" t="s">
        <v>107</v>
      </c>
      <c r="G17">
        <v>8</v>
      </c>
      <c r="H17" s="527">
        <f t="shared" si="0"/>
        <v>24</v>
      </c>
      <c r="I17" s="4">
        <f t="shared" si="1"/>
        <v>1</v>
      </c>
      <c r="J17" s="351">
        <f t="shared" si="37"/>
        <v>0.4</v>
      </c>
      <c r="K17" s="351">
        <f t="shared" si="2"/>
        <v>0.4</v>
      </c>
      <c r="L17" s="4">
        <f t="shared" si="3"/>
        <v>6.1111111111111109E-2</v>
      </c>
      <c r="M17" s="351">
        <f t="shared" si="4"/>
        <v>0.13811982506899909</v>
      </c>
      <c r="N17" s="4">
        <f t="shared" si="5"/>
        <v>1.9676748136930258</v>
      </c>
      <c r="O17" s="4">
        <f t="shared" si="38"/>
        <v>1.3838374068465129</v>
      </c>
      <c r="P17" s="4">
        <f t="shared" si="39"/>
        <v>-0.58383740684651286</v>
      </c>
      <c r="Q17" s="4">
        <f t="shared" si="6"/>
        <v>19.461246894883761</v>
      </c>
      <c r="R17" s="4">
        <f t="shared" si="40"/>
        <v>0.6947268151608158</v>
      </c>
      <c r="S17" s="351">
        <f t="shared" si="7"/>
        <v>1.2066133692587258E-2</v>
      </c>
      <c r="T17" s="351">
        <f t="shared" si="8"/>
        <v>0.65</v>
      </c>
      <c r="U17" s="351">
        <f t="shared" si="9"/>
        <v>0.66270583747129019</v>
      </c>
      <c r="V17" s="4">
        <f t="shared" si="41"/>
        <v>0.56801879168165759</v>
      </c>
      <c r="W17" s="351">
        <f t="shared" si="10"/>
        <v>3.2264534770349028E-4</v>
      </c>
      <c r="X17" s="351">
        <f t="shared" si="42"/>
        <v>3.2264534770349028E-4</v>
      </c>
      <c r="Y17" s="4">
        <f t="shared" si="43"/>
        <v>0.23969861107717202</v>
      </c>
      <c r="Z17" s="351">
        <f t="shared" si="11"/>
        <v>5.7455424152325375E-5</v>
      </c>
      <c r="AA17" s="520">
        <f t="shared" si="44"/>
        <v>5.7455424152325375E-5</v>
      </c>
      <c r="AB17" s="351">
        <f t="shared" si="45"/>
        <v>0.25819157808722637</v>
      </c>
      <c r="AC17" s="351">
        <f t="shared" si="12"/>
        <v>7.6662324644448149E-4</v>
      </c>
      <c r="AD17" s="351">
        <f t="shared" si="13"/>
        <v>1.5640114285714289E-2</v>
      </c>
      <c r="AE17" s="351">
        <f t="shared" si="14"/>
        <v>0.10817002649531757</v>
      </c>
      <c r="AF17" s="351">
        <f t="shared" si="15"/>
        <v>3.5964384261745193E-3</v>
      </c>
      <c r="AG17" s="351">
        <f t="shared" si="16"/>
        <v>0.12818971235350965</v>
      </c>
      <c r="AH17" s="351">
        <f t="shared" si="17"/>
        <v>0.64496701986095228</v>
      </c>
      <c r="AI17" s="351">
        <f t="shared" si="18"/>
        <v>1.3727421071374494E-3</v>
      </c>
      <c r="AJ17" s="351">
        <f t="shared" si="19"/>
        <v>8.5244384261745198E-3</v>
      </c>
      <c r="AK17" s="351">
        <f t="shared" si="20"/>
        <v>9.8993548151020787E-3</v>
      </c>
      <c r="AL17" s="351">
        <f t="shared" si="21"/>
        <v>4.9280000000000001E-3</v>
      </c>
      <c r="AM17" s="351">
        <f t="shared" si="22"/>
        <v>6.16704E-2</v>
      </c>
      <c r="AN17" s="351">
        <f t="shared" si="23"/>
        <v>4.343808129331413E-3</v>
      </c>
      <c r="AO17" s="351">
        <f t="shared" si="24"/>
        <v>8.3999999999999993E-4</v>
      </c>
      <c r="AP17" s="351">
        <f>'Variable Management'!$B$346</f>
        <v>0.41183999999999998</v>
      </c>
      <c r="AQ17" s="351">
        <f t="shared" si="25"/>
        <v>0.36108727954971853</v>
      </c>
      <c r="AR17" s="351">
        <f t="shared" si="26"/>
        <v>0.35521199999999997</v>
      </c>
      <c r="AS17" s="351">
        <f t="shared" si="27"/>
        <v>0.41267999999999999</v>
      </c>
      <c r="AT17" s="351">
        <f t="shared" si="28"/>
        <v>1.2847972135410892</v>
      </c>
      <c r="AU17">
        <f t="shared" si="29"/>
        <v>1.32</v>
      </c>
      <c r="AV17" s="521">
        <f t="shared" si="46"/>
        <v>0.50675729885534049</v>
      </c>
      <c r="AW17" s="530">
        <f t="shared" si="30"/>
        <v>7.0934714068474047</v>
      </c>
      <c r="AX17" s="530">
        <f t="shared" si="31"/>
        <v>1.2100234726040831</v>
      </c>
      <c r="AY17" s="9"/>
      <c r="AZ17" s="4">
        <f t="shared" si="47"/>
        <v>50.675729885534047</v>
      </c>
      <c r="BA17" s="351">
        <f t="shared" si="32"/>
        <v>0.66270583747129019</v>
      </c>
      <c r="BB17" s="351">
        <f t="shared" si="33"/>
        <v>0.1997594671686117</v>
      </c>
      <c r="BC17" s="351">
        <f t="shared" si="34"/>
        <v>0.16889217635350964</v>
      </c>
      <c r="BD17" s="351">
        <f t="shared" si="35"/>
        <v>3.0250586815102079E-2</v>
      </c>
      <c r="BE17" s="351">
        <f t="shared" si="36"/>
        <v>4.343808129331413E-3</v>
      </c>
      <c r="BJ17" s="18"/>
      <c r="BK17" s="18"/>
      <c r="BL17" s="18"/>
      <c r="BM17" s="19"/>
    </row>
    <row r="18" spans="1:65" x14ac:dyDescent="0.25">
      <c r="A18" s="35" t="s">
        <v>56</v>
      </c>
      <c r="B18" s="38">
        <f>Lf*1000000</f>
        <v>3.3</v>
      </c>
      <c r="C18" s="428" t="s">
        <v>10</v>
      </c>
      <c r="D18" s="427" t="s">
        <v>456</v>
      </c>
      <c r="G18">
        <v>9</v>
      </c>
      <c r="H18" s="527">
        <f t="shared" si="0"/>
        <v>24</v>
      </c>
      <c r="I18" s="4">
        <f t="shared" si="1"/>
        <v>1</v>
      </c>
      <c r="J18" s="351">
        <f t="shared" si="37"/>
        <v>0.45</v>
      </c>
      <c r="K18" s="351">
        <f t="shared" si="2"/>
        <v>0.45</v>
      </c>
      <c r="L18" s="4">
        <f t="shared" si="3"/>
        <v>6.8749999999999992E-2</v>
      </c>
      <c r="M18" s="351">
        <f t="shared" si="4"/>
        <v>0.13819730204046937</v>
      </c>
      <c r="N18" s="4">
        <f t="shared" si="5"/>
        <v>1.9686048633276179</v>
      </c>
      <c r="O18" s="4">
        <f t="shared" si="38"/>
        <v>1.4343024316638089</v>
      </c>
      <c r="P18" s="4">
        <f t="shared" si="39"/>
        <v>-0.53430243166380897</v>
      </c>
      <c r="Q18" s="4">
        <f t="shared" si="6"/>
        <v>17.810081055460302</v>
      </c>
      <c r="R18" s="4">
        <f t="shared" si="40"/>
        <v>0.72487959390492052</v>
      </c>
      <c r="S18" s="351">
        <f t="shared" si="7"/>
        <v>1.3136260641494063E-2</v>
      </c>
      <c r="T18" s="351">
        <f t="shared" si="8"/>
        <v>0.65</v>
      </c>
      <c r="U18" s="351">
        <f t="shared" si="9"/>
        <v>0.66383388423557199</v>
      </c>
      <c r="V18" s="4">
        <f t="shared" si="41"/>
        <v>0.56828727388510336</v>
      </c>
      <c r="W18" s="351">
        <f t="shared" si="10"/>
        <v>3.229504256597625E-4</v>
      </c>
      <c r="X18" s="351">
        <f t="shared" si="42"/>
        <v>3.229504256597625E-4</v>
      </c>
      <c r="Y18" s="4">
        <f t="shared" si="43"/>
        <v>0.25016098662139508</v>
      </c>
      <c r="Z18" s="351">
        <f t="shared" si="11"/>
        <v>6.2580519227389803E-5</v>
      </c>
      <c r="AA18" s="520">
        <f t="shared" si="44"/>
        <v>6.2580519227389803E-5</v>
      </c>
      <c r="AB18" s="351">
        <f t="shared" si="45"/>
        <v>0.26947324761874858</v>
      </c>
      <c r="AC18" s="351">
        <f t="shared" si="12"/>
        <v>8.3508205859524694E-4</v>
      </c>
      <c r="AD18" s="351">
        <f t="shared" si="13"/>
        <v>1.7595128571428573E-2</v>
      </c>
      <c r="AE18" s="351">
        <f t="shared" si="14"/>
        <v>0.14669404824198462</v>
      </c>
      <c r="AF18" s="351">
        <f t="shared" si="15"/>
        <v>3.2913029790490635E-3</v>
      </c>
      <c r="AG18" s="351">
        <f t="shared" si="16"/>
        <v>0.16843919282310318</v>
      </c>
      <c r="AH18" s="351">
        <f t="shared" si="17"/>
        <v>0.67292985851243592</v>
      </c>
      <c r="AI18" s="351">
        <f t="shared" si="18"/>
        <v>1.4943541617759711E-3</v>
      </c>
      <c r="AJ18" s="351">
        <f t="shared" si="19"/>
        <v>8.835302979049062E-3</v>
      </c>
      <c r="AK18" s="351">
        <f t="shared" si="20"/>
        <v>1.0332127518066093E-2</v>
      </c>
      <c r="AL18" s="351">
        <f t="shared" si="21"/>
        <v>5.5439999999999994E-3</v>
      </c>
      <c r="AM18" s="351">
        <f t="shared" si="22"/>
        <v>6.9379200000000016E-2</v>
      </c>
      <c r="AN18" s="351">
        <f t="shared" si="23"/>
        <v>4.7290538309378623E-3</v>
      </c>
      <c r="AO18" s="351">
        <f t="shared" si="24"/>
        <v>8.3999999999999993E-4</v>
      </c>
      <c r="AP18" s="351">
        <f>'Variable Management'!$B$346</f>
        <v>0.41183999999999998</v>
      </c>
      <c r="AQ18" s="351">
        <f t="shared" si="25"/>
        <v>0.36108727954971853</v>
      </c>
      <c r="AR18" s="351">
        <f t="shared" si="26"/>
        <v>0.35521199999999997</v>
      </c>
      <c r="AS18" s="351">
        <f t="shared" si="27"/>
        <v>0.41267999999999999</v>
      </c>
      <c r="AT18" s="351">
        <f t="shared" si="28"/>
        <v>1.3353229893525662</v>
      </c>
      <c r="AU18">
        <f t="shared" si="29"/>
        <v>1.4849999999999999</v>
      </c>
      <c r="AV18" s="521">
        <f t="shared" si="46"/>
        <v>0.52653543782263634</v>
      </c>
      <c r="AW18" s="530">
        <f t="shared" si="30"/>
        <v>8.9976375225703347</v>
      </c>
      <c r="AX18" s="530">
        <f t="shared" si="31"/>
        <v>1.3290905407226439</v>
      </c>
      <c r="AY18" s="9"/>
      <c r="AZ18" s="4">
        <f t="shared" si="47"/>
        <v>52.653543782263633</v>
      </c>
      <c r="BA18" s="351">
        <f t="shared" si="32"/>
        <v>0.66383388423557199</v>
      </c>
      <c r="BB18" s="351">
        <f t="shared" si="33"/>
        <v>0.2481505203411693</v>
      </c>
      <c r="BC18" s="351">
        <f t="shared" si="34"/>
        <v>0.21422946482310321</v>
      </c>
      <c r="BD18" s="351">
        <f t="shared" si="35"/>
        <v>3.3227263518066097E-2</v>
      </c>
      <c r="BE18" s="351">
        <f t="shared" si="36"/>
        <v>4.7290538309378623E-3</v>
      </c>
      <c r="BK18" s="18"/>
      <c r="BL18" s="19"/>
    </row>
    <row r="19" spans="1:65" x14ac:dyDescent="0.25">
      <c r="A19" s="35" t="s">
        <v>11</v>
      </c>
      <c r="B19" s="39">
        <f>Rdcr*1000</f>
        <v>25</v>
      </c>
      <c r="C19" s="429" t="s">
        <v>454</v>
      </c>
      <c r="D19" s="427" t="s">
        <v>457</v>
      </c>
      <c r="G19">
        <v>10</v>
      </c>
      <c r="H19" s="527">
        <f t="shared" si="0"/>
        <v>24</v>
      </c>
      <c r="I19" s="4">
        <f t="shared" si="1"/>
        <v>1</v>
      </c>
      <c r="J19" s="351">
        <f t="shared" si="37"/>
        <v>0.5</v>
      </c>
      <c r="K19" s="351">
        <f t="shared" si="2"/>
        <v>0.5</v>
      </c>
      <c r="L19" s="4">
        <f t="shared" si="3"/>
        <v>7.6388888888888881E-2</v>
      </c>
      <c r="M19" s="351">
        <f t="shared" si="4"/>
        <v>0.13827477875368743</v>
      </c>
      <c r="N19" s="4">
        <f t="shared" si="5"/>
        <v>1.9695347145241566</v>
      </c>
      <c r="O19" s="4">
        <f t="shared" si="38"/>
        <v>1.4847673572620783</v>
      </c>
      <c r="P19" s="4">
        <f t="shared" si="39"/>
        <v>-0.48476735726207831</v>
      </c>
      <c r="Q19" s="4">
        <f t="shared" si="6"/>
        <v>16.158911908735941</v>
      </c>
      <c r="R19" s="4">
        <f t="shared" si="40"/>
        <v>0.75713643594994107</v>
      </c>
      <c r="S19" s="351">
        <f t="shared" si="7"/>
        <v>1.4331389566074482E-2</v>
      </c>
      <c r="T19" s="351">
        <f t="shared" si="8"/>
        <v>0.65</v>
      </c>
      <c r="U19" s="351">
        <f t="shared" si="9"/>
        <v>0.66509392717954974</v>
      </c>
      <c r="V19" s="4">
        <f t="shared" si="41"/>
        <v>0.56855569880441736</v>
      </c>
      <c r="W19" s="351">
        <f t="shared" si="10"/>
        <v>3.2325558264297938E-4</v>
      </c>
      <c r="X19" s="351">
        <f t="shared" si="42"/>
        <v>3.2325558264297938E-4</v>
      </c>
      <c r="Y19" s="4">
        <f t="shared" si="43"/>
        <v>0.26135453156056571</v>
      </c>
      <c r="Z19" s="351">
        <f t="shared" si="11"/>
        <v>6.8306191167242741E-5</v>
      </c>
      <c r="AA19" s="520">
        <f t="shared" si="44"/>
        <v>6.8306191167242741E-5</v>
      </c>
      <c r="AB19" s="351">
        <f t="shared" si="45"/>
        <v>0.28154358252191464</v>
      </c>
      <c r="AC19" s="351">
        <f t="shared" si="12"/>
        <v>9.1156807188165284E-4</v>
      </c>
      <c r="AD19" s="351">
        <f t="shared" si="13"/>
        <v>1.9550142857142856E-2</v>
      </c>
      <c r="AE19" s="351">
        <f t="shared" si="14"/>
        <v>0.18477669545623646</v>
      </c>
      <c r="AF19" s="351">
        <f t="shared" si="15"/>
        <v>2.9861669207344021E-3</v>
      </c>
      <c r="AG19" s="351">
        <f t="shared" si="16"/>
        <v>0.20825646641684747</v>
      </c>
      <c r="AH19" s="351">
        <f t="shared" si="17"/>
        <v>0.70284336361930966</v>
      </c>
      <c r="AI19" s="351">
        <f t="shared" si="18"/>
        <v>1.6301630194862269E-3</v>
      </c>
      <c r="AJ19" s="351">
        <f t="shared" si="19"/>
        <v>9.1461669207344026E-3</v>
      </c>
      <c r="AK19" s="351">
        <f t="shared" si="20"/>
        <v>1.0779141421456962E-2</v>
      </c>
      <c r="AL19" s="351">
        <f t="shared" si="21"/>
        <v>6.1599999999999997E-3</v>
      </c>
      <c r="AM19" s="351">
        <f t="shared" si="22"/>
        <v>7.7088000000000018E-2</v>
      </c>
      <c r="AN19" s="351">
        <f t="shared" si="23"/>
        <v>5.1593002437868131E-3</v>
      </c>
      <c r="AO19" s="351">
        <f t="shared" si="24"/>
        <v>8.3999999999999993E-4</v>
      </c>
      <c r="AP19" s="351">
        <f>'Variable Management'!$B$346</f>
        <v>0.41183999999999998</v>
      </c>
      <c r="AQ19" s="351">
        <f t="shared" si="25"/>
        <v>0.36108727954971853</v>
      </c>
      <c r="AR19" s="351">
        <f t="shared" si="26"/>
        <v>0.35521199999999997</v>
      </c>
      <c r="AS19" s="351">
        <f t="shared" si="27"/>
        <v>0.41267999999999999</v>
      </c>
      <c r="AT19" s="351">
        <f t="shared" si="28"/>
        <v>1.3856083970354514</v>
      </c>
      <c r="AU19">
        <f t="shared" si="29"/>
        <v>1.65</v>
      </c>
      <c r="AV19" s="521">
        <f t="shared" si="46"/>
        <v>0.5435483712627015</v>
      </c>
      <c r="AW19" s="530">
        <f t="shared" si="30"/>
        <v>10.883650949507594</v>
      </c>
      <c r="AX19" s="530">
        <f t="shared" si="31"/>
        <v>1.4487272568582787</v>
      </c>
      <c r="AY19" s="9"/>
      <c r="AZ19" s="4">
        <f t="shared" si="47"/>
        <v>54.354837126270148</v>
      </c>
      <c r="BA19" s="351">
        <f t="shared" si="32"/>
        <v>0.66509392717954974</v>
      </c>
      <c r="BB19" s="351">
        <f t="shared" si="33"/>
        <v>0.29612360783830449</v>
      </c>
      <c r="BC19" s="351">
        <f t="shared" si="34"/>
        <v>0.25913454641684747</v>
      </c>
      <c r="BD19" s="351">
        <f t="shared" si="35"/>
        <v>3.6218181421456969E-2</v>
      </c>
      <c r="BE19" s="351">
        <f t="shared" si="36"/>
        <v>5.1593002437868131E-3</v>
      </c>
      <c r="BK19" s="18"/>
      <c r="BL19" s="19"/>
    </row>
    <row r="20" spans="1:65" x14ac:dyDescent="0.25">
      <c r="A20" s="35" t="s">
        <v>82</v>
      </c>
      <c r="B20" s="39">
        <f>Ltc*1000000</f>
        <v>4000</v>
      </c>
      <c r="C20" s="428" t="s">
        <v>81</v>
      </c>
      <c r="D20" s="21" t="s">
        <v>97</v>
      </c>
      <c r="G20">
        <v>11</v>
      </c>
      <c r="H20" s="527">
        <f t="shared" si="0"/>
        <v>24</v>
      </c>
      <c r="I20" s="4">
        <f t="shared" si="1"/>
        <v>1</v>
      </c>
      <c r="J20" s="351">
        <f t="shared" si="37"/>
        <v>0.55000000000000004</v>
      </c>
      <c r="K20" s="351">
        <f t="shared" si="2"/>
        <v>0.55000000000000004</v>
      </c>
      <c r="L20" s="4">
        <f t="shared" si="3"/>
        <v>8.4027777777777771E-2</v>
      </c>
      <c r="M20" s="351">
        <f t="shared" si="4"/>
        <v>0.13835225520865449</v>
      </c>
      <c r="N20" s="4">
        <f t="shared" si="5"/>
        <v>1.9704643672836326</v>
      </c>
      <c r="O20" s="4">
        <f t="shared" si="38"/>
        <v>1.5352321836418164</v>
      </c>
      <c r="P20" s="4">
        <f t="shared" si="39"/>
        <v>-0.43523218364181626</v>
      </c>
      <c r="Q20" s="4">
        <f t="shared" si="6"/>
        <v>14.50773945472721</v>
      </c>
      <c r="R20" s="4">
        <f t="shared" si="40"/>
        <v>0.79124005116096552</v>
      </c>
      <c r="S20" s="351">
        <f t="shared" si="7"/>
        <v>1.5651520464030184E-2</v>
      </c>
      <c r="T20" s="351">
        <f t="shared" si="8"/>
        <v>0.65</v>
      </c>
      <c r="U20" s="351">
        <f t="shared" si="9"/>
        <v>0.66648604205813122</v>
      </c>
      <c r="V20" s="4">
        <f t="shared" si="41"/>
        <v>0.56882406643988548</v>
      </c>
      <c r="W20" s="351">
        <f t="shared" si="10"/>
        <v>3.2356081856120729E-4</v>
      </c>
      <c r="X20" s="351">
        <f t="shared" si="42"/>
        <v>3.2356081856120729E-4</v>
      </c>
      <c r="Y20" s="4">
        <f t="shared" si="43"/>
        <v>0.27319092055596861</v>
      </c>
      <c r="Z20" s="351">
        <f t="shared" si="11"/>
        <v>7.4633279074217554E-5</v>
      </c>
      <c r="AA20" s="520">
        <f t="shared" si="44"/>
        <v>7.4633279074217554E-5</v>
      </c>
      <c r="AB20" s="351">
        <f t="shared" si="45"/>
        <v>0.29430753667841958</v>
      </c>
      <c r="AC20" s="351">
        <f t="shared" si="12"/>
        <v>9.9609465067577161E-4</v>
      </c>
      <c r="AD20" s="351">
        <f t="shared" si="13"/>
        <v>2.1505157142857147E-2</v>
      </c>
      <c r="AE20" s="351">
        <f t="shared" si="14"/>
        <v>0.2224179654850052</v>
      </c>
      <c r="AF20" s="351">
        <f t="shared" si="15"/>
        <v>2.6810302512335878E-3</v>
      </c>
      <c r="AG20" s="351">
        <f t="shared" si="16"/>
        <v>0.24764168885611276</v>
      </c>
      <c r="AH20" s="351">
        <f t="shared" si="17"/>
        <v>0.73446844208276774</v>
      </c>
      <c r="AI20" s="351">
        <f t="shared" si="18"/>
        <v>1.7801648449711103E-3</v>
      </c>
      <c r="AJ20" s="351">
        <f t="shared" si="19"/>
        <v>9.4570302512335877E-3</v>
      </c>
      <c r="AK20" s="351">
        <f t="shared" si="20"/>
        <v>1.1240396657640452E-2</v>
      </c>
      <c r="AL20" s="351">
        <f t="shared" si="21"/>
        <v>6.7759999999999999E-3</v>
      </c>
      <c r="AM20" s="351">
        <f t="shared" si="22"/>
        <v>8.4796800000000019E-2</v>
      </c>
      <c r="AN20" s="351">
        <f t="shared" si="23"/>
        <v>5.6345473670508656E-3</v>
      </c>
      <c r="AO20" s="351">
        <f t="shared" si="24"/>
        <v>8.3999999999999993E-4</v>
      </c>
      <c r="AP20" s="351">
        <f>'Variable Management'!$B$346</f>
        <v>0.41183999999999998</v>
      </c>
      <c r="AQ20" s="351">
        <f t="shared" si="25"/>
        <v>0.36108727954971853</v>
      </c>
      <c r="AR20" s="351">
        <f t="shared" si="26"/>
        <v>0.35521199999999997</v>
      </c>
      <c r="AS20" s="351">
        <f t="shared" si="27"/>
        <v>0.41267999999999999</v>
      </c>
      <c r="AT20" s="351">
        <f t="shared" si="28"/>
        <v>1.4356536690365707</v>
      </c>
      <c r="AU20">
        <f t="shared" si="29"/>
        <v>1.8149999999999999</v>
      </c>
      <c r="AV20" s="521">
        <f t="shared" si="46"/>
        <v>0.55834923827426064</v>
      </c>
      <c r="AW20" s="530">
        <f t="shared" si="30"/>
        <v>12.751518227956737</v>
      </c>
      <c r="AX20" s="530">
        <f t="shared" si="31"/>
        <v>1.5689336263056184</v>
      </c>
      <c r="AY20" s="9"/>
      <c r="AZ20" s="4">
        <f t="shared" si="47"/>
        <v>55.834923827426067</v>
      </c>
      <c r="BA20" s="351">
        <f t="shared" si="32"/>
        <v>0.66648604205813122</v>
      </c>
      <c r="BB20" s="351">
        <f t="shared" si="33"/>
        <v>0.3436788855137532</v>
      </c>
      <c r="BC20" s="351">
        <f t="shared" si="34"/>
        <v>0.30360757685611278</v>
      </c>
      <c r="BD20" s="351">
        <f t="shared" si="35"/>
        <v>3.9223340657640458E-2</v>
      </c>
      <c r="BE20" s="351">
        <f t="shared" si="36"/>
        <v>5.6345473670508656E-3</v>
      </c>
      <c r="BK20" s="18"/>
      <c r="BL20" s="19"/>
    </row>
    <row r="21" spans="1:65" x14ac:dyDescent="0.25">
      <c r="A21" s="25" t="s">
        <v>129</v>
      </c>
      <c r="B21" s="39">
        <f>ThetaCa</f>
        <v>20</v>
      </c>
      <c r="C21" s="428" t="s">
        <v>202</v>
      </c>
      <c r="D21" s="26" t="s">
        <v>130</v>
      </c>
      <c r="G21">
        <v>12</v>
      </c>
      <c r="H21" s="527">
        <f t="shared" si="0"/>
        <v>24</v>
      </c>
      <c r="I21" s="4">
        <f t="shared" si="1"/>
        <v>1</v>
      </c>
      <c r="J21" s="351">
        <f t="shared" si="37"/>
        <v>0.6</v>
      </c>
      <c r="K21" s="351">
        <f t="shared" si="2"/>
        <v>0.6</v>
      </c>
      <c r="L21" s="4">
        <f t="shared" si="3"/>
        <v>9.1666666666666646E-2</v>
      </c>
      <c r="M21" s="351">
        <f t="shared" si="4"/>
        <v>0.1384297314053719</v>
      </c>
      <c r="N21" s="4">
        <f t="shared" si="5"/>
        <v>1.9713938216070392</v>
      </c>
      <c r="O21" s="4">
        <f t="shared" si="38"/>
        <v>1.5856969108035197</v>
      </c>
      <c r="P21" s="4">
        <f t="shared" si="39"/>
        <v>-0.38569691080351964</v>
      </c>
      <c r="Q21" s="4">
        <f t="shared" si="6"/>
        <v>12.856563693450656</v>
      </c>
      <c r="R21" s="4">
        <f t="shared" si="40"/>
        <v>0.82696199025259554</v>
      </c>
      <c r="S21" s="351">
        <f t="shared" si="7"/>
        <v>1.7096653333063348E-2</v>
      </c>
      <c r="T21" s="351">
        <f t="shared" si="8"/>
        <v>0.65</v>
      </c>
      <c r="U21" s="351">
        <f t="shared" si="9"/>
        <v>0.66801031259204713</v>
      </c>
      <c r="V21" s="4">
        <f t="shared" si="41"/>
        <v>0.56909237679179459</v>
      </c>
      <c r="W21" s="351">
        <f t="shared" si="10"/>
        <v>3.2386613332253391E-4</v>
      </c>
      <c r="X21" s="351">
        <f t="shared" si="42"/>
        <v>3.2386613332253391E-4</v>
      </c>
      <c r="Y21" s="4">
        <f t="shared" si="43"/>
        <v>0.2855917045099276</v>
      </c>
      <c r="Z21" s="351">
        <f t="shared" si="11"/>
        <v>8.1562621684885811E-5</v>
      </c>
      <c r="AA21" s="520">
        <f t="shared" si="44"/>
        <v>8.1562621684885811E-5</v>
      </c>
      <c r="AB21" s="351">
        <f t="shared" si="45"/>
        <v>0.30768068700044959</v>
      </c>
      <c r="AC21" s="351">
        <f t="shared" si="12"/>
        <v>1.0886751592602893E-3</v>
      </c>
      <c r="AD21" s="351">
        <f t="shared" si="13"/>
        <v>2.3460171428571427E-2</v>
      </c>
      <c r="AE21" s="351">
        <f t="shared" si="14"/>
        <v>0.25961785567523493</v>
      </c>
      <c r="AF21" s="351">
        <f t="shared" si="15"/>
        <v>2.3758929705496811E-3</v>
      </c>
      <c r="AG21" s="351">
        <f t="shared" si="16"/>
        <v>0.28659501272396459</v>
      </c>
      <c r="AH21" s="351">
        <f t="shared" si="17"/>
        <v>0.76759281404235746</v>
      </c>
      <c r="AI21" s="351">
        <f t="shared" si="18"/>
        <v>1.944355802959235E-3</v>
      </c>
      <c r="AJ21" s="351">
        <f t="shared" si="19"/>
        <v>9.7678929705496808E-3</v>
      </c>
      <c r="AK21" s="351">
        <f t="shared" si="20"/>
        <v>1.171589355200727E-2</v>
      </c>
      <c r="AL21" s="351">
        <f t="shared" si="21"/>
        <v>7.3919999999999993E-3</v>
      </c>
      <c r="AM21" s="351">
        <f t="shared" si="22"/>
        <v>9.2505599999999993E-2</v>
      </c>
      <c r="AN21" s="351">
        <f t="shared" si="23"/>
        <v>6.1547951999028046E-3</v>
      </c>
      <c r="AO21" s="351">
        <f t="shared" si="24"/>
        <v>8.3999999999999993E-4</v>
      </c>
      <c r="AP21" s="351">
        <f>'Variable Management'!$B$346</f>
        <v>0.41183999999999998</v>
      </c>
      <c r="AQ21" s="351">
        <f t="shared" si="25"/>
        <v>0.36108727954971853</v>
      </c>
      <c r="AR21" s="351">
        <f t="shared" si="26"/>
        <v>0.35521199999999997</v>
      </c>
      <c r="AS21" s="351">
        <f t="shared" si="27"/>
        <v>0.41267999999999999</v>
      </c>
      <c r="AT21" s="351">
        <f t="shared" si="28"/>
        <v>1.4854590428229293</v>
      </c>
      <c r="AU21">
        <f t="shared" si="29"/>
        <v>1.9799999999999998</v>
      </c>
      <c r="AV21" s="521">
        <f t="shared" si="46"/>
        <v>0.57135287866138251</v>
      </c>
      <c r="AW21" s="530">
        <f t="shared" si="30"/>
        <v>14.601245766406512</v>
      </c>
      <c r="AX21" s="530">
        <f t="shared" si="31"/>
        <v>1.6897096620802907</v>
      </c>
      <c r="AY21" s="9"/>
      <c r="AZ21" s="4">
        <f t="shared" si="47"/>
        <v>57.135287866138249</v>
      </c>
      <c r="BA21" s="351">
        <f t="shared" si="32"/>
        <v>0.66801031259204713</v>
      </c>
      <c r="BB21" s="351">
        <f t="shared" si="33"/>
        <v>0.39081650627597186</v>
      </c>
      <c r="BC21" s="351">
        <f t="shared" si="34"/>
        <v>0.34764870872396458</v>
      </c>
      <c r="BD21" s="351">
        <f t="shared" si="35"/>
        <v>4.2242741552007267E-2</v>
      </c>
      <c r="BE21" s="351">
        <f t="shared" si="36"/>
        <v>6.1547951999028046E-3</v>
      </c>
      <c r="BK21" s="18"/>
      <c r="BL21" s="19"/>
    </row>
    <row r="22" spans="1:65" x14ac:dyDescent="0.25">
      <c r="A22" s="36" t="s">
        <v>57</v>
      </c>
      <c r="B22" s="39">
        <f>Cin*1000000</f>
        <v>40</v>
      </c>
      <c r="C22" s="430" t="s">
        <v>455</v>
      </c>
      <c r="D22" s="427" t="s">
        <v>472</v>
      </c>
      <c r="G22">
        <v>13</v>
      </c>
      <c r="H22" s="527">
        <f t="shared" si="0"/>
        <v>24</v>
      </c>
      <c r="I22" s="4">
        <f t="shared" si="1"/>
        <v>1</v>
      </c>
      <c r="J22" s="351">
        <f t="shared" si="37"/>
        <v>0.65</v>
      </c>
      <c r="K22" s="351">
        <f t="shared" si="2"/>
        <v>0.65</v>
      </c>
      <c r="L22" s="4">
        <f t="shared" si="3"/>
        <v>9.930555555555555E-2</v>
      </c>
      <c r="M22" s="351">
        <f t="shared" si="4"/>
        <v>0.13850720734384087</v>
      </c>
      <c r="N22" s="4">
        <f t="shared" si="5"/>
        <v>1.9723230774953675</v>
      </c>
      <c r="O22" s="4">
        <f t="shared" si="38"/>
        <v>1.6361615387476838</v>
      </c>
      <c r="P22" s="4">
        <f t="shared" si="39"/>
        <v>-0.33616153874768373</v>
      </c>
      <c r="Q22" s="4">
        <f t="shared" si="6"/>
        <v>11.205384624922791</v>
      </c>
      <c r="R22" s="4">
        <f t="shared" si="40"/>
        <v>0.86410157205913385</v>
      </c>
      <c r="S22" s="351">
        <f t="shared" si="7"/>
        <v>1.866678817087666E-2</v>
      </c>
      <c r="T22" s="351">
        <f t="shared" si="8"/>
        <v>0.65</v>
      </c>
      <c r="U22" s="351">
        <f t="shared" si="9"/>
        <v>0.66966683048044795</v>
      </c>
      <c r="V22" s="4">
        <f t="shared" si="41"/>
        <v>0.56936062986043079</v>
      </c>
      <c r="W22" s="351">
        <f t="shared" si="10"/>
        <v>3.2417152683506645E-4</v>
      </c>
      <c r="X22" s="351">
        <f t="shared" si="42"/>
        <v>3.2417152683506645E-4</v>
      </c>
      <c r="Y22" s="4">
        <f t="shared" si="43"/>
        <v>0.29848795180050947</v>
      </c>
      <c r="Z22" s="351">
        <f t="shared" si="11"/>
        <v>8.9095057370063263E-5</v>
      </c>
      <c r="AA22" s="520">
        <f t="shared" si="44"/>
        <v>8.9095057370063263E-5</v>
      </c>
      <c r="AB22" s="351">
        <f t="shared" si="45"/>
        <v>0.32158884928598941</v>
      </c>
      <c r="AC22" s="351">
        <f t="shared" si="12"/>
        <v>1.1893229618284982E-3</v>
      </c>
      <c r="AD22" s="351">
        <f t="shared" si="13"/>
        <v>2.5415185714285717E-2</v>
      </c>
      <c r="AE22" s="351">
        <f t="shared" si="14"/>
        <v>0.29637636337388318</v>
      </c>
      <c r="AF22" s="351">
        <f t="shared" si="15"/>
        <v>2.0707550786857316E-3</v>
      </c>
      <c r="AG22" s="351">
        <f t="shared" si="16"/>
        <v>0.32511658745730243</v>
      </c>
      <c r="AH22" s="351">
        <f t="shared" si="17"/>
        <v>0.80203001119034167</v>
      </c>
      <c r="AI22" s="351">
        <f t="shared" si="18"/>
        <v>2.1227320582049326E-3</v>
      </c>
      <c r="AJ22" s="351">
        <f t="shared" si="19"/>
        <v>1.0078755078685732E-2</v>
      </c>
      <c r="AK22" s="351">
        <f t="shared" si="20"/>
        <v>1.2205632622916159E-2</v>
      </c>
      <c r="AL22" s="351">
        <f t="shared" si="21"/>
        <v>8.0079999999999995E-3</v>
      </c>
      <c r="AM22" s="351">
        <f t="shared" si="22"/>
        <v>0.10021440000000001</v>
      </c>
      <c r="AN22" s="351">
        <f t="shared" si="23"/>
        <v>6.7200437415155974E-3</v>
      </c>
      <c r="AO22" s="351">
        <f t="shared" si="24"/>
        <v>8.3999999999999993E-4</v>
      </c>
      <c r="AP22" s="351">
        <f>'Variable Management'!$B$346</f>
        <v>0.41183999999999998</v>
      </c>
      <c r="AQ22" s="351">
        <f t="shared" si="25"/>
        <v>0.36108727954971853</v>
      </c>
      <c r="AR22" s="351">
        <f t="shared" si="26"/>
        <v>0.35521199999999997</v>
      </c>
      <c r="AS22" s="351">
        <f t="shared" si="27"/>
        <v>0.41267999999999999</v>
      </c>
      <c r="AT22" s="351">
        <f t="shared" si="28"/>
        <v>1.5350247608863872</v>
      </c>
      <c r="AU22">
        <f t="shared" si="29"/>
        <v>2.145</v>
      </c>
      <c r="AV22" s="521">
        <f t="shared" si="46"/>
        <v>0.58287651289697995</v>
      </c>
      <c r="AW22" s="530">
        <f t="shared" si="30"/>
        <v>16.432839841206704</v>
      </c>
      <c r="AX22" s="530">
        <f t="shared" si="31"/>
        <v>1.8110553849166464</v>
      </c>
      <c r="AY22" s="9"/>
      <c r="AZ22" s="4">
        <f t="shared" si="47"/>
        <v>58.287651289697997</v>
      </c>
      <c r="BA22" s="351">
        <f t="shared" si="32"/>
        <v>0.66966683048044795</v>
      </c>
      <c r="BB22" s="351">
        <f t="shared" si="33"/>
        <v>0.43753662008021865</v>
      </c>
      <c r="BC22" s="351">
        <f t="shared" si="34"/>
        <v>0.39125809145730245</v>
      </c>
      <c r="BD22" s="351">
        <f t="shared" si="35"/>
        <v>4.5276384622916159E-2</v>
      </c>
      <c r="BE22" s="351">
        <f t="shared" si="36"/>
        <v>6.7200437415155974E-3</v>
      </c>
      <c r="BK22" s="18"/>
      <c r="BL22" s="19"/>
    </row>
    <row r="23" spans="1:65" x14ac:dyDescent="0.25">
      <c r="A23" s="36" t="s">
        <v>86</v>
      </c>
      <c r="B23" s="39">
        <f>RCinEsr*1000</f>
        <v>1</v>
      </c>
      <c r="C23" s="429" t="s">
        <v>454</v>
      </c>
      <c r="D23" s="427" t="s">
        <v>468</v>
      </c>
      <c r="G23">
        <v>14</v>
      </c>
      <c r="H23" s="527">
        <f t="shared" si="0"/>
        <v>24</v>
      </c>
      <c r="I23" s="4">
        <f t="shared" si="1"/>
        <v>1</v>
      </c>
      <c r="J23" s="351">
        <f t="shared" si="37"/>
        <v>0.7</v>
      </c>
      <c r="K23" s="351">
        <f t="shared" si="2"/>
        <v>0.7</v>
      </c>
      <c r="L23" s="4">
        <f t="shared" si="3"/>
        <v>0.10694444444444443</v>
      </c>
      <c r="M23" s="351">
        <f t="shared" si="4"/>
        <v>0.13858468302406277</v>
      </c>
      <c r="N23" s="4">
        <f t="shared" si="5"/>
        <v>1.9732521349496106</v>
      </c>
      <c r="O23" s="4">
        <f t="shared" si="38"/>
        <v>1.6866260674748053</v>
      </c>
      <c r="P23" s="4">
        <f t="shared" si="39"/>
        <v>-0.28662606747480535</v>
      </c>
      <c r="Q23" s="4">
        <f t="shared" si="6"/>
        <v>9.5542022491601788</v>
      </c>
      <c r="R23" s="4">
        <f t="shared" si="40"/>
        <v>0.9024837943181766</v>
      </c>
      <c r="S23" s="351">
        <f t="shared" si="7"/>
        <v>2.0361924975173324E-2</v>
      </c>
      <c r="T23" s="351">
        <f t="shared" si="8"/>
        <v>0.65</v>
      </c>
      <c r="U23" s="351">
        <f t="shared" si="9"/>
        <v>0.67145569541470829</v>
      </c>
      <c r="V23" s="4">
        <f t="shared" si="41"/>
        <v>0.56962882564608075</v>
      </c>
      <c r="W23" s="351">
        <f t="shared" si="10"/>
        <v>3.2447699900693303E-4</v>
      </c>
      <c r="X23" s="351">
        <f t="shared" si="42"/>
        <v>3.2447699900693303E-4</v>
      </c>
      <c r="Y23" s="4">
        <f t="shared" si="43"/>
        <v>0.31181953776955029</v>
      </c>
      <c r="Z23" s="351">
        <f t="shared" si="11"/>
        <v>9.7231424134816005E-5</v>
      </c>
      <c r="AA23" s="520">
        <f t="shared" si="44"/>
        <v>9.7231424134816005E-5</v>
      </c>
      <c r="AB23" s="351">
        <f t="shared" si="45"/>
        <v>0.33596731498430865</v>
      </c>
      <c r="AC23" s="351">
        <f t="shared" si="12"/>
        <v>1.2980514224843051E-3</v>
      </c>
      <c r="AD23" s="351">
        <f t="shared" si="13"/>
        <v>2.7370199999999997E-2</v>
      </c>
      <c r="AE23" s="351">
        <f t="shared" si="14"/>
        <v>0.33269348592791831</v>
      </c>
      <c r="AF23" s="351">
        <f t="shared" si="15"/>
        <v>1.7656165756448009E-3</v>
      </c>
      <c r="AG23" s="351">
        <f t="shared" si="16"/>
        <v>0.36320655933893631</v>
      </c>
      <c r="AH23" s="351">
        <f t="shared" si="17"/>
        <v>0.8376174319277071</v>
      </c>
      <c r="AI23" s="351">
        <f t="shared" si="18"/>
        <v>2.3152897754882512E-3</v>
      </c>
      <c r="AJ23" s="351">
        <f t="shared" si="19"/>
        <v>1.03896165756448E-2</v>
      </c>
      <c r="AK23" s="351">
        <f t="shared" si="20"/>
        <v>1.2709614581643656E-2</v>
      </c>
      <c r="AL23" s="351">
        <f t="shared" si="21"/>
        <v>8.6239999999999997E-3</v>
      </c>
      <c r="AM23" s="351">
        <f t="shared" si="22"/>
        <v>0.1079232</v>
      </c>
      <c r="AN23" s="351">
        <f t="shared" si="23"/>
        <v>7.3302929910623957E-3</v>
      </c>
      <c r="AO23" s="351">
        <f t="shared" si="24"/>
        <v>8.3999999999999993E-4</v>
      </c>
      <c r="AP23" s="351">
        <f>'Variable Management'!$B$346</f>
        <v>0.41183999999999998</v>
      </c>
      <c r="AQ23" s="351">
        <f t="shared" si="25"/>
        <v>0.36108727954971853</v>
      </c>
      <c r="AR23" s="351">
        <f t="shared" si="26"/>
        <v>0.35521199999999997</v>
      </c>
      <c r="AS23" s="351">
        <f t="shared" si="27"/>
        <v>0.41267999999999999</v>
      </c>
      <c r="AT23" s="351">
        <f t="shared" si="28"/>
        <v>1.5843510707494926</v>
      </c>
      <c r="AU23">
        <f t="shared" si="29"/>
        <v>2.3099999999999996</v>
      </c>
      <c r="AV23" s="521">
        <f t="shared" si="46"/>
        <v>0.59316686093106286</v>
      </c>
      <c r="AW23" s="530">
        <f t="shared" si="30"/>
        <v>18.246306596235325</v>
      </c>
      <c r="AX23" s="530">
        <f t="shared" si="31"/>
        <v>1.9329708232657463</v>
      </c>
      <c r="AY23" s="9"/>
      <c r="AZ23" s="4">
        <f t="shared" si="47"/>
        <v>59.316686093106284</v>
      </c>
      <c r="BA23" s="351">
        <f t="shared" si="32"/>
        <v>0.67145569541470829</v>
      </c>
      <c r="BB23" s="351">
        <f t="shared" si="33"/>
        <v>0.48383937392057996</v>
      </c>
      <c r="BC23" s="351">
        <f t="shared" si="34"/>
        <v>0.4344358713389363</v>
      </c>
      <c r="BD23" s="351">
        <f t="shared" si="35"/>
        <v>4.8324270581643659E-2</v>
      </c>
      <c r="BE23" s="351">
        <f t="shared" si="36"/>
        <v>7.3302929910623957E-3</v>
      </c>
      <c r="BK23" s="18"/>
      <c r="BL23" s="19"/>
    </row>
    <row r="24" spans="1:65" x14ac:dyDescent="0.25">
      <c r="A24" s="35" t="s">
        <v>25</v>
      </c>
      <c r="B24" s="39">
        <f>Cout*1000000</f>
        <v>66</v>
      </c>
      <c r="C24" s="428" t="s">
        <v>455</v>
      </c>
      <c r="D24" s="427" t="s">
        <v>471</v>
      </c>
      <c r="G24">
        <v>15</v>
      </c>
      <c r="H24" s="527">
        <f t="shared" si="0"/>
        <v>24</v>
      </c>
      <c r="I24" s="4">
        <f t="shared" si="1"/>
        <v>1</v>
      </c>
      <c r="J24" s="351">
        <f t="shared" si="37"/>
        <v>0.75</v>
      </c>
      <c r="K24" s="351">
        <f t="shared" si="2"/>
        <v>0.75</v>
      </c>
      <c r="L24" s="4">
        <f t="shared" si="3"/>
        <v>0.11458333333333331</v>
      </c>
      <c r="M24" s="351">
        <f t="shared" si="4"/>
        <v>0.13866215844603885</v>
      </c>
      <c r="N24" s="4">
        <f t="shared" si="5"/>
        <v>1.9741809939707602</v>
      </c>
      <c r="O24" s="4">
        <f t="shared" si="38"/>
        <v>1.7370904969853802</v>
      </c>
      <c r="P24" s="4">
        <f t="shared" si="39"/>
        <v>-0.23709049698538009</v>
      </c>
      <c r="Q24" s="4">
        <f t="shared" si="6"/>
        <v>7.9030165661793363</v>
      </c>
      <c r="R24" s="4">
        <f t="shared" si="40"/>
        <v>0.94195676638913817</v>
      </c>
      <c r="S24" s="351">
        <f t="shared" si="7"/>
        <v>2.2182063743657037E-2</v>
      </c>
      <c r="T24" s="351">
        <f t="shared" si="8"/>
        <v>0.65</v>
      </c>
      <c r="U24" s="351">
        <f t="shared" si="9"/>
        <v>0.67337701509344239</v>
      </c>
      <c r="V24" s="4">
        <f t="shared" si="41"/>
        <v>0.56989696414903068</v>
      </c>
      <c r="W24" s="351">
        <f t="shared" si="10"/>
        <v>3.2478254974628156E-4</v>
      </c>
      <c r="X24" s="351">
        <f t="shared" si="42"/>
        <v>3.2478254974628156E-4</v>
      </c>
      <c r="Y24" s="4">
        <f t="shared" si="43"/>
        <v>0.32553426796339968</v>
      </c>
      <c r="Z24" s="351">
        <f t="shared" si="11"/>
        <v>1.0597255961846651E-4</v>
      </c>
      <c r="AA24" s="520">
        <f t="shared" si="44"/>
        <v>1.0597255961846651E-4</v>
      </c>
      <c r="AB24" s="351">
        <f t="shared" si="45"/>
        <v>0.3507599086260062</v>
      </c>
      <c r="AC24" s="351">
        <f t="shared" si="12"/>
        <v>1.4148739052422285E-3</v>
      </c>
      <c r="AD24" s="351">
        <f t="shared" si="13"/>
        <v>2.9325214285714284E-2</v>
      </c>
      <c r="AE24" s="351">
        <f t="shared" si="14"/>
        <v>0.36856922068432241</v>
      </c>
      <c r="AF24" s="351">
        <f t="shared" si="15"/>
        <v>1.4604774614299413E-3</v>
      </c>
      <c r="AG24" s="351">
        <f t="shared" si="16"/>
        <v>0.40086507148961009</v>
      </c>
      <c r="AH24" s="351">
        <f t="shared" si="17"/>
        <v>0.87421395335864849</v>
      </c>
      <c r="AI24" s="351">
        <f t="shared" si="18"/>
        <v>2.5220251196149588E-3</v>
      </c>
      <c r="AJ24" s="351">
        <f t="shared" si="19"/>
        <v>1.0700477461429941E-2</v>
      </c>
      <c r="AK24" s="351">
        <f t="shared" si="20"/>
        <v>1.3227840332340327E-2</v>
      </c>
      <c r="AL24" s="351">
        <f t="shared" si="21"/>
        <v>9.2399999999999999E-3</v>
      </c>
      <c r="AM24" s="351">
        <f t="shared" si="22"/>
        <v>0.11563200000000001</v>
      </c>
      <c r="AN24" s="351">
        <f t="shared" si="23"/>
        <v>7.985542947716532E-3</v>
      </c>
      <c r="AO24" s="351">
        <f t="shared" si="24"/>
        <v>8.3999999999999993E-4</v>
      </c>
      <c r="AP24" s="351">
        <f>'Variable Management'!$B$346</f>
        <v>0.41183999999999998</v>
      </c>
      <c r="AQ24" s="351">
        <f t="shared" si="25"/>
        <v>0.36108727954971853</v>
      </c>
      <c r="AR24" s="351">
        <f t="shared" si="26"/>
        <v>0.35521199999999997</v>
      </c>
      <c r="AS24" s="351">
        <f t="shared" si="27"/>
        <v>0.41267999999999999</v>
      </c>
      <c r="AT24" s="351">
        <f t="shared" si="28"/>
        <v>1.6334382249724737</v>
      </c>
      <c r="AU24">
        <f t="shared" si="29"/>
        <v>2.4749999999999996</v>
      </c>
      <c r="AV24" s="521">
        <f t="shared" si="46"/>
        <v>0.60241869646624235</v>
      </c>
      <c r="AW24" s="530">
        <f t="shared" si="30"/>
        <v>20.041652042563623</v>
      </c>
      <c r="AX24" s="530">
        <f t="shared" si="31"/>
        <v>2.0554560132936133</v>
      </c>
      <c r="AY24" s="9"/>
      <c r="AZ24" s="4">
        <f t="shared" si="47"/>
        <v>60.241869646624238</v>
      </c>
      <c r="BA24" s="351">
        <f t="shared" si="32"/>
        <v>0.67337701509344239</v>
      </c>
      <c r="BB24" s="351">
        <f t="shared" si="33"/>
        <v>0.52972491182195047</v>
      </c>
      <c r="BC24" s="351">
        <f t="shared" si="34"/>
        <v>0.47718219148961011</v>
      </c>
      <c r="BD24" s="351">
        <f t="shared" si="35"/>
        <v>5.1386400332340335E-2</v>
      </c>
      <c r="BE24" s="351">
        <f t="shared" si="36"/>
        <v>7.985542947716532E-3</v>
      </c>
      <c r="BK24" s="18"/>
      <c r="BL24" s="19"/>
    </row>
    <row r="25" spans="1:65" x14ac:dyDescent="0.25">
      <c r="A25" s="35" t="s">
        <v>85</v>
      </c>
      <c r="B25" s="40">
        <f>Cout_ESR*1000</f>
        <v>1</v>
      </c>
      <c r="C25" s="429" t="s">
        <v>454</v>
      </c>
      <c r="D25" s="427" t="s">
        <v>470</v>
      </c>
      <c r="G25">
        <v>16</v>
      </c>
      <c r="H25" s="527">
        <f t="shared" si="0"/>
        <v>24</v>
      </c>
      <c r="I25" s="4">
        <f t="shared" si="1"/>
        <v>1</v>
      </c>
      <c r="J25" s="351">
        <f t="shared" si="37"/>
        <v>0.8</v>
      </c>
      <c r="K25" s="351">
        <f t="shared" si="2"/>
        <v>0.8</v>
      </c>
      <c r="L25" s="4">
        <f t="shared" si="3"/>
        <v>0.12222222222222222</v>
      </c>
      <c r="M25" s="351">
        <f t="shared" si="4"/>
        <v>0.1387396336097704</v>
      </c>
      <c r="N25" s="4">
        <f t="shared" si="5"/>
        <v>1.9751096545598086</v>
      </c>
      <c r="O25" s="4">
        <f t="shared" si="38"/>
        <v>1.7875548272799042</v>
      </c>
      <c r="P25" s="4">
        <f t="shared" si="39"/>
        <v>-0.18755482727990425</v>
      </c>
      <c r="Q25" s="4">
        <f t="shared" si="6"/>
        <v>6.2518275759968081</v>
      </c>
      <c r="R25" s="4">
        <f t="shared" si="40"/>
        <v>0.98238901610374318</v>
      </c>
      <c r="S25" s="351">
        <f t="shared" si="7"/>
        <v>2.4127204474032018E-2</v>
      </c>
      <c r="T25" s="351">
        <f t="shared" si="8"/>
        <v>0.65</v>
      </c>
      <c r="U25" s="351">
        <f t="shared" si="9"/>
        <v>0.67543090523873417</v>
      </c>
      <c r="V25" s="4">
        <f t="shared" si="41"/>
        <v>0.57016504536956714</v>
      </c>
      <c r="W25" s="351">
        <f t="shared" si="10"/>
        <v>3.2508817896128054E-4</v>
      </c>
      <c r="X25" s="351">
        <f t="shared" si="42"/>
        <v>3.2508817896128054E-4</v>
      </c>
      <c r="Y25" s="4">
        <f t="shared" si="43"/>
        <v>0.33958695660257576</v>
      </c>
      <c r="Z25" s="351">
        <f t="shared" si="11"/>
        <v>1.1531930109459968E-4</v>
      </c>
      <c r="AA25" s="520">
        <f t="shared" si="44"/>
        <v>1.1531930109459968E-4</v>
      </c>
      <c r="AB25" s="351">
        <f t="shared" si="45"/>
        <v>0.36591799675638886</v>
      </c>
      <c r="AC25" s="351">
        <f t="shared" si="12"/>
        <v>1.539803774027399E-3</v>
      </c>
      <c r="AD25" s="351">
        <f t="shared" si="13"/>
        <v>3.1280228571428578E-2</v>
      </c>
      <c r="AE25" s="351">
        <f t="shared" si="14"/>
        <v>0.4040035649900891</v>
      </c>
      <c r="AF25" s="351">
        <f t="shared" si="15"/>
        <v>1.1553377360442102E-3</v>
      </c>
      <c r="AG25" s="351">
        <f t="shared" si="16"/>
        <v>0.43809226385996164</v>
      </c>
      <c r="AH25" s="351">
        <f t="shared" si="17"/>
        <v>0.91169742711662405</v>
      </c>
      <c r="AI25" s="351">
        <f t="shared" si="18"/>
        <v>2.7429342554165376E-3</v>
      </c>
      <c r="AJ25" s="351">
        <f t="shared" si="19"/>
        <v>1.1011337736044209E-2</v>
      </c>
      <c r="AK25" s="351">
        <f t="shared" si="20"/>
        <v>1.3760310971993589E-2</v>
      </c>
      <c r="AL25" s="351">
        <f t="shared" si="21"/>
        <v>9.8560000000000002E-3</v>
      </c>
      <c r="AM25" s="351">
        <f t="shared" si="22"/>
        <v>0.1233408</v>
      </c>
      <c r="AN25" s="351">
        <f t="shared" si="23"/>
        <v>8.6857936106515248E-3</v>
      </c>
      <c r="AO25" s="351">
        <f t="shared" si="24"/>
        <v>8.3999999999999993E-4</v>
      </c>
      <c r="AP25" s="351">
        <f>'Variable Management'!$B$346</f>
        <v>0.41183999999999998</v>
      </c>
      <c r="AQ25" s="351">
        <f t="shared" si="25"/>
        <v>0.36108727954971853</v>
      </c>
      <c r="AR25" s="351">
        <f t="shared" si="26"/>
        <v>0.35521199999999997</v>
      </c>
      <c r="AS25" s="351">
        <f t="shared" si="27"/>
        <v>0.41267999999999999</v>
      </c>
      <c r="AT25" s="351">
        <f t="shared" si="28"/>
        <v>1.6822864811613967</v>
      </c>
      <c r="AU25">
        <f t="shared" si="29"/>
        <v>2.64</v>
      </c>
      <c r="AV25" s="521">
        <f t="shared" si="46"/>
        <v>0.61078783451915775</v>
      </c>
      <c r="AW25" s="530">
        <f t="shared" si="30"/>
        <v>21.81888205811839</v>
      </c>
      <c r="AX25" s="530">
        <f t="shared" si="31"/>
        <v>2.1785109988797435</v>
      </c>
      <c r="AY25" s="9"/>
      <c r="AZ25" s="4">
        <f t="shared" si="47"/>
        <v>61.078783451915776</v>
      </c>
      <c r="BA25" s="351">
        <f t="shared" si="32"/>
        <v>0.67543090523873417</v>
      </c>
      <c r="BB25" s="351">
        <f t="shared" si="33"/>
        <v>0.57519337483195521</v>
      </c>
      <c r="BC25" s="351">
        <f t="shared" si="34"/>
        <v>0.51949719185996168</v>
      </c>
      <c r="BD25" s="351">
        <f t="shared" si="35"/>
        <v>5.4462774971993588E-2</v>
      </c>
      <c r="BE25" s="351">
        <f t="shared" si="36"/>
        <v>8.6857936106515248E-3</v>
      </c>
    </row>
    <row r="26" spans="1:65" x14ac:dyDescent="0.25">
      <c r="A26" s="24" t="s">
        <v>112</v>
      </c>
      <c r="B26" s="37" t="s">
        <v>111</v>
      </c>
      <c r="C26" s="24" t="s">
        <v>76</v>
      </c>
      <c r="D26" s="17" t="s">
        <v>107</v>
      </c>
      <c r="G26">
        <v>17</v>
      </c>
      <c r="H26" s="527">
        <f t="shared" si="0"/>
        <v>24</v>
      </c>
      <c r="I26" s="4">
        <f t="shared" si="1"/>
        <v>1</v>
      </c>
      <c r="J26" s="351">
        <f t="shared" si="37"/>
        <v>0.85</v>
      </c>
      <c r="K26" s="351">
        <f t="shared" si="2"/>
        <v>0.85</v>
      </c>
      <c r="L26" s="4">
        <f t="shared" si="3"/>
        <v>0.12986111111111109</v>
      </c>
      <c r="M26" s="351">
        <f t="shared" si="4"/>
        <v>0.13881710851525875</v>
      </c>
      <c r="N26" s="4">
        <f t="shared" si="5"/>
        <v>1.9760381167177481</v>
      </c>
      <c r="O26" s="4">
        <f t="shared" si="38"/>
        <v>1.838019058358874</v>
      </c>
      <c r="P26" s="4">
        <f t="shared" si="39"/>
        <v>-0.13801905835887407</v>
      </c>
      <c r="Q26" s="4">
        <f t="shared" si="6"/>
        <v>4.6006352786291353</v>
      </c>
      <c r="R26" s="4">
        <f t="shared" si="40"/>
        <v>1.0236668826137332</v>
      </c>
      <c r="S26" s="351">
        <f t="shared" si="7"/>
        <v>2.6197347164002967E-2</v>
      </c>
      <c r="T26" s="351">
        <f t="shared" si="8"/>
        <v>0.65</v>
      </c>
      <c r="U26" s="351">
        <f t="shared" si="9"/>
        <v>0.67761748961358759</v>
      </c>
      <c r="V26" s="4">
        <f t="shared" si="41"/>
        <v>0.57043306930797655</v>
      </c>
      <c r="W26" s="351">
        <f t="shared" si="10"/>
        <v>3.2539388656011877E-4</v>
      </c>
      <c r="X26" s="351">
        <f t="shared" si="42"/>
        <v>3.2539388656011877E-4</v>
      </c>
      <c r="Y26" s="4">
        <f t="shared" si="43"/>
        <v>0.35393853346459564</v>
      </c>
      <c r="Z26" s="351">
        <f t="shared" si="11"/>
        <v>1.252724854710687E-4</v>
      </c>
      <c r="AA26" s="520">
        <f t="shared" si="44"/>
        <v>1.252724854710687E-4</v>
      </c>
      <c r="AB26" s="351">
        <f t="shared" si="45"/>
        <v>0.3813995272192825</v>
      </c>
      <c r="AC26" s="351">
        <f t="shared" si="12"/>
        <v>1.6728543926755606E-3</v>
      </c>
      <c r="AD26" s="351">
        <f t="shared" si="13"/>
        <v>3.3235242857142855E-2</v>
      </c>
      <c r="AE26" s="351">
        <f t="shared" si="14"/>
        <v>0.43899651619222446</v>
      </c>
      <c r="AF26" s="351">
        <f t="shared" si="15"/>
        <v>8.5019739949066431E-4</v>
      </c>
      <c r="AG26" s="351">
        <f t="shared" si="16"/>
        <v>0.4748882732224271</v>
      </c>
      <c r="AH26" s="351">
        <f t="shared" si="17"/>
        <v>0.94996225566967984</v>
      </c>
      <c r="AI26" s="351">
        <f t="shared" si="18"/>
        <v>2.9780133477501861E-3</v>
      </c>
      <c r="AJ26" s="351">
        <f t="shared" si="19"/>
        <v>1.1322197399490664E-2</v>
      </c>
      <c r="AK26" s="351">
        <f t="shared" si="20"/>
        <v>1.4307027790397079E-2</v>
      </c>
      <c r="AL26" s="351">
        <f t="shared" si="21"/>
        <v>1.0471999999999999E-2</v>
      </c>
      <c r="AM26" s="351">
        <f t="shared" si="22"/>
        <v>0.13104959999999999</v>
      </c>
      <c r="AN26" s="351">
        <f t="shared" si="23"/>
        <v>9.4310449790410665E-3</v>
      </c>
      <c r="AO26" s="351">
        <f t="shared" si="24"/>
        <v>8.3999999999999993E-4</v>
      </c>
      <c r="AP26" s="351">
        <f>'Variable Management'!$B$346</f>
        <v>0.41183999999999998</v>
      </c>
      <c r="AQ26" s="351">
        <f t="shared" si="25"/>
        <v>0.36108727954971853</v>
      </c>
      <c r="AR26" s="351">
        <f t="shared" si="26"/>
        <v>0.35521199999999997</v>
      </c>
      <c r="AS26" s="351">
        <f t="shared" si="27"/>
        <v>0.41267999999999999</v>
      </c>
      <c r="AT26" s="351">
        <f t="shared" si="28"/>
        <v>1.7308961019774842</v>
      </c>
      <c r="AU26">
        <f t="shared" si="29"/>
        <v>2.8049999999999997</v>
      </c>
      <c r="AV26" s="521">
        <f t="shared" si="46"/>
        <v>0.61840040797608287</v>
      </c>
      <c r="AW26" s="530">
        <f t="shared" si="30"/>
        <v>23.578002387341936</v>
      </c>
      <c r="AX26" s="530">
        <f t="shared" si="31"/>
        <v>2.3021358316158831</v>
      </c>
      <c r="AY26" s="9"/>
      <c r="AZ26" s="4">
        <f t="shared" si="47"/>
        <v>61.840040797608289</v>
      </c>
      <c r="BA26" s="351">
        <f t="shared" si="32"/>
        <v>0.67761748961358759</v>
      </c>
      <c r="BB26" s="351">
        <f t="shared" si="33"/>
        <v>0.62024490101282415</v>
      </c>
      <c r="BC26" s="351">
        <f t="shared" si="34"/>
        <v>0.56138100922242706</v>
      </c>
      <c r="BD26" s="351">
        <f t="shared" si="35"/>
        <v>5.7553395790397081E-2</v>
      </c>
      <c r="BE26" s="351">
        <f t="shared" si="36"/>
        <v>9.4310449790410665E-3</v>
      </c>
    </row>
    <row r="27" spans="1:65" x14ac:dyDescent="0.25">
      <c r="A27" s="22" t="s">
        <v>61</v>
      </c>
      <c r="B27" s="5">
        <f>RdsonDRT</f>
        <v>1</v>
      </c>
      <c r="C27" s="431" t="s">
        <v>116</v>
      </c>
      <c r="D27" s="427" t="s">
        <v>495</v>
      </c>
      <c r="G27">
        <v>18</v>
      </c>
      <c r="H27" s="527">
        <f t="shared" si="0"/>
        <v>24</v>
      </c>
      <c r="I27" s="4">
        <f t="shared" si="1"/>
        <v>1</v>
      </c>
      <c r="J27" s="351">
        <f t="shared" si="37"/>
        <v>0.9</v>
      </c>
      <c r="K27" s="351">
        <f t="shared" si="2"/>
        <v>0.9</v>
      </c>
      <c r="L27" s="4">
        <f t="shared" si="3"/>
        <v>0.13749999999999998</v>
      </c>
      <c r="M27" s="351">
        <f t="shared" si="4"/>
        <v>0.13889458316250511</v>
      </c>
      <c r="N27" s="4">
        <f t="shared" si="5"/>
        <v>1.9769663804455699</v>
      </c>
      <c r="O27" s="4">
        <f t="shared" si="38"/>
        <v>1.888483190222785</v>
      </c>
      <c r="P27" s="4">
        <f t="shared" si="39"/>
        <v>-8.8483190222784946E-2</v>
      </c>
      <c r="Q27" s="4">
        <f t="shared" si="6"/>
        <v>2.9494396740928317</v>
      </c>
      <c r="R27" s="4">
        <f t="shared" si="40"/>
        <v>1.0656921095940444</v>
      </c>
      <c r="S27" s="351">
        <f t="shared" si="7"/>
        <v>2.8392491811275119E-2</v>
      </c>
      <c r="T27" s="351">
        <f t="shared" si="8"/>
        <v>0.65</v>
      </c>
      <c r="U27" s="351">
        <f t="shared" si="9"/>
        <v>0.67993690004060214</v>
      </c>
      <c r="V27" s="4">
        <f t="shared" si="41"/>
        <v>0.57070103596454502</v>
      </c>
      <c r="W27" s="351">
        <f t="shared" si="10"/>
        <v>3.2569967245100491E-4</v>
      </c>
      <c r="X27" s="351">
        <f t="shared" si="42"/>
        <v>3.2569967245100491E-4</v>
      </c>
      <c r="Y27" s="4">
        <f t="shared" si="43"/>
        <v>0.36855521878003783</v>
      </c>
      <c r="Z27" s="351">
        <f t="shared" si="11"/>
        <v>1.3583294929000157E-4</v>
      </c>
      <c r="AA27" s="520">
        <f t="shared" si="44"/>
        <v>1.3583294929000157E-4</v>
      </c>
      <c r="AB27" s="351">
        <f t="shared" si="45"/>
        <v>0.39716814147521434</v>
      </c>
      <c r="AC27" s="351">
        <f t="shared" si="12"/>
        <v>1.8140391249330725E-3</v>
      </c>
      <c r="AD27" s="351">
        <f t="shared" si="13"/>
        <v>3.5190257142857145E-2</v>
      </c>
      <c r="AE27" s="351">
        <f t="shared" si="14"/>
        <v>0.47354807163774765</v>
      </c>
      <c r="AF27" s="351">
        <f t="shared" si="15"/>
        <v>5.4505645177235524E-4</v>
      </c>
      <c r="AG27" s="351">
        <f t="shared" si="16"/>
        <v>0.51125323316308491</v>
      </c>
      <c r="AH27" s="351">
        <f t="shared" si="17"/>
        <v>0.98891715519962975</v>
      </c>
      <c r="AI27" s="351">
        <f t="shared" si="18"/>
        <v>3.2272585614988242E-3</v>
      </c>
      <c r="AJ27" s="351">
        <f t="shared" si="19"/>
        <v>1.1633056451772355E-2</v>
      </c>
      <c r="AK27" s="351">
        <f t="shared" si="20"/>
        <v>1.4867992270126548E-2</v>
      </c>
      <c r="AL27" s="351">
        <f t="shared" si="21"/>
        <v>1.1087999999999999E-2</v>
      </c>
      <c r="AM27" s="351">
        <f t="shared" si="22"/>
        <v>0.13875840000000003</v>
      </c>
      <c r="AN27" s="351">
        <f t="shared" si="23"/>
        <v>1.0221297052059042E-2</v>
      </c>
      <c r="AO27" s="351">
        <f t="shared" si="24"/>
        <v>8.3999999999999993E-4</v>
      </c>
      <c r="AP27" s="351">
        <f>'Variable Management'!$B$346</f>
        <v>0.41183999999999998</v>
      </c>
      <c r="AQ27" s="351">
        <f t="shared" si="25"/>
        <v>0.36108727954971853</v>
      </c>
      <c r="AR27" s="351">
        <f t="shared" si="26"/>
        <v>0.35521199999999997</v>
      </c>
      <c r="AS27" s="351">
        <f t="shared" si="27"/>
        <v>0.41267999999999999</v>
      </c>
      <c r="AT27" s="351">
        <f t="shared" si="28"/>
        <v>1.7792673551476132</v>
      </c>
      <c r="AU27">
        <f t="shared" si="29"/>
        <v>2.9699999999999998</v>
      </c>
      <c r="AV27" s="521">
        <f t="shared" si="46"/>
        <v>0.62535961400043949</v>
      </c>
      <c r="AW27" s="530">
        <f t="shared" si="30"/>
        <v>25.319018640849567</v>
      </c>
      <c r="AX27" s="530">
        <f t="shared" si="31"/>
        <v>2.4263305708050624</v>
      </c>
      <c r="AY27" s="9"/>
      <c r="AZ27" s="4">
        <f t="shared" si="47"/>
        <v>62.535961400043952</v>
      </c>
      <c r="BA27" s="351">
        <f t="shared" si="32"/>
        <v>0.67993690004060214</v>
      </c>
      <c r="BB27" s="351">
        <f t="shared" si="33"/>
        <v>0.66487962543321155</v>
      </c>
      <c r="BC27" s="351">
        <f t="shared" si="34"/>
        <v>0.60283377716308495</v>
      </c>
      <c r="BD27" s="351">
        <f t="shared" si="35"/>
        <v>6.0658264270126563E-2</v>
      </c>
      <c r="BE27" s="351">
        <f t="shared" si="36"/>
        <v>1.0221297052059042E-2</v>
      </c>
    </row>
    <row r="28" spans="1:65" x14ac:dyDescent="0.25">
      <c r="A28" s="22" t="s">
        <v>126</v>
      </c>
      <c r="B28" s="5">
        <f>RdsonDRT2</f>
        <v>0.5</v>
      </c>
      <c r="C28" s="431" t="s">
        <v>116</v>
      </c>
      <c r="D28" s="427" t="s">
        <v>494</v>
      </c>
      <c r="G28">
        <v>19</v>
      </c>
      <c r="H28" s="527">
        <f t="shared" si="0"/>
        <v>24</v>
      </c>
      <c r="I28" s="4">
        <f t="shared" si="1"/>
        <v>1</v>
      </c>
      <c r="J28" s="351">
        <f t="shared" si="37"/>
        <v>0.95</v>
      </c>
      <c r="K28" s="351">
        <f t="shared" si="2"/>
        <v>0.95</v>
      </c>
      <c r="L28" s="4">
        <f t="shared" si="3"/>
        <v>0.14513888888888887</v>
      </c>
      <c r="M28" s="351">
        <f t="shared" si="4"/>
        <v>0.13897205755151087</v>
      </c>
      <c r="N28" s="4">
        <f t="shared" si="5"/>
        <v>1.9778944457442675</v>
      </c>
      <c r="O28" s="4">
        <f t="shared" si="38"/>
        <v>1.9389472228721338</v>
      </c>
      <c r="P28" s="4">
        <f t="shared" si="39"/>
        <v>-3.8947222872133813E-2</v>
      </c>
      <c r="Q28" s="4">
        <f t="shared" si="6"/>
        <v>1.2982407624044605</v>
      </c>
      <c r="R28" s="4">
        <f t="shared" si="40"/>
        <v>1.1083796897012181</v>
      </c>
      <c r="S28" s="351">
        <f t="shared" si="7"/>
        <v>3.0712638413554219E-2</v>
      </c>
      <c r="T28" s="351">
        <f t="shared" si="8"/>
        <v>0.65</v>
      </c>
      <c r="U28" s="351">
        <f t="shared" si="9"/>
        <v>0.68238927642187686</v>
      </c>
      <c r="V28" s="4">
        <f t="shared" si="41"/>
        <v>0.57096894533955933</v>
      </c>
      <c r="W28" s="351">
        <f t="shared" si="10"/>
        <v>3.2600553654216869E-4</v>
      </c>
      <c r="X28" s="351">
        <f t="shared" si="42"/>
        <v>3.2600553654216869E-4</v>
      </c>
      <c r="Y28" s="4">
        <f t="shared" si="43"/>
        <v>0.38340778386439534</v>
      </c>
      <c r="Z28" s="351">
        <f t="shared" si="11"/>
        <v>1.4700152872780688E-4</v>
      </c>
      <c r="AA28" s="520">
        <f t="shared" si="44"/>
        <v>1.4700152872780688E-4</v>
      </c>
      <c r="AB28" s="351">
        <f t="shared" si="45"/>
        <v>0.41319237907624579</v>
      </c>
      <c r="AC28" s="351">
        <f t="shared" si="12"/>
        <v>1.963371334456912E-3</v>
      </c>
      <c r="AD28" s="351">
        <f t="shared" si="13"/>
        <v>3.7145271428571422E-2</v>
      </c>
      <c r="AE28" s="351">
        <f t="shared" si="14"/>
        <v>0.50765822867368915</v>
      </c>
      <c r="AF28" s="351">
        <f t="shared" si="15"/>
        <v>2.3991489289234427E-4</v>
      </c>
      <c r="AG28" s="351">
        <f t="shared" si="16"/>
        <v>0.54718727407343692</v>
      </c>
      <c r="AH28" s="351">
        <f t="shared" si="17"/>
        <v>1.0284831522273374</v>
      </c>
      <c r="AI28" s="351">
        <f t="shared" si="18"/>
        <v>3.4906660615710858E-3</v>
      </c>
      <c r="AJ28" s="351">
        <f t="shared" si="19"/>
        <v>1.1943914892892343E-2</v>
      </c>
      <c r="AK28" s="351">
        <f t="shared" si="20"/>
        <v>1.544320608652232E-2</v>
      </c>
      <c r="AL28" s="351">
        <f t="shared" si="21"/>
        <v>1.1703999999999999E-2</v>
      </c>
      <c r="AM28" s="351">
        <f t="shared" si="22"/>
        <v>0.14646719999999999</v>
      </c>
      <c r="AN28" s="351">
        <f t="shared" si="23"/>
        <v>1.1056549828879518E-2</v>
      </c>
      <c r="AO28" s="351">
        <f t="shared" si="24"/>
        <v>8.3999999999999993E-4</v>
      </c>
      <c r="AP28" s="351">
        <f>'Variable Management'!$B$346</f>
        <v>0.41183999999999998</v>
      </c>
      <c r="AQ28" s="351">
        <f t="shared" si="25"/>
        <v>0.36108727954971853</v>
      </c>
      <c r="AR28" s="351">
        <f t="shared" si="26"/>
        <v>0.35521199999999997</v>
      </c>
      <c r="AS28" s="351">
        <f t="shared" si="27"/>
        <v>0.41267999999999999</v>
      </c>
      <c r="AT28" s="351">
        <f t="shared" si="28"/>
        <v>1.8274005134759854</v>
      </c>
      <c r="AU28">
        <f t="shared" si="29"/>
        <v>3.1349999999999998</v>
      </c>
      <c r="AV28" s="521">
        <f t="shared" si="46"/>
        <v>0.63175070038916381</v>
      </c>
      <c r="AW28" s="530">
        <f t="shared" si="30"/>
        <v>27.041936295084351</v>
      </c>
      <c r="AX28" s="530">
        <f t="shared" si="31"/>
        <v>2.5510952834608931</v>
      </c>
      <c r="AY28" s="9"/>
      <c r="AZ28" s="4">
        <f t="shared" si="47"/>
        <v>63.175070038916381</v>
      </c>
      <c r="BA28" s="351">
        <f t="shared" si="32"/>
        <v>0.68238927642187686</v>
      </c>
      <c r="BB28" s="351">
        <f t="shared" si="33"/>
        <v>0.70909768015995922</v>
      </c>
      <c r="BC28" s="351">
        <f t="shared" si="34"/>
        <v>0.64385562607343694</v>
      </c>
      <c r="BD28" s="351">
        <f t="shared" si="35"/>
        <v>6.3777382086522325E-2</v>
      </c>
      <c r="BE28" s="351">
        <f t="shared" si="36"/>
        <v>1.1056549828879518E-2</v>
      </c>
    </row>
    <row r="29" spans="1:65" x14ac:dyDescent="0.25">
      <c r="A29" s="24" t="s">
        <v>113</v>
      </c>
      <c r="B29" s="15" t="s">
        <v>111</v>
      </c>
      <c r="C29" s="24" t="s">
        <v>76</v>
      </c>
      <c r="D29" s="17" t="s">
        <v>107</v>
      </c>
      <c r="G29">
        <v>20</v>
      </c>
      <c r="H29" s="527">
        <f t="shared" si="0"/>
        <v>24</v>
      </c>
      <c r="I29" s="4">
        <f t="shared" si="1"/>
        <v>1</v>
      </c>
      <c r="J29" s="351">
        <f t="shared" si="37"/>
        <v>1</v>
      </c>
      <c r="K29" s="351">
        <f t="shared" si="2"/>
        <v>1</v>
      </c>
      <c r="L29" s="4">
        <f t="shared" si="3"/>
        <v>0.15277777777777776</v>
      </c>
      <c r="M29" s="351">
        <f t="shared" si="4"/>
        <v>0.13904953168227724</v>
      </c>
      <c r="N29" s="4">
        <f t="shared" si="5"/>
        <v>1.9788223126148317</v>
      </c>
      <c r="O29" s="4">
        <f t="shared" si="38"/>
        <v>1.9894111563074159</v>
      </c>
      <c r="P29" s="4">
        <f t="shared" si="39"/>
        <v>1.0588843692584171E-2</v>
      </c>
      <c r="Q29" s="4">
        <f t="shared" si="6"/>
        <v>0</v>
      </c>
      <c r="R29" s="4">
        <f t="shared" si="40"/>
        <v>1.1516559723901314</v>
      </c>
      <c r="S29" s="351">
        <f t="shared" si="7"/>
        <v>3.3157786968546481E-2</v>
      </c>
      <c r="T29" s="351">
        <f t="shared" si="8"/>
        <v>0.65</v>
      </c>
      <c r="U29" s="351">
        <f t="shared" si="9"/>
        <v>0.68497476676015145</v>
      </c>
      <c r="V29" s="4">
        <f t="shared" si="41"/>
        <v>0.57123679743330547</v>
      </c>
      <c r="W29" s="351">
        <f t="shared" si="10"/>
        <v>3.2631147874185928E-4</v>
      </c>
      <c r="X29" s="351">
        <f t="shared" si="42"/>
        <v>3.2631147874185928E-4</v>
      </c>
      <c r="Y29" s="4">
        <f t="shared" si="43"/>
        <v>0.39847090181740963</v>
      </c>
      <c r="Z29" s="351">
        <f t="shared" si="11"/>
        <v>1.5877905959517971E-4</v>
      </c>
      <c r="AA29" s="520">
        <f t="shared" si="44"/>
        <v>1.5877905959517971E-4</v>
      </c>
      <c r="AB29" s="351">
        <f t="shared" si="45"/>
        <v>0.4294449789948464</v>
      </c>
      <c r="AC29" s="351">
        <f t="shared" si="12"/>
        <v>2.1208643848146668E-3</v>
      </c>
      <c r="AD29" s="351">
        <f t="shared" si="13"/>
        <v>3.9100285714285712E-2</v>
      </c>
      <c r="AE29" s="351">
        <f t="shared" si="14"/>
        <v>0.53416704000000004</v>
      </c>
      <c r="AF29" s="351">
        <f t="shared" si="15"/>
        <v>0</v>
      </c>
      <c r="AG29" s="351">
        <f t="shared" si="16"/>
        <v>0.57559327698635865</v>
      </c>
      <c r="AH29" s="351">
        <f t="shared" si="17"/>
        <v>1.068591825140907</v>
      </c>
      <c r="AI29" s="351">
        <f t="shared" si="18"/>
        <v>3.7682320129013166E-3</v>
      </c>
      <c r="AJ29" s="351">
        <f t="shared" si="19"/>
        <v>1.2319999999999999E-2</v>
      </c>
      <c r="AK29" s="351">
        <f t="shared" si="20"/>
        <v>1.6097937735191786E-2</v>
      </c>
      <c r="AL29" s="351">
        <f t="shared" si="21"/>
        <v>1.2319999999999999E-2</v>
      </c>
      <c r="AM29" s="351">
        <f t="shared" si="22"/>
        <v>0.15417600000000004</v>
      </c>
      <c r="AN29" s="351">
        <f t="shared" si="23"/>
        <v>1.1936803308676731E-2</v>
      </c>
      <c r="AO29" s="351">
        <f t="shared" si="24"/>
        <v>8.3999999999999993E-4</v>
      </c>
      <c r="AP29" s="351">
        <f>'Variable Management'!$B$346</f>
        <v>0.41183999999999998</v>
      </c>
      <c r="AQ29" s="351">
        <f t="shared" si="25"/>
        <v>0.36108727954971853</v>
      </c>
      <c r="AR29" s="351">
        <f t="shared" si="26"/>
        <v>0.35521199999999997</v>
      </c>
      <c r="AS29" s="351">
        <f t="shared" si="27"/>
        <v>0.41267999999999999</v>
      </c>
      <c r="AT29" s="351">
        <f t="shared" si="28"/>
        <v>1.8682638753287157</v>
      </c>
      <c r="AU29">
        <f t="shared" si="29"/>
        <v>3.3</v>
      </c>
      <c r="AV29" s="521">
        <f t="shared" si="46"/>
        <v>0.63851228954328709</v>
      </c>
      <c r="AW29" s="530">
        <f t="shared" si="30"/>
        <v>28.448676353427061</v>
      </c>
      <c r="AX29" s="530">
        <f t="shared" si="31"/>
        <v>2.6790407094076718</v>
      </c>
      <c r="AY29" s="9"/>
      <c r="AZ29" s="4">
        <f t="shared" si="47"/>
        <v>63.851228954328711</v>
      </c>
      <c r="BA29" s="351">
        <f t="shared" si="32"/>
        <v>0.68497476676015145</v>
      </c>
      <c r="BB29" s="351">
        <f t="shared" si="33"/>
        <v>0.74586721472155038</v>
      </c>
      <c r="BC29" s="351">
        <f t="shared" si="34"/>
        <v>0.67734943698635863</v>
      </c>
      <c r="BD29" s="351">
        <f t="shared" si="35"/>
        <v>6.6976017735191795E-2</v>
      </c>
      <c r="BE29" s="351">
        <f t="shared" si="36"/>
        <v>1.1936803308676731E-2</v>
      </c>
    </row>
    <row r="30" spans="1:65" x14ac:dyDescent="0.25">
      <c r="A30" s="22" t="s">
        <v>60</v>
      </c>
      <c r="B30" s="27">
        <f>RdsonDRB</f>
        <v>1</v>
      </c>
      <c r="C30" s="431" t="s">
        <v>116</v>
      </c>
      <c r="D30" s="427" t="s">
        <v>493</v>
      </c>
      <c r="G30">
        <v>21</v>
      </c>
      <c r="H30" s="527">
        <f t="shared" si="0"/>
        <v>24</v>
      </c>
      <c r="I30" s="4">
        <f t="shared" si="1"/>
        <v>1</v>
      </c>
      <c r="J30" s="351">
        <f t="shared" si="37"/>
        <v>1.05</v>
      </c>
      <c r="K30" s="351">
        <f t="shared" si="2"/>
        <v>1.05</v>
      </c>
      <c r="L30" s="4">
        <f t="shared" si="3"/>
        <v>0.16041666666666665</v>
      </c>
      <c r="M30" s="351">
        <f t="shared" si="4"/>
        <v>0.13912700555480559</v>
      </c>
      <c r="N30" s="4">
        <f t="shared" si="5"/>
        <v>1.9797499810582559</v>
      </c>
      <c r="O30" s="4">
        <f t="shared" si="38"/>
        <v>2.0398749905291282</v>
      </c>
      <c r="P30" s="4">
        <f t="shared" si="39"/>
        <v>6.0125009470872071E-2</v>
      </c>
      <c r="Q30" s="4">
        <f t="shared" si="6"/>
        <v>0</v>
      </c>
      <c r="R30" s="4">
        <f t="shared" si="40"/>
        <v>1.1954570251407397</v>
      </c>
      <c r="S30" s="351">
        <f t="shared" si="7"/>
        <v>3.5727937473958679E-2</v>
      </c>
      <c r="T30" s="351">
        <f t="shared" si="8"/>
        <v>0.65</v>
      </c>
      <c r="U30" s="351">
        <f t="shared" si="9"/>
        <v>0.6876935271811887</v>
      </c>
      <c r="V30" s="4">
        <f t="shared" si="41"/>
        <v>0.57150459224607031</v>
      </c>
      <c r="W30" s="351">
        <f t="shared" si="10"/>
        <v>3.266174989583471E-4</v>
      </c>
      <c r="X30" s="351">
        <f t="shared" si="42"/>
        <v>3.266174989583471E-4</v>
      </c>
      <c r="Y30" s="4">
        <f t="shared" si="43"/>
        <v>0.41372258499761433</v>
      </c>
      <c r="Z30" s="351">
        <f t="shared" si="11"/>
        <v>1.7116637733710822E-4</v>
      </c>
      <c r="AA30" s="520">
        <f t="shared" si="44"/>
        <v>1.7116637733710822E-4</v>
      </c>
      <c r="AB30" s="351">
        <f t="shared" si="45"/>
        <v>0.44590227428893864</v>
      </c>
      <c r="AC30" s="351">
        <f t="shared" si="12"/>
        <v>2.2865316394845504E-3</v>
      </c>
      <c r="AD30" s="351">
        <f t="shared" si="13"/>
        <v>4.105530000000001E-2</v>
      </c>
      <c r="AE30" s="351">
        <f t="shared" si="14"/>
        <v>0.53416704000000004</v>
      </c>
      <c r="AF30" s="351">
        <f t="shared" si="15"/>
        <v>0</v>
      </c>
      <c r="AG30" s="351">
        <f t="shared" si="16"/>
        <v>0.57773079959788531</v>
      </c>
      <c r="AH30" s="351">
        <f t="shared" si="17"/>
        <v>1.1091837813195338</v>
      </c>
      <c r="AI30" s="351">
        <f t="shared" si="18"/>
        <v>4.0599525804495881E-3</v>
      </c>
      <c r="AJ30" s="351">
        <f t="shared" si="19"/>
        <v>1.2936E-2</v>
      </c>
      <c r="AK30" s="351">
        <f t="shared" si="20"/>
        <v>1.7007000198744401E-2</v>
      </c>
      <c r="AL30" s="351">
        <f t="shared" si="21"/>
        <v>1.2936E-2</v>
      </c>
      <c r="AM30" s="351">
        <f t="shared" si="22"/>
        <v>0.16188480000000002</v>
      </c>
      <c r="AN30" s="351">
        <f t="shared" si="23"/>
        <v>1.2862057490625122E-2</v>
      </c>
      <c r="AO30" s="351">
        <f t="shared" si="24"/>
        <v>8.3999999999999993E-4</v>
      </c>
      <c r="AP30" s="351">
        <f>'Variable Management'!$B$346</f>
        <v>0.41183999999999998</v>
      </c>
      <c r="AQ30" s="351">
        <f t="shared" si="25"/>
        <v>0.36108727954971853</v>
      </c>
      <c r="AR30" s="351">
        <f t="shared" si="26"/>
        <v>0.35521199999999997</v>
      </c>
      <c r="AS30" s="351">
        <f t="shared" si="27"/>
        <v>0.41267999999999999</v>
      </c>
      <c r="AT30" s="351">
        <f t="shared" si="28"/>
        <v>1.8832919683447389</v>
      </c>
      <c r="AU30">
        <f t="shared" si="29"/>
        <v>3.4649999999999999</v>
      </c>
      <c r="AV30" s="521">
        <f t="shared" si="46"/>
        <v>0.64787038937075725</v>
      </c>
      <c r="AW30" s="530">
        <f t="shared" si="30"/>
        <v>28.752140239111185</v>
      </c>
      <c r="AX30" s="530">
        <f t="shared" si="31"/>
        <v>2.8171593679497766</v>
      </c>
      <c r="AY30" s="9"/>
      <c r="AZ30" s="4">
        <f t="shared" si="47"/>
        <v>64.787038937075721</v>
      </c>
      <c r="BA30" s="351">
        <f t="shared" si="32"/>
        <v>0.6876935271811887</v>
      </c>
      <c r="BB30" s="351">
        <f t="shared" si="33"/>
        <v>0.75662259979662971</v>
      </c>
      <c r="BC30" s="351">
        <f t="shared" si="34"/>
        <v>0.68457476759788538</v>
      </c>
      <c r="BD30" s="351">
        <f t="shared" si="35"/>
        <v>7.042898419874441E-2</v>
      </c>
      <c r="BE30" s="351">
        <f t="shared" si="36"/>
        <v>1.2862057490625122E-2</v>
      </c>
    </row>
    <row r="31" spans="1:65" x14ac:dyDescent="0.25">
      <c r="A31" s="22" t="s">
        <v>125</v>
      </c>
      <c r="B31" s="27">
        <v>0.7</v>
      </c>
      <c r="C31" s="431" t="s">
        <v>116</v>
      </c>
      <c r="D31" s="427" t="s">
        <v>492</v>
      </c>
      <c r="G31">
        <v>22</v>
      </c>
      <c r="H31" s="527">
        <f t="shared" si="0"/>
        <v>24</v>
      </c>
      <c r="I31" s="4">
        <f t="shared" si="1"/>
        <v>1</v>
      </c>
      <c r="J31" s="351">
        <f t="shared" si="37"/>
        <v>1.1000000000000001</v>
      </c>
      <c r="K31" s="351">
        <f t="shared" si="2"/>
        <v>1.1000000000000001</v>
      </c>
      <c r="L31" s="4">
        <f t="shared" si="3"/>
        <v>0.16805555555555554</v>
      </c>
      <c r="M31" s="351">
        <f t="shared" si="4"/>
        <v>0.13920447916909715</v>
      </c>
      <c r="N31" s="4">
        <f t="shared" si="5"/>
        <v>1.9806774510755314</v>
      </c>
      <c r="O31" s="4">
        <f t="shared" si="38"/>
        <v>2.0903387255377659</v>
      </c>
      <c r="P31" s="4">
        <f t="shared" si="39"/>
        <v>0.10966127446223439</v>
      </c>
      <c r="Q31" s="4">
        <f t="shared" si="6"/>
        <v>0</v>
      </c>
      <c r="R31" s="4">
        <f t="shared" si="40"/>
        <v>1.2397272268930462</v>
      </c>
      <c r="S31" s="351">
        <f t="shared" si="7"/>
        <v>3.8423089927498065E-2</v>
      </c>
      <c r="T31" s="351">
        <f t="shared" si="8"/>
        <v>0.65</v>
      </c>
      <c r="U31" s="351">
        <f t="shared" si="9"/>
        <v>0.6905457219574036</v>
      </c>
      <c r="V31" s="4">
        <f t="shared" si="41"/>
        <v>0.57177232977813996</v>
      </c>
      <c r="W31" s="351">
        <f t="shared" si="10"/>
        <v>3.2692359709992204E-4</v>
      </c>
      <c r="X31" s="351">
        <f t="shared" si="42"/>
        <v>3.2692359709992204E-4</v>
      </c>
      <c r="Y31" s="4">
        <f t="shared" si="43"/>
        <v>0.42914370207761293</v>
      </c>
      <c r="Z31" s="351">
        <f t="shared" si="11"/>
        <v>1.8416431703287901E-4</v>
      </c>
      <c r="AA31" s="520">
        <f t="shared" si="44"/>
        <v>1.8416431703287901E-4</v>
      </c>
      <c r="AB31" s="351">
        <f t="shared" si="45"/>
        <v>0.46254367237806854</v>
      </c>
      <c r="AC31" s="351">
        <f t="shared" si="12"/>
        <v>2.4603864618553848E-3</v>
      </c>
      <c r="AD31" s="351">
        <f t="shared" si="13"/>
        <v>4.3010314285714293E-2</v>
      </c>
      <c r="AE31" s="351">
        <f t="shared" si="14"/>
        <v>0.53416704000000004</v>
      </c>
      <c r="AF31" s="351">
        <f t="shared" si="15"/>
        <v>0</v>
      </c>
      <c r="AG31" s="351">
        <f t="shared" si="16"/>
        <v>0.57987743014078363</v>
      </c>
      <c r="AH31" s="351">
        <f t="shared" si="17"/>
        <v>1.1502073501082022</v>
      </c>
      <c r="AI31" s="351">
        <f t="shared" si="18"/>
        <v>4.365823929201677E-3</v>
      </c>
      <c r="AJ31" s="351">
        <f t="shared" si="19"/>
        <v>1.3552E-2</v>
      </c>
      <c r="AK31" s="351">
        <f t="shared" si="20"/>
        <v>1.7930348848571601E-2</v>
      </c>
      <c r="AL31" s="351">
        <f t="shared" si="21"/>
        <v>1.3552E-2</v>
      </c>
      <c r="AM31" s="351">
        <f t="shared" si="22"/>
        <v>0.16959360000000004</v>
      </c>
      <c r="AN31" s="351">
        <f t="shared" si="23"/>
        <v>1.3832312373899302E-2</v>
      </c>
      <c r="AO31" s="351">
        <f t="shared" si="24"/>
        <v>8.3999999999999993E-4</v>
      </c>
      <c r="AP31" s="351">
        <f>'Variable Management'!$B$346</f>
        <v>0.41183999999999998</v>
      </c>
      <c r="AQ31" s="351">
        <f t="shared" si="25"/>
        <v>0.36108727954971853</v>
      </c>
      <c r="AR31" s="351">
        <f t="shared" si="26"/>
        <v>0.35521199999999997</v>
      </c>
      <c r="AS31" s="351">
        <f t="shared" si="27"/>
        <v>0.41267999999999999</v>
      </c>
      <c r="AT31" s="351">
        <f t="shared" si="28"/>
        <v>1.8985225012347908</v>
      </c>
      <c r="AU31">
        <f t="shared" si="29"/>
        <v>3.63</v>
      </c>
      <c r="AV31" s="521">
        <f t="shared" si="46"/>
        <v>0.65659495809038348</v>
      </c>
      <c r="AW31" s="530">
        <f t="shared" si="30"/>
        <v>29.055986657912914</v>
      </c>
      <c r="AX31" s="530">
        <f t="shared" si="31"/>
        <v>2.9558494739428642</v>
      </c>
      <c r="AY31" s="9"/>
      <c r="AZ31" s="4">
        <f t="shared" si="47"/>
        <v>65.659495809038347</v>
      </c>
      <c r="BA31" s="351">
        <f t="shared" si="32"/>
        <v>0.6905457219574036</v>
      </c>
      <c r="BB31" s="351">
        <f t="shared" si="33"/>
        <v>0.76740137898935523</v>
      </c>
      <c r="BC31" s="351">
        <f t="shared" si="34"/>
        <v>0.69180920614078367</v>
      </c>
      <c r="BD31" s="351">
        <f t="shared" si="35"/>
        <v>7.3896236848571606E-2</v>
      </c>
      <c r="BE31" s="351">
        <f t="shared" si="36"/>
        <v>1.3832312373899302E-2</v>
      </c>
    </row>
    <row r="32" spans="1:65" x14ac:dyDescent="0.25">
      <c r="A32" s="24" t="s">
        <v>62</v>
      </c>
      <c r="B32" s="15" t="s">
        <v>111</v>
      </c>
      <c r="C32" s="24" t="s">
        <v>76</v>
      </c>
      <c r="D32" s="17" t="s">
        <v>107</v>
      </c>
      <c r="G32">
        <v>23</v>
      </c>
      <c r="H32" s="527">
        <f t="shared" si="0"/>
        <v>24</v>
      </c>
      <c r="I32" s="4">
        <f t="shared" si="1"/>
        <v>1</v>
      </c>
      <c r="J32" s="351">
        <f t="shared" si="37"/>
        <v>1.1499999999999999</v>
      </c>
      <c r="K32" s="351">
        <f t="shared" si="2"/>
        <v>1.1499999999999999</v>
      </c>
      <c r="L32" s="4">
        <f t="shared" si="3"/>
        <v>0.1756944444444444</v>
      </c>
      <c r="M32" s="351">
        <f t="shared" si="4"/>
        <v>0.13928195252515319</v>
      </c>
      <c r="N32" s="4">
        <f t="shared" si="5"/>
        <v>1.9816047226676496</v>
      </c>
      <c r="O32" s="4">
        <f t="shared" si="38"/>
        <v>2.140802361333825</v>
      </c>
      <c r="P32" s="4">
        <f t="shared" si="39"/>
        <v>0.15919763866617509</v>
      </c>
      <c r="Q32" s="4">
        <f t="shared" si="6"/>
        <v>0</v>
      </c>
      <c r="R32" s="4">
        <f t="shared" si="40"/>
        <v>1.2844180678715533</v>
      </c>
      <c r="S32" s="351">
        <f t="shared" si="7"/>
        <v>4.1243244326872354E-2</v>
      </c>
      <c r="T32" s="351">
        <f t="shared" si="8"/>
        <v>0.65</v>
      </c>
      <c r="U32" s="351">
        <f t="shared" si="9"/>
        <v>0.69353152353274827</v>
      </c>
      <c r="V32" s="4">
        <f t="shared" si="41"/>
        <v>0.57204001002980065</v>
      </c>
      <c r="W32" s="351">
        <f t="shared" si="10"/>
        <v>3.2722977307489442E-4</v>
      </c>
      <c r="X32" s="351">
        <f t="shared" si="42"/>
        <v>3.2722977307489442E-4</v>
      </c>
      <c r="Y32" s="4">
        <f t="shared" si="43"/>
        <v>0.44471756587308708</v>
      </c>
      <c r="Z32" s="351">
        <f t="shared" si="11"/>
        <v>1.9777371339608355E-4</v>
      </c>
      <c r="AA32" s="520">
        <f t="shared" si="44"/>
        <v>1.9777371339608355E-4</v>
      </c>
      <c r="AB32" s="351">
        <f t="shared" si="45"/>
        <v>0.47935121146477677</v>
      </c>
      <c r="AC32" s="351">
        <f t="shared" si="12"/>
        <v>2.6424422152266148E-3</v>
      </c>
      <c r="AD32" s="351">
        <f t="shared" si="13"/>
        <v>4.4965328571428563E-2</v>
      </c>
      <c r="AE32" s="351">
        <f t="shared" si="14"/>
        <v>0.53416704000000004</v>
      </c>
      <c r="AF32" s="351">
        <f t="shared" si="15"/>
        <v>0</v>
      </c>
      <c r="AG32" s="351">
        <f t="shared" si="16"/>
        <v>0.58203319295204803</v>
      </c>
      <c r="AH32" s="351">
        <f t="shared" si="17"/>
        <v>1.1916174676221163</v>
      </c>
      <c r="AI32" s="351">
        <f t="shared" si="18"/>
        <v>4.68584222416908E-3</v>
      </c>
      <c r="AJ32" s="351">
        <f t="shared" si="19"/>
        <v>1.4167999999999998E-2</v>
      </c>
      <c r="AK32" s="351">
        <f t="shared" si="20"/>
        <v>1.8867988210703932E-2</v>
      </c>
      <c r="AL32" s="351">
        <f t="shared" si="21"/>
        <v>1.4167999999999998E-2</v>
      </c>
      <c r="AM32" s="351">
        <f t="shared" si="22"/>
        <v>0.1773024</v>
      </c>
      <c r="AN32" s="351">
        <f t="shared" si="23"/>
        <v>1.4847567957674045E-2</v>
      </c>
      <c r="AO32" s="351">
        <f t="shared" si="24"/>
        <v>8.3999999999999993E-4</v>
      </c>
      <c r="AP32" s="351">
        <f>'Variable Management'!$B$346</f>
        <v>0.41183999999999998</v>
      </c>
      <c r="AQ32" s="351">
        <f t="shared" si="25"/>
        <v>0.36108727954971853</v>
      </c>
      <c r="AR32" s="351">
        <f t="shared" si="26"/>
        <v>0.35521199999999997</v>
      </c>
      <c r="AS32" s="351">
        <f t="shared" si="27"/>
        <v>0.41267999999999999</v>
      </c>
      <c r="AT32" s="351">
        <f t="shared" si="28"/>
        <v>1.9139556761396452</v>
      </c>
      <c r="AU32">
        <f t="shared" si="29"/>
        <v>3.7949999999999995</v>
      </c>
      <c r="AV32" s="521">
        <f t="shared" si="46"/>
        <v>0.66474504537862367</v>
      </c>
      <c r="AW32" s="530">
        <f t="shared" si="30"/>
        <v>29.360216631986017</v>
      </c>
      <c r="AX32" s="530">
        <f t="shared" si="31"/>
        <v>3.0951112084281576</v>
      </c>
      <c r="AY32" s="9"/>
      <c r="AZ32" s="4">
        <f t="shared" si="47"/>
        <v>66.474504537862373</v>
      </c>
      <c r="BA32" s="351">
        <f t="shared" si="32"/>
        <v>0.69353152353274827</v>
      </c>
      <c r="BB32" s="351">
        <f t="shared" si="33"/>
        <v>0.7782035811627519</v>
      </c>
      <c r="BC32" s="351">
        <f t="shared" si="34"/>
        <v>0.69905277695204804</v>
      </c>
      <c r="BD32" s="351">
        <f t="shared" si="35"/>
        <v>7.7377780210703934E-2</v>
      </c>
      <c r="BE32" s="351">
        <f t="shared" si="36"/>
        <v>1.4847567957674045E-2</v>
      </c>
    </row>
    <row r="33" spans="1:57" x14ac:dyDescent="0.25">
      <c r="A33" s="435" t="s">
        <v>826</v>
      </c>
      <c r="B33" s="5">
        <v>10</v>
      </c>
      <c r="C33" s="427" t="s">
        <v>75</v>
      </c>
      <c r="D33" s="427" t="s">
        <v>827</v>
      </c>
      <c r="G33">
        <v>24</v>
      </c>
      <c r="H33" s="527">
        <f t="shared" si="0"/>
        <v>24</v>
      </c>
      <c r="I33" s="4">
        <f t="shared" si="1"/>
        <v>1</v>
      </c>
      <c r="J33" s="351">
        <f t="shared" si="37"/>
        <v>1.2</v>
      </c>
      <c r="K33" s="351">
        <f t="shared" si="2"/>
        <v>1.2</v>
      </c>
      <c r="L33" s="4">
        <f t="shared" si="3"/>
        <v>0.18333333333333329</v>
      </c>
      <c r="M33" s="351">
        <f t="shared" si="4"/>
        <v>0.1393594256229751</v>
      </c>
      <c r="N33" s="4">
        <f t="shared" si="5"/>
        <v>1.9825317958356048</v>
      </c>
      <c r="O33" s="4">
        <f t="shared" si="38"/>
        <v>2.1912658979178024</v>
      </c>
      <c r="P33" s="4">
        <f t="shared" si="39"/>
        <v>0.20873410208219756</v>
      </c>
      <c r="Q33" s="4">
        <f t="shared" si="6"/>
        <v>0</v>
      </c>
      <c r="R33" s="4">
        <f t="shared" si="40"/>
        <v>1.3294871292312669</v>
      </c>
      <c r="S33" s="351">
        <f t="shared" si="7"/>
        <v>4.4188400669789886E-2</v>
      </c>
      <c r="T33" s="351">
        <f t="shared" si="8"/>
        <v>0.65</v>
      </c>
      <c r="U33" s="351">
        <f t="shared" si="9"/>
        <v>0.69665111254885903</v>
      </c>
      <c r="V33" s="4">
        <f t="shared" si="41"/>
        <v>0.57230763300133936</v>
      </c>
      <c r="W33" s="351">
        <f t="shared" si="10"/>
        <v>3.2753602679159571E-4</v>
      </c>
      <c r="X33" s="351">
        <f t="shared" si="42"/>
        <v>3.2753602679159571E-4</v>
      </c>
      <c r="Y33" s="4">
        <f t="shared" si="43"/>
        <v>0.46042958286216246</v>
      </c>
      <c r="Z33" s="351">
        <f t="shared" si="11"/>
        <v>2.1199540077462492E-4</v>
      </c>
      <c r="AA33" s="520">
        <f t="shared" si="44"/>
        <v>2.1199540077462492E-4</v>
      </c>
      <c r="AB33" s="351">
        <f t="shared" si="45"/>
        <v>0.4963091833339297</v>
      </c>
      <c r="AC33" s="351">
        <f t="shared" si="12"/>
        <v>2.832712262808311E-3</v>
      </c>
      <c r="AD33" s="351">
        <f t="shared" si="13"/>
        <v>4.6920342857142854E-2</v>
      </c>
      <c r="AE33" s="351">
        <f t="shared" si="14"/>
        <v>0.53416704000000004</v>
      </c>
      <c r="AF33" s="351">
        <f t="shared" si="15"/>
        <v>0</v>
      </c>
      <c r="AG33" s="351">
        <f t="shared" si="16"/>
        <v>0.5841981124663429</v>
      </c>
      <c r="AH33" s="351">
        <f t="shared" si="17"/>
        <v>1.233374728673327</v>
      </c>
      <c r="AI33" s="351">
        <f t="shared" si="18"/>
        <v>5.0200036303890095E-3</v>
      </c>
      <c r="AJ33" s="351">
        <f t="shared" si="19"/>
        <v>1.4783999999999999E-2</v>
      </c>
      <c r="AK33" s="351">
        <f t="shared" si="20"/>
        <v>1.9819923004058514E-2</v>
      </c>
      <c r="AL33" s="351">
        <f t="shared" si="21"/>
        <v>1.4783999999999999E-2</v>
      </c>
      <c r="AM33" s="351">
        <f t="shared" si="22"/>
        <v>0.18501119999999999</v>
      </c>
      <c r="AN33" s="351">
        <f t="shared" si="23"/>
        <v>1.5907824241124358E-2</v>
      </c>
      <c r="AO33" s="351">
        <f t="shared" si="24"/>
        <v>8.3999999999999993E-4</v>
      </c>
      <c r="AP33" s="351">
        <f>'Variable Management'!$B$346</f>
        <v>0.41183999999999998</v>
      </c>
      <c r="AQ33" s="351">
        <f t="shared" si="25"/>
        <v>0.36108727954971853</v>
      </c>
      <c r="AR33" s="351">
        <f t="shared" si="26"/>
        <v>0.35521199999999997</v>
      </c>
      <c r="AS33" s="351">
        <f t="shared" si="27"/>
        <v>0.41267999999999999</v>
      </c>
      <c r="AT33" s="351">
        <f t="shared" si="28"/>
        <v>1.9295917036879509</v>
      </c>
      <c r="AU33">
        <f t="shared" si="29"/>
        <v>3.9599999999999995</v>
      </c>
      <c r="AV33" s="521">
        <f t="shared" si="46"/>
        <v>0.67237258527111876</v>
      </c>
      <c r="AW33" s="530">
        <f t="shared" si="30"/>
        <v>29.664831187586401</v>
      </c>
      <c r="AX33" s="530">
        <f t="shared" si="31"/>
        <v>3.2349447601623407</v>
      </c>
      <c r="AY33" s="9"/>
      <c r="AZ33" s="4">
        <f t="shared" si="47"/>
        <v>67.237258527111877</v>
      </c>
      <c r="BA33" s="351">
        <f t="shared" si="32"/>
        <v>0.69665111254885903</v>
      </c>
      <c r="BB33" s="351">
        <f t="shared" si="33"/>
        <v>0.78902923547040138</v>
      </c>
      <c r="BC33" s="351">
        <f t="shared" si="34"/>
        <v>0.70630550446634288</v>
      </c>
      <c r="BD33" s="351">
        <f t="shared" si="35"/>
        <v>8.0873619004058511E-2</v>
      </c>
      <c r="BE33" s="351">
        <f t="shared" si="36"/>
        <v>1.5907824241124358E-2</v>
      </c>
    </row>
    <row r="34" spans="1:57" x14ac:dyDescent="0.25">
      <c r="A34" s="435" t="s">
        <v>828</v>
      </c>
      <c r="B34" s="5">
        <v>13</v>
      </c>
      <c r="C34" s="427" t="s">
        <v>75</v>
      </c>
      <c r="D34" s="427" t="s">
        <v>827</v>
      </c>
      <c r="G34">
        <v>25</v>
      </c>
      <c r="H34" s="527">
        <f t="shared" si="0"/>
        <v>24</v>
      </c>
      <c r="I34" s="4">
        <f t="shared" si="1"/>
        <v>1</v>
      </c>
      <c r="J34" s="351">
        <f t="shared" si="37"/>
        <v>1.25</v>
      </c>
      <c r="K34" s="351">
        <f t="shared" si="2"/>
        <v>1.25</v>
      </c>
      <c r="L34" s="4">
        <f t="shared" si="3"/>
        <v>0.19097222222222221</v>
      </c>
      <c r="M34" s="351">
        <f t="shared" si="4"/>
        <v>0.13943689846256405</v>
      </c>
      <c r="N34" s="4">
        <f t="shared" si="5"/>
        <v>1.9834586705803865</v>
      </c>
      <c r="O34" s="4">
        <f t="shared" si="38"/>
        <v>2.2417293352901932</v>
      </c>
      <c r="P34" s="4">
        <f t="shared" si="39"/>
        <v>0.25827066470980675</v>
      </c>
      <c r="Q34" s="4">
        <f t="shared" si="6"/>
        <v>0</v>
      </c>
      <c r="R34" s="4">
        <f t="shared" si="40"/>
        <v>1.3748972173069434</v>
      </c>
      <c r="S34" s="351">
        <f t="shared" si="7"/>
        <v>4.7258558953959411E-2</v>
      </c>
      <c r="T34" s="351">
        <f t="shared" si="8"/>
        <v>0.65</v>
      </c>
      <c r="U34" s="351">
        <f t="shared" si="9"/>
        <v>0.69990467787247046</v>
      </c>
      <c r="V34" s="4">
        <f t="shared" si="41"/>
        <v>0.57257519869304174</v>
      </c>
      <c r="W34" s="351">
        <f t="shared" si="10"/>
        <v>3.2784235815837628E-4</v>
      </c>
      <c r="X34" s="351">
        <f t="shared" si="42"/>
        <v>3.2784235815837628E-4</v>
      </c>
      <c r="Y34" s="4">
        <f t="shared" si="43"/>
        <v>0.47626695576191547</v>
      </c>
      <c r="Z34" s="351">
        <f t="shared" si="11"/>
        <v>2.2683021315072235E-4</v>
      </c>
      <c r="AA34" s="520">
        <f t="shared" si="44"/>
        <v>2.2683021315072235E-4</v>
      </c>
      <c r="AB34" s="351">
        <f t="shared" si="45"/>
        <v>0.51340381324451945</v>
      </c>
      <c r="AC34" s="351">
        <f t="shared" si="12"/>
        <v>3.0312099677211541E-3</v>
      </c>
      <c r="AD34" s="351">
        <f t="shared" si="13"/>
        <v>4.8875357142857144E-2</v>
      </c>
      <c r="AE34" s="351">
        <f t="shared" si="14"/>
        <v>0.53416704000000004</v>
      </c>
      <c r="AF34" s="351">
        <f t="shared" si="15"/>
        <v>0</v>
      </c>
      <c r="AG34" s="351">
        <f t="shared" si="16"/>
        <v>0.58637221321655775</v>
      </c>
      <c r="AH34" s="351">
        <f t="shared" si="17"/>
        <v>1.2754445823728928</v>
      </c>
      <c r="AI34" s="351">
        <f t="shared" si="18"/>
        <v>5.3683043129243982E-3</v>
      </c>
      <c r="AJ34" s="351">
        <f t="shared" si="19"/>
        <v>1.5399999999999999E-2</v>
      </c>
      <c r="AK34" s="351">
        <f t="shared" si="20"/>
        <v>2.0786158140507566E-2</v>
      </c>
      <c r="AL34" s="351">
        <f t="shared" si="21"/>
        <v>1.5399999999999999E-2</v>
      </c>
      <c r="AM34" s="351">
        <f t="shared" si="22"/>
        <v>0.19272</v>
      </c>
      <c r="AN34" s="351">
        <f t="shared" si="23"/>
        <v>1.7013081223425385E-2</v>
      </c>
      <c r="AO34" s="351">
        <f t="shared" si="24"/>
        <v>8.3999999999999993E-4</v>
      </c>
      <c r="AP34" s="351">
        <f>'Variable Management'!$B$346</f>
        <v>0.41183999999999998</v>
      </c>
      <c r="AQ34" s="351">
        <f t="shared" si="25"/>
        <v>0.36108727954971853</v>
      </c>
      <c r="AR34" s="351">
        <f t="shared" si="26"/>
        <v>0.35521199999999997</v>
      </c>
      <c r="AS34" s="351">
        <f t="shared" si="27"/>
        <v>0.41267999999999999</v>
      </c>
      <c r="AT34" s="351">
        <f t="shared" si="28"/>
        <v>1.9454308030242704</v>
      </c>
      <c r="AU34">
        <f t="shared" si="29"/>
        <v>4.125</v>
      </c>
      <c r="AV34" s="521">
        <f t="shared" si="46"/>
        <v>0.6795234364495083</v>
      </c>
      <c r="AW34" s="530">
        <f t="shared" si="30"/>
        <v>29.969831355095423</v>
      </c>
      <c r="AX34" s="530">
        <f t="shared" si="31"/>
        <v>3.3753503256203028</v>
      </c>
      <c r="AY34" s="9"/>
      <c r="AZ34" s="4">
        <f t="shared" si="47"/>
        <v>67.95234364495083</v>
      </c>
      <c r="BA34" s="351">
        <f t="shared" si="32"/>
        <v>0.69990467787247046</v>
      </c>
      <c r="BB34" s="351">
        <f t="shared" si="33"/>
        <v>0.7998783713570653</v>
      </c>
      <c r="BC34" s="351">
        <f t="shared" si="34"/>
        <v>0.7135674132165577</v>
      </c>
      <c r="BD34" s="351">
        <f t="shared" si="35"/>
        <v>8.4383758140507567E-2</v>
      </c>
      <c r="BE34" s="351">
        <f t="shared" si="36"/>
        <v>1.7013081223425385E-2</v>
      </c>
    </row>
    <row r="35" spans="1:57" x14ac:dyDescent="0.25">
      <c r="A35" s="24" t="s">
        <v>52</v>
      </c>
      <c r="B35" s="15" t="s">
        <v>111</v>
      </c>
      <c r="C35" s="24" t="s">
        <v>76</v>
      </c>
      <c r="D35" s="17" t="s">
        <v>107</v>
      </c>
      <c r="G35">
        <v>26</v>
      </c>
      <c r="H35" s="527">
        <f t="shared" si="0"/>
        <v>24</v>
      </c>
      <c r="I35" s="4">
        <f t="shared" si="1"/>
        <v>1</v>
      </c>
      <c r="J35" s="351">
        <f t="shared" si="37"/>
        <v>1.3</v>
      </c>
      <c r="K35" s="351">
        <f t="shared" si="2"/>
        <v>1.3</v>
      </c>
      <c r="L35" s="4">
        <f t="shared" si="3"/>
        <v>0.1986111111111111</v>
      </c>
      <c r="M35" s="351">
        <f t="shared" si="4"/>
        <v>0.13951437104392142</v>
      </c>
      <c r="N35" s="4">
        <f t="shared" si="5"/>
        <v>1.9843853469029882</v>
      </c>
      <c r="O35" s="4">
        <f t="shared" si="38"/>
        <v>2.2921926734514941</v>
      </c>
      <c r="P35" s="4">
        <f t="shared" si="39"/>
        <v>0.30780732654850596</v>
      </c>
      <c r="Q35" s="4">
        <f t="shared" si="6"/>
        <v>0</v>
      </c>
      <c r="R35" s="4">
        <f t="shared" si="40"/>
        <v>1.4206156296069701</v>
      </c>
      <c r="S35" s="351">
        <f t="shared" si="7"/>
        <v>5.0453719177090198E-2</v>
      </c>
      <c r="T35" s="351">
        <f t="shared" si="8"/>
        <v>0.65</v>
      </c>
      <c r="U35" s="351">
        <f t="shared" si="9"/>
        <v>0.70329241662410857</v>
      </c>
      <c r="V35" s="4">
        <f t="shared" si="41"/>
        <v>0.57284270710519458</v>
      </c>
      <c r="W35" s="351">
        <f t="shared" si="10"/>
        <v>3.2814876708360774E-4</v>
      </c>
      <c r="X35" s="351">
        <f t="shared" si="42"/>
        <v>3.2814876708360774E-4</v>
      </c>
      <c r="Y35" s="4">
        <f t="shared" si="43"/>
        <v>0.49221843132995208</v>
      </c>
      <c r="Z35" s="351">
        <f t="shared" si="11"/>
        <v>2.4227898414091876E-4</v>
      </c>
      <c r="AA35" s="520">
        <f t="shared" si="44"/>
        <v>2.4227898414091876E-4</v>
      </c>
      <c r="AB35" s="351">
        <f t="shared" si="45"/>
        <v>0.53062298848875278</v>
      </c>
      <c r="AC35" s="351">
        <f t="shared" si="12"/>
        <v>3.2379486929964532E-3</v>
      </c>
      <c r="AD35" s="351">
        <f t="shared" si="13"/>
        <v>5.0830371428571434E-2</v>
      </c>
      <c r="AE35" s="351">
        <f t="shared" si="14"/>
        <v>0.53416704000000004</v>
      </c>
      <c r="AF35" s="351">
        <f t="shared" si="15"/>
        <v>0</v>
      </c>
      <c r="AG35" s="351">
        <f t="shared" si="16"/>
        <v>0.58855551983437004</v>
      </c>
      <c r="AH35" s="351">
        <f t="shared" si="17"/>
        <v>1.3177966501592242</v>
      </c>
      <c r="AI35" s="351">
        <f t="shared" si="18"/>
        <v>5.7307404368638799E-3</v>
      </c>
      <c r="AJ35" s="351">
        <f t="shared" si="19"/>
        <v>1.6015999999999999E-2</v>
      </c>
      <c r="AK35" s="351">
        <f t="shared" si="20"/>
        <v>2.1766698724953501E-2</v>
      </c>
      <c r="AL35" s="351">
        <f t="shared" si="21"/>
        <v>1.6015999999999999E-2</v>
      </c>
      <c r="AM35" s="351">
        <f t="shared" si="22"/>
        <v>0.20042880000000002</v>
      </c>
      <c r="AN35" s="351">
        <f t="shared" si="23"/>
        <v>1.816333890375247E-2</v>
      </c>
      <c r="AO35" s="351">
        <f t="shared" si="24"/>
        <v>8.3999999999999993E-4</v>
      </c>
      <c r="AP35" s="351">
        <f>'Variable Management'!$B$346</f>
        <v>0.41183999999999998</v>
      </c>
      <c r="AQ35" s="351">
        <f t="shared" si="25"/>
        <v>0.36108727954971853</v>
      </c>
      <c r="AR35" s="351">
        <f t="shared" si="26"/>
        <v>0.35521199999999997</v>
      </c>
      <c r="AS35" s="351">
        <f t="shared" si="27"/>
        <v>0.41267999999999999</v>
      </c>
      <c r="AT35" s="351">
        <f t="shared" si="28"/>
        <v>1.9614732018384091</v>
      </c>
      <c r="AU35">
        <f t="shared" si="29"/>
        <v>4.29</v>
      </c>
      <c r="AV35" s="521">
        <f t="shared" si="46"/>
        <v>0.68623824520889154</v>
      </c>
      <c r="AW35" s="530">
        <f t="shared" si="30"/>
        <v>30.275218169043544</v>
      </c>
      <c r="AX35" s="530">
        <f t="shared" si="31"/>
        <v>3.51632810899814</v>
      </c>
      <c r="AY35" s="9"/>
      <c r="AZ35" s="4">
        <f t="shared" si="47"/>
        <v>68.623824520889158</v>
      </c>
      <c r="BA35" s="351">
        <f t="shared" si="32"/>
        <v>0.70329241662410857</v>
      </c>
      <c r="BB35" s="351">
        <f t="shared" si="33"/>
        <v>0.81075101855932363</v>
      </c>
      <c r="BC35" s="351">
        <f t="shared" si="34"/>
        <v>0.72083852783437008</v>
      </c>
      <c r="BD35" s="351">
        <f t="shared" si="35"/>
        <v>8.7908202724953505E-2</v>
      </c>
      <c r="BE35" s="351">
        <f t="shared" si="36"/>
        <v>1.816333890375247E-2</v>
      </c>
    </row>
    <row r="36" spans="1:57" x14ac:dyDescent="0.25">
      <c r="A36" s="22" t="s">
        <v>128</v>
      </c>
      <c r="B36" s="5">
        <f>Iq*1000</f>
        <v>3.4999999999999996E-2</v>
      </c>
      <c r="C36" s="427" t="s">
        <v>64</v>
      </c>
      <c r="D36" s="21" t="s">
        <v>131</v>
      </c>
      <c r="G36">
        <v>27</v>
      </c>
      <c r="H36" s="527">
        <f t="shared" si="0"/>
        <v>24</v>
      </c>
      <c r="I36" s="4">
        <f t="shared" si="1"/>
        <v>1</v>
      </c>
      <c r="J36" s="351">
        <f t="shared" si="37"/>
        <v>1.35</v>
      </c>
      <c r="K36" s="351">
        <f t="shared" si="2"/>
        <v>1.35</v>
      </c>
      <c r="L36" s="4">
        <f t="shared" si="3"/>
        <v>0.20624999999999999</v>
      </c>
      <c r="M36" s="351">
        <f t="shared" si="4"/>
        <v>0.13959184336704847</v>
      </c>
      <c r="N36" s="4">
        <f t="shared" si="5"/>
        <v>1.9853118248044022</v>
      </c>
      <c r="O36" s="4">
        <f t="shared" si="38"/>
        <v>2.3426559124022011</v>
      </c>
      <c r="P36" s="4">
        <f t="shared" si="39"/>
        <v>0.35734408759779901</v>
      </c>
      <c r="Q36" s="4">
        <f t="shared" si="6"/>
        <v>0</v>
      </c>
      <c r="R36" s="4">
        <f t="shared" si="40"/>
        <v>1.4666135324193905</v>
      </c>
      <c r="S36" s="351">
        <f t="shared" si="7"/>
        <v>5.3773881336892072E-2</v>
      </c>
      <c r="T36" s="351">
        <f t="shared" si="8"/>
        <v>0.65</v>
      </c>
      <c r="U36" s="351">
        <f t="shared" si="9"/>
        <v>0.70681453420806772</v>
      </c>
      <c r="V36" s="4">
        <f t="shared" si="41"/>
        <v>0.57311015823808442</v>
      </c>
      <c r="W36" s="351">
        <f t="shared" si="10"/>
        <v>3.2845525347568219E-4</v>
      </c>
      <c r="X36" s="351">
        <f t="shared" si="42"/>
        <v>3.2845525347568219E-4</v>
      </c>
      <c r="Y36" s="4">
        <f t="shared" si="43"/>
        <v>0.50827408648886063</v>
      </c>
      <c r="Z36" s="351">
        <f t="shared" si="11"/>
        <v>2.583425469960858E-4</v>
      </c>
      <c r="AA36" s="520">
        <f t="shared" si="44"/>
        <v>2.583425469960858E-4</v>
      </c>
      <c r="AB36" s="351">
        <f t="shared" si="45"/>
        <v>0.54795602819268951</v>
      </c>
      <c r="AC36" s="351">
        <f t="shared" si="12"/>
        <v>3.4529418015761364E-3</v>
      </c>
      <c r="AD36" s="351">
        <f t="shared" si="13"/>
        <v>5.2785385714285718E-2</v>
      </c>
      <c r="AE36" s="351">
        <f t="shared" si="14"/>
        <v>0.53416704000000004</v>
      </c>
      <c r="AF36" s="351">
        <f t="shared" si="15"/>
        <v>0</v>
      </c>
      <c r="AG36" s="351">
        <f t="shared" si="16"/>
        <v>0.59074805705080757</v>
      </c>
      <c r="AH36" s="351">
        <f t="shared" si="17"/>
        <v>1.3604041475396107</v>
      </c>
      <c r="AI36" s="351">
        <f t="shared" si="18"/>
        <v>6.1073081673218175E-3</v>
      </c>
      <c r="AJ36" s="351">
        <f t="shared" si="19"/>
        <v>1.6632000000000001E-2</v>
      </c>
      <c r="AK36" s="351">
        <f t="shared" si="20"/>
        <v>2.2761550055410508E-2</v>
      </c>
      <c r="AL36" s="351">
        <f t="shared" si="21"/>
        <v>1.6632000000000001E-2</v>
      </c>
      <c r="AM36" s="351">
        <f t="shared" si="22"/>
        <v>0.20813760000000001</v>
      </c>
      <c r="AN36" s="351">
        <f t="shared" si="23"/>
        <v>1.9358597281281142E-2</v>
      </c>
      <c r="AO36" s="351">
        <f t="shared" si="24"/>
        <v>8.3999999999999993E-4</v>
      </c>
      <c r="AP36" s="351">
        <f>'Variable Management'!$B$346</f>
        <v>0.41183999999999998</v>
      </c>
      <c r="AQ36" s="351">
        <f t="shared" si="25"/>
        <v>0.36108727954971853</v>
      </c>
      <c r="AR36" s="351">
        <f t="shared" si="26"/>
        <v>0.35521199999999997</v>
      </c>
      <c r="AS36" s="351">
        <f t="shared" si="27"/>
        <v>0.41267999999999999</v>
      </c>
      <c r="AT36" s="351">
        <f t="shared" si="28"/>
        <v>1.9777191363960385</v>
      </c>
      <c r="AU36">
        <f t="shared" si="29"/>
        <v>4.4550000000000001</v>
      </c>
      <c r="AV36" s="521">
        <f t="shared" si="46"/>
        <v>0.69255316539374601</v>
      </c>
      <c r="AW36" s="530">
        <f t="shared" si="30"/>
        <v>30.58099266813392</v>
      </c>
      <c r="AX36" s="530">
        <f t="shared" si="31"/>
        <v>3.65787832221642</v>
      </c>
      <c r="AY36" s="9"/>
      <c r="AZ36" s="4">
        <f t="shared" si="47"/>
        <v>69.255316539374604</v>
      </c>
      <c r="BA36" s="351">
        <f t="shared" si="32"/>
        <v>0.70681453420806772</v>
      </c>
      <c r="BB36" s="351">
        <f t="shared" si="33"/>
        <v>0.82164720710621808</v>
      </c>
      <c r="BC36" s="351">
        <f t="shared" si="34"/>
        <v>0.72811887305080758</v>
      </c>
      <c r="BD36" s="351">
        <f t="shared" si="35"/>
        <v>9.1446958055410504E-2</v>
      </c>
      <c r="BE36" s="351">
        <f t="shared" si="36"/>
        <v>1.9358597281281142E-2</v>
      </c>
    </row>
    <row r="37" spans="1:57" x14ac:dyDescent="0.25">
      <c r="A37" s="24" t="s">
        <v>512</v>
      </c>
      <c r="B37" s="15" t="s">
        <v>111</v>
      </c>
      <c r="C37" s="24" t="s">
        <v>76</v>
      </c>
      <c r="D37" s="17" t="s">
        <v>107</v>
      </c>
      <c r="G37">
        <v>28</v>
      </c>
      <c r="H37" s="527">
        <f t="shared" si="0"/>
        <v>24</v>
      </c>
      <c r="I37" s="4">
        <f t="shared" si="1"/>
        <v>1</v>
      </c>
      <c r="J37" s="351">
        <f t="shared" si="37"/>
        <v>1.4</v>
      </c>
      <c r="K37" s="351">
        <f t="shared" si="2"/>
        <v>1.4</v>
      </c>
      <c r="L37" s="4">
        <f t="shared" si="3"/>
        <v>0.21388888888888885</v>
      </c>
      <c r="M37" s="351">
        <f t="shared" si="4"/>
        <v>0.13966931543194649</v>
      </c>
      <c r="N37" s="4">
        <f t="shared" si="5"/>
        <v>1.9862381042856194</v>
      </c>
      <c r="O37" s="4">
        <f t="shared" si="38"/>
        <v>2.3931190521428096</v>
      </c>
      <c r="P37" s="4">
        <f t="shared" si="39"/>
        <v>0.4068809478571902</v>
      </c>
      <c r="Q37" s="4">
        <f t="shared" si="6"/>
        <v>0</v>
      </c>
      <c r="R37" s="4">
        <f t="shared" si="40"/>
        <v>1.5128654326287618</v>
      </c>
      <c r="S37" s="351">
        <f t="shared" si="7"/>
        <v>5.7219045431075269E-2</v>
      </c>
      <c r="T37" s="351">
        <f t="shared" si="8"/>
        <v>0.65</v>
      </c>
      <c r="U37" s="351">
        <f t="shared" si="9"/>
        <v>0.71047124434368114</v>
      </c>
      <c r="V37" s="4">
        <f t="shared" si="41"/>
        <v>0.57337755209199726</v>
      </c>
      <c r="W37" s="351">
        <f t="shared" si="10"/>
        <v>3.2876181724301101E-4</v>
      </c>
      <c r="X37" s="351">
        <f t="shared" si="42"/>
        <v>3.2876181724301101E-4</v>
      </c>
      <c r="Y37" s="4">
        <f t="shared" si="43"/>
        <v>0.52442514680498531</v>
      </c>
      <c r="Z37" s="351">
        <f t="shared" si="11"/>
        <v>2.7502173460143038E-4</v>
      </c>
      <c r="AA37" s="520">
        <f t="shared" si="44"/>
        <v>2.7502173460143038E-4</v>
      </c>
      <c r="AB37" s="351">
        <f t="shared" si="45"/>
        <v>0.5653934879365955</v>
      </c>
      <c r="AC37" s="351">
        <f t="shared" si="12"/>
        <v>3.676202656312755E-3</v>
      </c>
      <c r="AD37" s="351">
        <f t="shared" si="13"/>
        <v>5.4740399999999995E-2</v>
      </c>
      <c r="AE37" s="351">
        <f t="shared" si="14"/>
        <v>0.53416704000000004</v>
      </c>
      <c r="AF37" s="351">
        <f t="shared" si="15"/>
        <v>0</v>
      </c>
      <c r="AG37" s="351">
        <f t="shared" si="16"/>
        <v>0.59294984969681541</v>
      </c>
      <c r="AH37" s="351">
        <f t="shared" si="17"/>
        <v>1.403243393371906</v>
      </c>
      <c r="AI37" s="351">
        <f t="shared" si="18"/>
        <v>6.4980036694382752E-3</v>
      </c>
      <c r="AJ37" s="351">
        <f t="shared" si="19"/>
        <v>1.7247999999999999E-2</v>
      </c>
      <c r="AK37" s="351">
        <f t="shared" si="20"/>
        <v>2.3770717623092678E-2</v>
      </c>
      <c r="AL37" s="351">
        <f t="shared" si="21"/>
        <v>1.7247999999999999E-2</v>
      </c>
      <c r="AM37" s="351">
        <f t="shared" si="22"/>
        <v>0.21584639999999999</v>
      </c>
      <c r="AN37" s="351">
        <f t="shared" si="23"/>
        <v>2.0598856355187094E-2</v>
      </c>
      <c r="AO37" s="351">
        <f t="shared" si="24"/>
        <v>8.3999999999999993E-4</v>
      </c>
      <c r="AP37" s="351">
        <f>'Variable Management'!$B$346</f>
        <v>0.41183999999999998</v>
      </c>
      <c r="AQ37" s="351">
        <f t="shared" si="25"/>
        <v>0.36108727954971853</v>
      </c>
      <c r="AR37" s="351">
        <f t="shared" si="26"/>
        <v>0.35521199999999997</v>
      </c>
      <c r="AS37" s="351">
        <f t="shared" si="27"/>
        <v>0.41267999999999999</v>
      </c>
      <c r="AT37" s="351">
        <f t="shared" si="28"/>
        <v>1.9941688515706206</v>
      </c>
      <c r="AU37">
        <f t="shared" si="29"/>
        <v>4.6199999999999992</v>
      </c>
      <c r="AV37" s="521">
        <f t="shared" si="46"/>
        <v>0.69850046221649165</v>
      </c>
      <c r="AW37" s="530">
        <f t="shared" si="30"/>
        <v>30.887155895266247</v>
      </c>
      <c r="AX37" s="530">
        <f t="shared" si="31"/>
        <v>3.800001184923707</v>
      </c>
      <c r="AY37" s="9"/>
      <c r="AZ37" s="4">
        <f t="shared" si="47"/>
        <v>69.850046221649166</v>
      </c>
      <c r="BA37" s="351">
        <f t="shared" si="32"/>
        <v>0.71047124434368114</v>
      </c>
      <c r="BB37" s="351">
        <f t="shared" si="33"/>
        <v>0.83256696731990809</v>
      </c>
      <c r="BC37" s="351">
        <f t="shared" si="34"/>
        <v>0.73540847369681539</v>
      </c>
      <c r="BD37" s="351">
        <f t="shared" si="35"/>
        <v>9.5000029623092674E-2</v>
      </c>
      <c r="BE37" s="351">
        <f t="shared" si="36"/>
        <v>2.0598856355187094E-2</v>
      </c>
    </row>
    <row r="38" spans="1:57" x14ac:dyDescent="0.25">
      <c r="A38" s="23" t="s">
        <v>71</v>
      </c>
      <c r="B38" s="5">
        <f>Rdson1*1000</f>
        <v>11.5</v>
      </c>
      <c r="C38" s="429" t="s">
        <v>454</v>
      </c>
      <c r="D38" s="427" t="s">
        <v>515</v>
      </c>
      <c r="G38">
        <v>29</v>
      </c>
      <c r="H38" s="527">
        <f t="shared" si="0"/>
        <v>24</v>
      </c>
      <c r="I38" s="4">
        <f t="shared" si="1"/>
        <v>1</v>
      </c>
      <c r="J38" s="351">
        <f t="shared" si="37"/>
        <v>1.45</v>
      </c>
      <c r="K38" s="351">
        <f t="shared" si="2"/>
        <v>1.45</v>
      </c>
      <c r="L38" s="4">
        <f t="shared" si="3"/>
        <v>0.22152777777777774</v>
      </c>
      <c r="M38" s="351">
        <f t="shared" si="4"/>
        <v>0.1397467872386168</v>
      </c>
      <c r="N38" s="4">
        <f t="shared" si="5"/>
        <v>1.9871641853476338</v>
      </c>
      <c r="O38" s="4">
        <f t="shared" si="38"/>
        <v>2.4435820926738168</v>
      </c>
      <c r="P38" s="4">
        <f t="shared" si="39"/>
        <v>0.45641790732618304</v>
      </c>
      <c r="Q38" s="4">
        <f t="shared" si="6"/>
        <v>0</v>
      </c>
      <c r="R38" s="4">
        <f t="shared" si="40"/>
        <v>1.5593487288910159</v>
      </c>
      <c r="S38" s="351">
        <f t="shared" si="7"/>
        <v>6.0789211457350681E-2</v>
      </c>
      <c r="T38" s="351">
        <f t="shared" si="8"/>
        <v>0.65</v>
      </c>
      <c r="U38" s="351">
        <f t="shared" si="9"/>
        <v>0.7142627690978951</v>
      </c>
      <c r="V38" s="4">
        <f t="shared" si="41"/>
        <v>0.57364488866721997</v>
      </c>
      <c r="W38" s="351">
        <f t="shared" si="10"/>
        <v>3.290684582940272E-4</v>
      </c>
      <c r="X38" s="351">
        <f t="shared" si="42"/>
        <v>3.290684582940272E-4</v>
      </c>
      <c r="Y38" s="4">
        <f t="shared" si="43"/>
        <v>0.54066383222525727</v>
      </c>
      <c r="Z38" s="351">
        <f t="shared" si="11"/>
        <v>2.9231737947650117E-4</v>
      </c>
      <c r="AA38" s="520">
        <f t="shared" si="44"/>
        <v>2.9231737947650117E-4</v>
      </c>
      <c r="AB38" s="351">
        <f t="shared" si="45"/>
        <v>0.58292699371134538</v>
      </c>
      <c r="AC38" s="351">
        <f t="shared" si="12"/>
        <v>3.9077446199694893E-3</v>
      </c>
      <c r="AD38" s="351">
        <f t="shared" si="13"/>
        <v>5.6695414285714278E-2</v>
      </c>
      <c r="AE38" s="351">
        <f t="shared" si="14"/>
        <v>0.53416704000000004</v>
      </c>
      <c r="AF38" s="351">
        <f t="shared" si="15"/>
        <v>0</v>
      </c>
      <c r="AG38" s="351">
        <f t="shared" si="16"/>
        <v>0.59516092270382737</v>
      </c>
      <c r="AH38" s="351">
        <f t="shared" si="17"/>
        <v>1.4462933928828825</v>
      </c>
      <c r="AI38" s="351">
        <f t="shared" si="18"/>
        <v>6.9028231083790434E-3</v>
      </c>
      <c r="AJ38" s="351">
        <f t="shared" si="19"/>
        <v>1.7863999999999998E-2</v>
      </c>
      <c r="AK38" s="351">
        <f t="shared" si="20"/>
        <v>2.4794207112508668E-2</v>
      </c>
      <c r="AL38" s="351">
        <f t="shared" si="21"/>
        <v>1.7863999999999998E-2</v>
      </c>
      <c r="AM38" s="351">
        <f t="shared" si="22"/>
        <v>0.22355520000000001</v>
      </c>
      <c r="AN38" s="351">
        <f t="shared" si="23"/>
        <v>2.1884116124646243E-2</v>
      </c>
      <c r="AO38" s="351">
        <f t="shared" si="24"/>
        <v>8.3999999999999993E-4</v>
      </c>
      <c r="AP38" s="351">
        <f>'Variable Management'!$B$346</f>
        <v>0.41183999999999998</v>
      </c>
      <c r="AQ38" s="351">
        <f t="shared" si="25"/>
        <v>0.36108727954971853</v>
      </c>
      <c r="AR38" s="351">
        <f t="shared" si="26"/>
        <v>0.35521199999999997</v>
      </c>
      <c r="AS38" s="351">
        <f t="shared" si="27"/>
        <v>0.41267999999999999</v>
      </c>
      <c r="AT38" s="351">
        <f t="shared" si="28"/>
        <v>2.0108226008766481</v>
      </c>
      <c r="AU38">
        <f t="shared" si="29"/>
        <v>4.7849999999999993</v>
      </c>
      <c r="AV38" s="521">
        <f t="shared" si="46"/>
        <v>0.704109021236479</v>
      </c>
      <c r="AW38" s="530">
        <f t="shared" si="30"/>
        <v>31.193708897560754</v>
      </c>
      <c r="AX38" s="530">
        <f t="shared" si="31"/>
        <v>3.9426969245003467</v>
      </c>
      <c r="AY38" s="9"/>
      <c r="AZ38" s="4">
        <f t="shared" si="47"/>
        <v>70.410902123647901</v>
      </c>
      <c r="BA38" s="351">
        <f t="shared" si="32"/>
        <v>0.7142627690978951</v>
      </c>
      <c r="BB38" s="351">
        <f t="shared" si="33"/>
        <v>0.843510329816336</v>
      </c>
      <c r="BC38" s="351">
        <f t="shared" si="34"/>
        <v>0.74270735470382743</v>
      </c>
      <c r="BD38" s="351">
        <f t="shared" si="35"/>
        <v>9.856742311250867E-2</v>
      </c>
      <c r="BE38" s="351">
        <f t="shared" si="36"/>
        <v>2.1884116124646243E-2</v>
      </c>
    </row>
    <row r="39" spans="1:57" x14ac:dyDescent="0.25">
      <c r="A39" s="22" t="s">
        <v>79</v>
      </c>
      <c r="B39" s="5">
        <f>RdsonTopTc*1000000</f>
        <v>4000</v>
      </c>
      <c r="C39" s="427" t="s">
        <v>81</v>
      </c>
      <c r="D39" s="21" t="s">
        <v>109</v>
      </c>
      <c r="G39">
        <v>30</v>
      </c>
      <c r="H39" s="527">
        <f t="shared" si="0"/>
        <v>24</v>
      </c>
      <c r="I39" s="4">
        <f t="shared" si="1"/>
        <v>1</v>
      </c>
      <c r="J39" s="351">
        <f t="shared" si="37"/>
        <v>1.5</v>
      </c>
      <c r="K39" s="351">
        <f t="shared" si="2"/>
        <v>1.5</v>
      </c>
      <c r="L39" s="4">
        <f t="shared" si="3"/>
        <v>0.22916666666666663</v>
      </c>
      <c r="M39" s="351">
        <f t="shared" si="4"/>
        <v>0.13982425878706065</v>
      </c>
      <c r="N39" s="4">
        <f t="shared" si="5"/>
        <v>1.9880900679914353</v>
      </c>
      <c r="O39" s="4">
        <f t="shared" si="38"/>
        <v>2.4940450339957176</v>
      </c>
      <c r="P39" s="4">
        <f t="shared" si="39"/>
        <v>0.50595496600428236</v>
      </c>
      <c r="Q39" s="4">
        <f t="shared" si="6"/>
        <v>0</v>
      </c>
      <c r="R39" s="4">
        <f t="shared" si="40"/>
        <v>1.6060433295951833</v>
      </c>
      <c r="S39" s="351">
        <f t="shared" si="7"/>
        <v>6.4484379413429563E-2</v>
      </c>
      <c r="T39" s="351">
        <f t="shared" si="8"/>
        <v>0.65</v>
      </c>
      <c r="U39" s="351">
        <f t="shared" si="9"/>
        <v>0.71818933891915293</v>
      </c>
      <c r="V39" s="4">
        <f t="shared" si="41"/>
        <v>0.57391216796403832</v>
      </c>
      <c r="W39" s="351">
        <f t="shared" si="10"/>
        <v>3.2937517653718252E-4</v>
      </c>
      <c r="X39" s="351">
        <f t="shared" si="42"/>
        <v>3.2937517653718252E-4</v>
      </c>
      <c r="Y39" s="4">
        <f t="shared" si="43"/>
        <v>0.55698322575746706</v>
      </c>
      <c r="Z39" s="351">
        <f t="shared" si="11"/>
        <v>3.1023031377519348E-4</v>
      </c>
      <c r="AA39" s="520">
        <f t="shared" si="44"/>
        <v>3.1023031377519348E-4</v>
      </c>
      <c r="AB39" s="351">
        <f t="shared" si="45"/>
        <v>0.60054910056801791</v>
      </c>
      <c r="AC39" s="351">
        <f t="shared" si="12"/>
        <v>4.1475810552201358E-3</v>
      </c>
      <c r="AD39" s="351">
        <f t="shared" si="13"/>
        <v>5.8650428571428569E-2</v>
      </c>
      <c r="AE39" s="351">
        <f t="shared" si="14"/>
        <v>0.53416704000000004</v>
      </c>
      <c r="AF39" s="351">
        <f t="shared" si="15"/>
        <v>0</v>
      </c>
      <c r="AG39" s="351">
        <f t="shared" si="16"/>
        <v>0.59738130110433896</v>
      </c>
      <c r="AH39" s="351">
        <f t="shared" si="17"/>
        <v>1.4895354827408871</v>
      </c>
      <c r="AI39" s="351">
        <f t="shared" si="18"/>
        <v>7.3217626493356216E-3</v>
      </c>
      <c r="AJ39" s="351">
        <f t="shared" si="19"/>
        <v>1.848E-2</v>
      </c>
      <c r="AK39" s="351">
        <f t="shared" si="20"/>
        <v>2.5832024401562837E-2</v>
      </c>
      <c r="AL39" s="351">
        <f t="shared" si="21"/>
        <v>1.848E-2</v>
      </c>
      <c r="AM39" s="351">
        <f t="shared" si="22"/>
        <v>0.23126400000000003</v>
      </c>
      <c r="AN39" s="351">
        <f t="shared" si="23"/>
        <v>2.3214376588834639E-2</v>
      </c>
      <c r="AO39" s="351">
        <f t="shared" si="24"/>
        <v>8.3999999999999993E-4</v>
      </c>
      <c r="AP39" s="351">
        <f>'Variable Management'!$B$346</f>
        <v>0.41183999999999998</v>
      </c>
      <c r="AQ39" s="351">
        <f t="shared" si="25"/>
        <v>0.36108727954971853</v>
      </c>
      <c r="AR39" s="351">
        <f t="shared" si="26"/>
        <v>0.35521199999999997</v>
      </c>
      <c r="AS39" s="351">
        <f t="shared" si="27"/>
        <v>0.41267999999999999</v>
      </c>
      <c r="AT39" s="351">
        <f t="shared" si="28"/>
        <v>2.0276806465042019</v>
      </c>
      <c r="AU39">
        <f t="shared" si="29"/>
        <v>4.9499999999999993</v>
      </c>
      <c r="AV39" s="521">
        <f t="shared" si="46"/>
        <v>0.70940477943483071</v>
      </c>
      <c r="AW39" s="530">
        <f t="shared" si="30"/>
        <v>31.500652726382238</v>
      </c>
      <c r="AX39" s="530">
        <f t="shared" si="31"/>
        <v>4.0859657760625137</v>
      </c>
      <c r="AY39" s="9"/>
      <c r="AZ39" s="4">
        <f t="shared" si="47"/>
        <v>70.940477943483074</v>
      </c>
      <c r="BA39" s="351">
        <f t="shared" si="32"/>
        <v>0.71818933891915293</v>
      </c>
      <c r="BB39" s="351">
        <f t="shared" si="33"/>
        <v>0.85447732550590183</v>
      </c>
      <c r="BC39" s="351">
        <f t="shared" si="34"/>
        <v>0.75001554110433899</v>
      </c>
      <c r="BD39" s="351">
        <f t="shared" si="35"/>
        <v>0.10214914440156285</v>
      </c>
      <c r="BE39" s="351">
        <f t="shared" si="36"/>
        <v>2.3214376588834639E-2</v>
      </c>
    </row>
    <row r="40" spans="1:57" x14ac:dyDescent="0.25">
      <c r="A40" s="23" t="s">
        <v>70</v>
      </c>
      <c r="B40" s="5">
        <f>Qg_Q1*1000000000</f>
        <v>8</v>
      </c>
      <c r="C40" s="427" t="s">
        <v>65</v>
      </c>
      <c r="D40" s="21" t="s">
        <v>99</v>
      </c>
      <c r="G40">
        <v>31</v>
      </c>
      <c r="H40" s="527">
        <f t="shared" si="0"/>
        <v>24</v>
      </c>
      <c r="I40" s="4">
        <f t="shared" si="1"/>
        <v>1</v>
      </c>
      <c r="J40" s="351">
        <f t="shared" si="37"/>
        <v>1.55</v>
      </c>
      <c r="K40" s="351">
        <f t="shared" si="2"/>
        <v>1.55</v>
      </c>
      <c r="L40" s="4">
        <f t="shared" si="3"/>
        <v>0.23680555555555555</v>
      </c>
      <c r="M40" s="351">
        <f t="shared" si="4"/>
        <v>0.13990173007727935</v>
      </c>
      <c r="N40" s="4">
        <f t="shared" si="5"/>
        <v>1.989015752218017</v>
      </c>
      <c r="O40" s="4">
        <f t="shared" si="38"/>
        <v>2.5445078761090087</v>
      </c>
      <c r="P40" s="4">
        <f t="shared" si="39"/>
        <v>0.55549212389099156</v>
      </c>
      <c r="Q40" s="4">
        <f t="shared" si="6"/>
        <v>0</v>
      </c>
      <c r="R40" s="4">
        <f t="shared" si="40"/>
        <v>1.6529313270311476</v>
      </c>
      <c r="S40" s="351">
        <f t="shared" si="7"/>
        <v>6.8304549297023773E-2</v>
      </c>
      <c r="T40" s="351">
        <f t="shared" si="8"/>
        <v>0.65</v>
      </c>
      <c r="U40" s="351">
        <f t="shared" si="9"/>
        <v>0.72225119267260307</v>
      </c>
      <c r="V40" s="4">
        <f t="shared" si="41"/>
        <v>0.5741793899827391</v>
      </c>
      <c r="W40" s="351">
        <f t="shared" si="10"/>
        <v>3.2968197188095041E-4</v>
      </c>
      <c r="X40" s="351">
        <f t="shared" si="42"/>
        <v>3.2968197188095041E-4</v>
      </c>
      <c r="Y40" s="4">
        <f t="shared" si="43"/>
        <v>0.57337716146159545</v>
      </c>
      <c r="Z40" s="351">
        <f t="shared" si="11"/>
        <v>3.2876136928575649E-4</v>
      </c>
      <c r="AA40" s="520">
        <f t="shared" si="44"/>
        <v>3.2876136928575649E-4</v>
      </c>
      <c r="AB40" s="351">
        <f t="shared" si="45"/>
        <v>0.61825317205178787</v>
      </c>
      <c r="AC40" s="351">
        <f t="shared" si="12"/>
        <v>4.3957253246491223E-3</v>
      </c>
      <c r="AD40" s="351">
        <f t="shared" si="13"/>
        <v>6.0605442857142866E-2</v>
      </c>
      <c r="AE40" s="351">
        <f t="shared" si="14"/>
        <v>0.53416704000000004</v>
      </c>
      <c r="AF40" s="351">
        <f t="shared" si="15"/>
        <v>0</v>
      </c>
      <c r="AG40" s="351">
        <f t="shared" si="16"/>
        <v>0.59961101003248407</v>
      </c>
      <c r="AH40" s="351">
        <f t="shared" si="17"/>
        <v>1.5329530283504622</v>
      </c>
      <c r="AI40" s="351">
        <f t="shared" si="18"/>
        <v>7.7548184575252149E-3</v>
      </c>
      <c r="AJ40" s="351">
        <f t="shared" si="19"/>
        <v>1.9095999999999998E-2</v>
      </c>
      <c r="AK40" s="351">
        <f t="shared" si="20"/>
        <v>2.6884175561662966E-2</v>
      </c>
      <c r="AL40" s="351">
        <f t="shared" si="21"/>
        <v>1.9095999999999998E-2</v>
      </c>
      <c r="AM40" s="351">
        <f t="shared" si="22"/>
        <v>0.23897280000000007</v>
      </c>
      <c r="AN40" s="351">
        <f t="shared" si="23"/>
        <v>2.4589637746928555E-2</v>
      </c>
      <c r="AO40" s="351">
        <f t="shared" si="24"/>
        <v>8.3999999999999993E-4</v>
      </c>
      <c r="AP40" s="351">
        <f>'Variable Management'!$B$346</f>
        <v>0.41183999999999998</v>
      </c>
      <c r="AQ40" s="351">
        <f t="shared" si="25"/>
        <v>0.36108727954971853</v>
      </c>
      <c r="AR40" s="351">
        <f t="shared" si="26"/>
        <v>0.35521199999999997</v>
      </c>
      <c r="AS40" s="351">
        <f t="shared" si="27"/>
        <v>0.41267999999999999</v>
      </c>
      <c r="AT40" s="351">
        <f t="shared" si="28"/>
        <v>2.0447432593548451</v>
      </c>
      <c r="AU40">
        <f t="shared" si="29"/>
        <v>5.1150000000000002</v>
      </c>
      <c r="AV40" s="521">
        <f t="shared" si="46"/>
        <v>0.71441109195037056</v>
      </c>
      <c r="AW40" s="530">
        <f t="shared" si="30"/>
        <v>31.807988437364337</v>
      </c>
      <c r="AX40" s="530">
        <f t="shared" si="31"/>
        <v>4.2298079824665198</v>
      </c>
      <c r="AY40" s="9"/>
      <c r="AZ40" s="4">
        <f t="shared" si="47"/>
        <v>71.441109195037058</v>
      </c>
      <c r="BA40" s="351">
        <f t="shared" si="32"/>
        <v>0.72225119267260307</v>
      </c>
      <c r="BB40" s="351">
        <f t="shared" si="33"/>
        <v>0.86546798559414717</v>
      </c>
      <c r="BC40" s="351">
        <f t="shared" si="34"/>
        <v>0.75733305803248419</v>
      </c>
      <c r="BD40" s="351">
        <f t="shared" si="35"/>
        <v>0.10574519956166299</v>
      </c>
      <c r="BE40" s="351">
        <f t="shared" si="36"/>
        <v>2.4589637746928555E-2</v>
      </c>
    </row>
    <row r="41" spans="1:57" x14ac:dyDescent="0.25">
      <c r="A41" s="23" t="s">
        <v>120</v>
      </c>
      <c r="B41" s="5">
        <f>Qgd_Q1*1000000000</f>
        <v>2.8</v>
      </c>
      <c r="C41" s="427" t="s">
        <v>65</v>
      </c>
      <c r="D41" s="21" t="s">
        <v>121</v>
      </c>
      <c r="G41">
        <v>32</v>
      </c>
      <c r="H41" s="527">
        <f t="shared" ref="H41:H72" si="48">Vin</f>
        <v>24</v>
      </c>
      <c r="I41" s="4">
        <f t="shared" ref="I41:I72" si="49">MODE</f>
        <v>1</v>
      </c>
      <c r="J41" s="351">
        <f t="shared" si="37"/>
        <v>1.6</v>
      </c>
      <c r="K41" s="351">
        <f t="shared" ref="K41:K72" si="50">Iout*G41/100/Number_of_Phases</f>
        <v>1.6</v>
      </c>
      <c r="L41" s="4">
        <f t="shared" ref="L41:L72" si="51">Vout*K41/(Vin*Efficiency)</f>
        <v>0.24444444444444444</v>
      </c>
      <c r="M41" s="351">
        <f t="shared" ref="M41:M72" si="52">(Vout+(Rdson2+Rs+Rdcr)*K41)/(Vin+(Rs+Rdson2-Rdson1)*K41)</f>
        <v>0.13997920110927417</v>
      </c>
      <c r="N41" s="4">
        <f t="shared" ref="N41:N72" si="53">(Vin-(Rdson1+Rdcr)*K41-Vout)*M41/(Fsw*Lf)</f>
        <v>1.9899412380283703</v>
      </c>
      <c r="O41" s="4">
        <f t="shared" si="38"/>
        <v>2.5949706190141852</v>
      </c>
      <c r="P41" s="4">
        <f t="shared" si="39"/>
        <v>0.60502938098581494</v>
      </c>
      <c r="Q41" s="4">
        <f t="shared" ref="Q41:Q72" si="54">IF(MIN(Vin, -P41/(Coss_Q1+Coss_Q2)*0.00000002)&lt;0, 0, MIN(Vin, -P41/(Coss_Q1+Coss_Q2)*0.00000002))</f>
        <v>0</v>
      </c>
      <c r="R41" s="4">
        <f t="shared" si="40"/>
        <v>1.6999967188891347</v>
      </c>
      <c r="S41" s="351">
        <f t="shared" ref="S41:S72" si="55">R41^2*Rdcr</f>
        <v>7.2249721105845599E-2</v>
      </c>
      <c r="T41" s="351">
        <f t="shared" ref="T41:T72" si="56">Core_Loss_Ch1</f>
        <v>0.65</v>
      </c>
      <c r="U41" s="351">
        <f t="shared" ref="U41:U72" si="57">(T41+S41*(1+Ltc*(Ta-25)))/(1-S41*Ltc*ThetaCa)</f>
        <v>0.72644857767663562</v>
      </c>
      <c r="V41" s="4">
        <f t="shared" si="41"/>
        <v>0.57444655472360839</v>
      </c>
      <c r="W41" s="351">
        <f t="shared" si="10"/>
        <v>3.2998884423382366E-4</v>
      </c>
      <c r="X41" s="351">
        <f t="shared" si="42"/>
        <v>3.2998884423382366E-4</v>
      </c>
      <c r="Y41" s="4">
        <f t="shared" si="43"/>
        <v>0.58984012870505731</v>
      </c>
      <c r="Z41" s="351">
        <f t="shared" si="11"/>
        <v>3.4791137743079859E-4</v>
      </c>
      <c r="AA41" s="520">
        <f t="shared" si="44"/>
        <v>3.4791137743079859E-4</v>
      </c>
      <c r="AB41" s="351">
        <f t="shared" si="45"/>
        <v>0.63603327714087832</v>
      </c>
      <c r="AC41" s="351">
        <f t="shared" ref="AC41:AC72" si="58">Rdson1*AB41^2</f>
        <v>4.6521907907515012E-3</v>
      </c>
      <c r="AD41" s="351">
        <f t="shared" ref="AD41:AD72" si="59">(Vin*K41/2)*Fsw*(Tr_buck+Tf_buck)</f>
        <v>6.2560457142857157E-2</v>
      </c>
      <c r="AE41" s="351">
        <f t="shared" ref="AE41:AE72" si="60">(0.5*Coss_Q1*(Vin-Q41)^2-0.5*Coss_Q2*(Vin-Q41)^2+(Qoss_Q2*(Vin-Q41)/Vin)*Vin)*Fsw</f>
        <v>0.53416704000000004</v>
      </c>
      <c r="AF41" s="351">
        <f t="shared" ref="AF41:AF72" si="61">IF(K41&gt;N41/2,0,ABS(K41-N41/2)*Vsd_Q1*Deadtime2*Fsw)</f>
        <v>0</v>
      </c>
      <c r="AG41" s="351">
        <f t="shared" ref="AG41:AG72" si="62">(AF41+AE41+AD41+AC41*(1+RdsonTopTc*Ta-RdsonTopTc*25))/(1-AC41*RdsonTopTc*ThetaJA_Q1)</f>
        <v>0.6018500747246166</v>
      </c>
      <c r="AH41" s="351">
        <f t="shared" ref="AH41:AH72" si="63">SQRT((1-M41))*SQRT(K41^2+(N41^2)/12)</f>
        <v>1.5765311651227383</v>
      </c>
      <c r="AI41" s="351">
        <f t="shared" ref="AI41:AI72" si="64">Rdson2*AH41^2</f>
        <v>8.2019866981907549E-3</v>
      </c>
      <c r="AJ41" s="351">
        <f t="shared" ref="AJ41:AJ72" si="65">IF(K41&lt;N41/2,Deadtime1*Fsw*IF(VfdSky_Q2&gt;0,0,Vsd_Q2)*O41,(Deadtime1+Deadtime2)*Fsw*IF(VfdSky_Q2&gt;0,0,Vsd_Q2)*K41)</f>
        <v>1.9712E-2</v>
      </c>
      <c r="AK41" s="351">
        <f t="shared" ref="AK41:AK72" si="66">(AJ41+AI41*(1+RdsonBotTc*Ta-RdsonBotTc*25))/(1-AI41*RdsonBotTc*ThetaJA_Q2)</f>
        <v>2.7950666857834518E-2</v>
      </c>
      <c r="AL41" s="351">
        <f t="shared" ref="AL41:AL72" si="67">(Deadtime1+Deadtime2)*Fsw*IF(VfdSky_Q2&gt;0,VfdSky_Q2,Vsd_Q2)*K41</f>
        <v>1.9712E-2</v>
      </c>
      <c r="AM41" s="351">
        <f t="shared" ref="AM41:AM72" si="68">IF(QrrSky_Q2&gt;0,QrrSky_Q2,Qrr_Q2*K41/(Iout/Number_of_Phases))*Fsw*Vin</f>
        <v>0.2466816</v>
      </c>
      <c r="AN41" s="351">
        <f t="shared" ref="AN41:AN72" si="69">CHOOSE(SENSING_TYPE, Rs*R41^2, 0)</f>
        <v>2.6009899598104413E-2</v>
      </c>
      <c r="AO41" s="351">
        <f t="shared" ref="AO41:AO72" si="70">Iq*Vin</f>
        <v>8.3999999999999993E-4</v>
      </c>
      <c r="AP41" s="351">
        <f>'Variable Management'!$B$346</f>
        <v>0.41183999999999998</v>
      </c>
      <c r="AQ41" s="351">
        <f t="shared" si="25"/>
        <v>0.36108727954971853</v>
      </c>
      <c r="AR41" s="351">
        <f t="shared" ref="AR41:AR72" si="71">(Qg_Q1+Qg_Q2)*Fsw*(Vin-Vout)</f>
        <v>0.35521199999999997</v>
      </c>
      <c r="AS41" s="351">
        <f t="shared" ref="AS41:AS74" si="72">SUM(AO41:AP41)</f>
        <v>0.41267999999999999</v>
      </c>
      <c r="AT41" s="351">
        <f t="shared" ref="AT41:AT72" si="73" xml:space="preserve"> SUM(U41,X41,AA41,AG41,AK41,AL41,AM41,AS41,AN41)</f>
        <v>2.0620107190788559</v>
      </c>
      <c r="AU41">
        <f t="shared" ref="AU41:AU72" si="74">Vout*K41</f>
        <v>5.28</v>
      </c>
      <c r="AV41" s="521">
        <f t="shared" si="46"/>
        <v>0.71914904540788249</v>
      </c>
      <c r="AW41" s="530">
        <f t="shared" ref="AW41:AW72" si="75">ThetaJA_Q1*BC41</f>
        <v>32.115717090433897</v>
      </c>
      <c r="AX41" s="530">
        <f t="shared" ref="AX41:AX72" si="76">ThetaJA_Q2*BD41</f>
        <v>4.374223794313381</v>
      </c>
      <c r="AY41" s="9"/>
      <c r="AZ41" s="4">
        <f t="shared" si="47"/>
        <v>71.914904540788243</v>
      </c>
      <c r="BA41" s="351">
        <f t="shared" ref="BA41:BA72" si="77">U41</f>
        <v>0.72644857767663562</v>
      </c>
      <c r="BB41" s="351">
        <f t="shared" ref="BB41:BB73" si="78">AG41+AK41+AM41</f>
        <v>0.8764823415824512</v>
      </c>
      <c r="BC41" s="351">
        <f t="shared" ref="BC41:BC73" si="79">AG41+AM41*0.66</f>
        <v>0.76465993072461658</v>
      </c>
      <c r="BD41" s="351">
        <f t="shared" ref="BD41:BD73" si="80">AK41+AM41*0.33</f>
        <v>0.10935559485783453</v>
      </c>
      <c r="BE41" s="351">
        <f t="shared" ref="BE41:BE73" si="81">AN41</f>
        <v>2.6009899598104413E-2</v>
      </c>
    </row>
    <row r="42" spans="1:57" x14ac:dyDescent="0.25">
      <c r="A42" s="23" t="s">
        <v>124</v>
      </c>
      <c r="B42" s="5">
        <f>Qgs_Q1*1000000000</f>
        <v>3.1</v>
      </c>
      <c r="C42" s="427" t="s">
        <v>65</v>
      </c>
      <c r="D42" s="21"/>
      <c r="G42">
        <v>33</v>
      </c>
      <c r="H42" s="527">
        <f t="shared" si="48"/>
        <v>24</v>
      </c>
      <c r="I42" s="4">
        <f t="shared" si="49"/>
        <v>1</v>
      </c>
      <c r="J42" s="351">
        <f t="shared" ref="J42:J73" si="82">Iout*G42/100</f>
        <v>1.65</v>
      </c>
      <c r="K42" s="351">
        <f t="shared" si="50"/>
        <v>1.65</v>
      </c>
      <c r="L42" s="4">
        <f t="shared" si="51"/>
        <v>0.25208333333333327</v>
      </c>
      <c r="M42" s="351">
        <f t="shared" si="52"/>
        <v>0.14005667188304644</v>
      </c>
      <c r="N42" s="4">
        <f t="shared" si="53"/>
        <v>1.9908665254234883</v>
      </c>
      <c r="O42" s="4">
        <f t="shared" si="38"/>
        <v>2.6454332627117441</v>
      </c>
      <c r="P42" s="4">
        <f t="shared" si="39"/>
        <v>0.65456673728825576</v>
      </c>
      <c r="Q42" s="4">
        <f t="shared" si="54"/>
        <v>0</v>
      </c>
      <c r="R42" s="4">
        <f t="shared" si="40"/>
        <v>1.7472251696631191</v>
      </c>
      <c r="S42" s="351">
        <f t="shared" si="55"/>
        <v>7.6319894837607885E-2</v>
      </c>
      <c r="T42" s="351">
        <f t="shared" si="56"/>
        <v>0.65</v>
      </c>
      <c r="U42" s="351">
        <f t="shared" si="57"/>
        <v>0.7307817497407646</v>
      </c>
      <c r="V42" s="4">
        <f t="shared" si="41"/>
        <v>0.57471366218693298</v>
      </c>
      <c r="W42" s="351">
        <f t="shared" si="10"/>
        <v>3.3029579350431616E-4</v>
      </c>
      <c r="X42" s="351">
        <f t="shared" si="42"/>
        <v>3.3029579350431616E-4</v>
      </c>
      <c r="Y42" s="4">
        <f t="shared" si="43"/>
        <v>0.60636719013094165</v>
      </c>
      <c r="Z42" s="351">
        <f t="shared" si="11"/>
        <v>3.6768116926729356E-4</v>
      </c>
      <c r="AA42" s="520">
        <f t="shared" si="44"/>
        <v>3.6768116926729356E-4</v>
      </c>
      <c r="AB42" s="351">
        <f t="shared" si="45"/>
        <v>0.65388410194527458</v>
      </c>
      <c r="AC42" s="351">
        <f t="shared" si="58"/>
        <v>4.9169908159329501E-3</v>
      </c>
      <c r="AD42" s="351">
        <f t="shared" si="59"/>
        <v>6.4515471428571419E-2</v>
      </c>
      <c r="AE42" s="351">
        <f t="shared" si="60"/>
        <v>0.53416704000000004</v>
      </c>
      <c r="AF42" s="351">
        <f t="shared" si="61"/>
        <v>0</v>
      </c>
      <c r="AG42" s="351">
        <f t="shared" si="62"/>
        <v>0.60409852051989332</v>
      </c>
      <c r="AH42" s="351">
        <f t="shared" si="63"/>
        <v>1.6202565768197139</v>
      </c>
      <c r="AI42" s="351">
        <f t="shared" si="64"/>
        <v>8.6632635366008723E-3</v>
      </c>
      <c r="AJ42" s="351">
        <f t="shared" si="65"/>
        <v>2.0327999999999999E-2</v>
      </c>
      <c r="AK42" s="351">
        <f t="shared" si="66"/>
        <v>2.9031504748841398E-2</v>
      </c>
      <c r="AL42" s="351">
        <f t="shared" si="67"/>
        <v>2.0327999999999999E-2</v>
      </c>
      <c r="AM42" s="351">
        <f t="shared" si="68"/>
        <v>0.25439039999999996</v>
      </c>
      <c r="AN42" s="351">
        <f t="shared" si="69"/>
        <v>2.7475162141538837E-2</v>
      </c>
      <c r="AO42" s="351">
        <f t="shared" si="70"/>
        <v>8.3999999999999993E-4</v>
      </c>
      <c r="AP42" s="351">
        <f>'Variable Management'!$B$346</f>
        <v>0.41183999999999998</v>
      </c>
      <c r="AQ42" s="351">
        <f t="shared" si="25"/>
        <v>0.36108727954971853</v>
      </c>
      <c r="AR42" s="351">
        <f t="shared" si="71"/>
        <v>0.35521199999999997</v>
      </c>
      <c r="AS42" s="351">
        <f t="shared" si="72"/>
        <v>0.41267999999999999</v>
      </c>
      <c r="AT42" s="351">
        <f t="shared" si="73"/>
        <v>2.0794833141138098</v>
      </c>
      <c r="AU42">
        <f t="shared" si="74"/>
        <v>5.4449999999999994</v>
      </c>
      <c r="AV42" s="521">
        <f t="shared" si="46"/>
        <v>0.72363772669768767</v>
      </c>
      <c r="AW42" s="530">
        <f t="shared" si="75"/>
        <v>32.423839749835516</v>
      </c>
      <c r="AX42" s="530">
        <f t="shared" si="76"/>
        <v>4.5192134699536552</v>
      </c>
      <c r="AY42" s="9"/>
      <c r="AZ42" s="4">
        <f t="shared" si="47"/>
        <v>72.363772669768764</v>
      </c>
      <c r="BA42" s="351">
        <f t="shared" si="77"/>
        <v>0.7307817497407646</v>
      </c>
      <c r="BB42" s="351">
        <f t="shared" si="78"/>
        <v>0.88752042526873476</v>
      </c>
      <c r="BC42" s="351">
        <f t="shared" si="79"/>
        <v>0.77199618451989327</v>
      </c>
      <c r="BD42" s="351">
        <f t="shared" si="80"/>
        <v>0.11298033674884139</v>
      </c>
      <c r="BE42" s="351">
        <f t="shared" si="81"/>
        <v>2.7475162141538837E-2</v>
      </c>
    </row>
    <row r="43" spans="1:57" x14ac:dyDescent="0.25">
      <c r="A43" s="23" t="s">
        <v>90</v>
      </c>
      <c r="B43" s="5">
        <f>Rgate1</f>
        <v>1.2</v>
      </c>
      <c r="C43" s="431" t="s">
        <v>116</v>
      </c>
      <c r="D43" s="21" t="s">
        <v>100</v>
      </c>
      <c r="G43">
        <v>34</v>
      </c>
      <c r="H43" s="527">
        <f t="shared" si="48"/>
        <v>24</v>
      </c>
      <c r="I43" s="4">
        <f t="shared" si="49"/>
        <v>1</v>
      </c>
      <c r="J43" s="351">
        <f t="shared" si="82"/>
        <v>1.7</v>
      </c>
      <c r="K43" s="351">
        <f t="shared" si="50"/>
        <v>1.7</v>
      </c>
      <c r="L43" s="4">
        <f t="shared" si="51"/>
        <v>0.25972222222222219</v>
      </c>
      <c r="M43" s="351">
        <f t="shared" si="52"/>
        <v>0.14013414239859742</v>
      </c>
      <c r="N43" s="4">
        <f t="shared" si="53"/>
        <v>1.9917916144043621</v>
      </c>
      <c r="O43" s="4">
        <f t="shared" si="38"/>
        <v>2.6958958072021808</v>
      </c>
      <c r="P43" s="4">
        <f t="shared" si="39"/>
        <v>0.70410419279781888</v>
      </c>
      <c r="Q43" s="4">
        <f t="shared" si="54"/>
        <v>0</v>
      </c>
      <c r="R43" s="4">
        <f t="shared" si="40"/>
        <v>1.7946038057468174</v>
      </c>
      <c r="S43" s="351">
        <f t="shared" si="55"/>
        <v>8.0515070490024029E-2</v>
      </c>
      <c r="T43" s="351">
        <f t="shared" si="56"/>
        <v>0.65</v>
      </c>
      <c r="U43" s="351">
        <f t="shared" si="57"/>
        <v>0.73525097320485988</v>
      </c>
      <c r="V43" s="4">
        <f t="shared" si="41"/>
        <v>0.57498071237299897</v>
      </c>
      <c r="W43" s="351">
        <f t="shared" si="10"/>
        <v>3.3060281960096142E-4</v>
      </c>
      <c r="X43" s="351">
        <f t="shared" si="42"/>
        <v>3.3060281960096142E-4</v>
      </c>
      <c r="Y43" s="4">
        <f t="shared" si="43"/>
        <v>0.62295391120578691</v>
      </c>
      <c r="Z43" s="351">
        <f t="shared" si="11"/>
        <v>3.8807157548658745E-4</v>
      </c>
      <c r="AA43" s="520">
        <f t="shared" si="44"/>
        <v>3.8807157548658745E-4</v>
      </c>
      <c r="AB43" s="351">
        <f t="shared" si="45"/>
        <v>0.67180087386909926</v>
      </c>
      <c r="AC43" s="351">
        <f t="shared" si="58"/>
        <v>5.1901387625097823E-3</v>
      </c>
      <c r="AD43" s="351">
        <f t="shared" si="59"/>
        <v>6.647048571428571E-2</v>
      </c>
      <c r="AE43" s="351">
        <f t="shared" si="60"/>
        <v>0.53416704000000004</v>
      </c>
      <c r="AF43" s="351">
        <f t="shared" si="61"/>
        <v>0</v>
      </c>
      <c r="AG43" s="351">
        <f t="shared" si="62"/>
        <v>0.60635637286086175</v>
      </c>
      <c r="AH43" s="351">
        <f t="shared" si="63"/>
        <v>1.6641173052010712</v>
      </c>
      <c r="AI43" s="351">
        <f t="shared" si="64"/>
        <v>9.1386451380499265E-3</v>
      </c>
      <c r="AJ43" s="351">
        <f t="shared" si="65"/>
        <v>2.0943999999999997E-2</v>
      </c>
      <c r="AK43" s="351">
        <f t="shared" si="66"/>
        <v>3.0126695887313301E-2</v>
      </c>
      <c r="AL43" s="351">
        <f t="shared" si="67"/>
        <v>2.0943999999999997E-2</v>
      </c>
      <c r="AM43" s="351">
        <f t="shared" si="68"/>
        <v>0.26209919999999998</v>
      </c>
      <c r="AN43" s="351">
        <f t="shared" si="69"/>
        <v>2.8985425376408646E-2</v>
      </c>
      <c r="AO43" s="351">
        <f t="shared" si="70"/>
        <v>8.3999999999999993E-4</v>
      </c>
      <c r="AP43" s="351">
        <f>'Variable Management'!$B$346</f>
        <v>0.41183999999999998</v>
      </c>
      <c r="AQ43" s="351">
        <f t="shared" si="25"/>
        <v>0.36108727954971853</v>
      </c>
      <c r="AR43" s="351">
        <f t="shared" si="71"/>
        <v>0.35521199999999997</v>
      </c>
      <c r="AS43" s="351">
        <f t="shared" si="72"/>
        <v>0.41267999999999999</v>
      </c>
      <c r="AT43" s="351">
        <f t="shared" si="73"/>
        <v>2.0971613417245312</v>
      </c>
      <c r="AU43">
        <f t="shared" si="74"/>
        <v>5.6099999999999994</v>
      </c>
      <c r="AV43" s="521">
        <f t="shared" si="46"/>
        <v>0.72789445442499623</v>
      </c>
      <c r="AW43" s="530">
        <f t="shared" si="75"/>
        <v>32.732357484156196</v>
      </c>
      <c r="AX43" s="530">
        <f t="shared" si="76"/>
        <v>4.6647772754925318</v>
      </c>
      <c r="AY43" s="9"/>
      <c r="AZ43" s="4">
        <f t="shared" si="47"/>
        <v>72.789445442499627</v>
      </c>
      <c r="BA43" s="351">
        <f t="shared" si="77"/>
        <v>0.73525097320485988</v>
      </c>
      <c r="BB43" s="351">
        <f t="shared" si="78"/>
        <v>0.89858226874817504</v>
      </c>
      <c r="BC43" s="351">
        <f t="shared" si="79"/>
        <v>0.77934184486086178</v>
      </c>
      <c r="BD43" s="351">
        <f t="shared" si="80"/>
        <v>0.1166194318873133</v>
      </c>
      <c r="BE43" s="351">
        <f t="shared" si="81"/>
        <v>2.8985425376408646E-2</v>
      </c>
    </row>
    <row r="44" spans="1:57" x14ac:dyDescent="0.25">
      <c r="A44" s="23" t="s">
        <v>69</v>
      </c>
      <c r="B44" s="5">
        <f>Gfs_Q1</f>
        <v>55</v>
      </c>
      <c r="C44" s="427" t="s">
        <v>66</v>
      </c>
      <c r="D44" s="21" t="s">
        <v>101</v>
      </c>
      <c r="G44">
        <v>35</v>
      </c>
      <c r="H44" s="527">
        <f t="shared" si="48"/>
        <v>24</v>
      </c>
      <c r="I44" s="4">
        <f t="shared" si="49"/>
        <v>1</v>
      </c>
      <c r="J44" s="351">
        <f t="shared" si="82"/>
        <v>1.75</v>
      </c>
      <c r="K44" s="351">
        <f t="shared" si="50"/>
        <v>1.75</v>
      </c>
      <c r="L44" s="4">
        <f t="shared" si="51"/>
        <v>0.26736111111111105</v>
      </c>
      <c r="M44" s="351">
        <f t="shared" si="52"/>
        <v>0.14021161265592841</v>
      </c>
      <c r="N44" s="4">
        <f t="shared" si="53"/>
        <v>1.9927165049719839</v>
      </c>
      <c r="O44" s="4">
        <f t="shared" si="38"/>
        <v>2.746358252485992</v>
      </c>
      <c r="P44" s="4">
        <f t="shared" si="39"/>
        <v>0.75364174751400803</v>
      </c>
      <c r="Q44" s="4">
        <f t="shared" si="54"/>
        <v>0</v>
      </c>
      <c r="R44" s="4">
        <f t="shared" si="40"/>
        <v>1.842121039028737</v>
      </c>
      <c r="S44" s="351">
        <f t="shared" si="55"/>
        <v>8.4835248060807847E-2</v>
      </c>
      <c r="T44" s="351">
        <f t="shared" si="56"/>
        <v>0.65</v>
      </c>
      <c r="U44" s="351">
        <f t="shared" si="57"/>
        <v>0.73985652097974575</v>
      </c>
      <c r="V44" s="4">
        <f t="shared" si="41"/>
        <v>0.57524770528209257</v>
      </c>
      <c r="W44" s="351">
        <f t="shared" si="10"/>
        <v>3.309099224323132E-4</v>
      </c>
      <c r="X44" s="351">
        <f t="shared" si="42"/>
        <v>3.309099224323132E-4</v>
      </c>
      <c r="Y44" s="4">
        <f t="shared" si="43"/>
        <v>0.63959629956278152</v>
      </c>
      <c r="Z44" s="351">
        <f t="shared" si="11"/>
        <v>4.0908342641440338E-4</v>
      </c>
      <c r="AA44" s="520">
        <f t="shared" si="44"/>
        <v>4.0908342641440338E-4</v>
      </c>
      <c r="AB44" s="351">
        <f t="shared" si="45"/>
        <v>0.68977929631648383</v>
      </c>
      <c r="AC44" s="351">
        <f t="shared" si="58"/>
        <v>5.4716479927089312E-3</v>
      </c>
      <c r="AD44" s="351">
        <f t="shared" si="59"/>
        <v>6.84255E-2</v>
      </c>
      <c r="AE44" s="351">
        <f t="shared" si="60"/>
        <v>0.53416704000000004</v>
      </c>
      <c r="AF44" s="351">
        <f t="shared" si="61"/>
        <v>0</v>
      </c>
      <c r="AG44" s="351">
        <f t="shared" si="62"/>
        <v>0.60862365729405066</v>
      </c>
      <c r="AH44" s="351">
        <f t="shared" si="63"/>
        <v>1.7081025861479897</v>
      </c>
      <c r="AI44" s="351">
        <f t="shared" si="64"/>
        <v>9.6281276678579861E-3</v>
      </c>
      <c r="AJ44" s="351">
        <f t="shared" si="65"/>
        <v>2.1559999999999999E-2</v>
      </c>
      <c r="AK44" s="351">
        <f t="shared" si="66"/>
        <v>3.123624711987958E-2</v>
      </c>
      <c r="AL44" s="351">
        <f t="shared" si="67"/>
        <v>2.1559999999999999E-2</v>
      </c>
      <c r="AM44" s="351">
        <f t="shared" si="68"/>
        <v>0.26980800000000005</v>
      </c>
      <c r="AN44" s="351">
        <f t="shared" si="69"/>
        <v>3.0540689301890821E-2</v>
      </c>
      <c r="AO44" s="351">
        <f t="shared" si="70"/>
        <v>8.3999999999999993E-4</v>
      </c>
      <c r="AP44" s="351">
        <f>'Variable Management'!$B$346</f>
        <v>0.41183999999999998</v>
      </c>
      <c r="AQ44" s="351">
        <f t="shared" si="25"/>
        <v>0.36108727954971853</v>
      </c>
      <c r="AR44" s="351">
        <f t="shared" si="71"/>
        <v>0.35521199999999997</v>
      </c>
      <c r="AS44" s="351">
        <f t="shared" si="72"/>
        <v>0.41267999999999999</v>
      </c>
      <c r="AT44" s="351">
        <f t="shared" si="73"/>
        <v>2.1150451080444137</v>
      </c>
      <c r="AU44">
        <f t="shared" si="74"/>
        <v>5.7749999999999995</v>
      </c>
      <c r="AV44" s="521">
        <f t="shared" si="46"/>
        <v>0.73193497894099646</v>
      </c>
      <c r="AW44" s="530">
        <f t="shared" si="75"/>
        <v>33.041271366350131</v>
      </c>
      <c r="AX44" s="530">
        <f t="shared" si="76"/>
        <v>4.810915484795184</v>
      </c>
      <c r="AY44" s="9"/>
      <c r="AZ44" s="4">
        <f t="shared" si="47"/>
        <v>73.19349789409965</v>
      </c>
      <c r="BA44" s="351">
        <f t="shared" si="77"/>
        <v>0.73985652097974575</v>
      </c>
      <c r="BB44" s="351">
        <f t="shared" si="78"/>
        <v>0.90966790441393031</v>
      </c>
      <c r="BC44" s="351">
        <f t="shared" si="79"/>
        <v>0.78669693729405066</v>
      </c>
      <c r="BD44" s="351">
        <f t="shared" si="80"/>
        <v>0.1202728871198796</v>
      </c>
      <c r="BE44" s="351">
        <f t="shared" si="81"/>
        <v>3.0540689301890821E-2</v>
      </c>
    </row>
    <row r="45" spans="1:57" x14ac:dyDescent="0.25">
      <c r="A45" s="23" t="s">
        <v>92</v>
      </c>
      <c r="B45" s="5">
        <f>Vth_Q1</f>
        <v>3</v>
      </c>
      <c r="C45" s="427" t="s">
        <v>0</v>
      </c>
      <c r="D45" s="21" t="s">
        <v>102</v>
      </c>
      <c r="G45">
        <v>36</v>
      </c>
      <c r="H45" s="527">
        <f t="shared" si="48"/>
        <v>24</v>
      </c>
      <c r="I45" s="4">
        <f t="shared" si="49"/>
        <v>1</v>
      </c>
      <c r="J45" s="351">
        <f t="shared" si="82"/>
        <v>1.8</v>
      </c>
      <c r="K45" s="351">
        <f t="shared" si="50"/>
        <v>1.8</v>
      </c>
      <c r="L45" s="4">
        <f t="shared" si="51"/>
        <v>0.27499999999999997</v>
      </c>
      <c r="M45" s="351">
        <f t="shared" si="52"/>
        <v>0.1402890826550407</v>
      </c>
      <c r="N45" s="4">
        <f t="shared" si="53"/>
        <v>1.993641197127346</v>
      </c>
      <c r="O45" s="4">
        <f t="shared" si="38"/>
        <v>2.7968205985636732</v>
      </c>
      <c r="P45" s="4">
        <f t="shared" si="39"/>
        <v>0.80317940143632705</v>
      </c>
      <c r="Q45" s="4">
        <f t="shared" si="54"/>
        <v>0</v>
      </c>
      <c r="R45" s="4">
        <f t="shared" si="40"/>
        <v>1.8897664146414885</v>
      </c>
      <c r="S45" s="351">
        <f t="shared" si="55"/>
        <v>8.9280427547673666E-2</v>
      </c>
      <c r="T45" s="351">
        <f t="shared" si="56"/>
        <v>0.65</v>
      </c>
      <c r="U45" s="351">
        <f t="shared" si="57"/>
        <v>0.74459867458917384</v>
      </c>
      <c r="V45" s="4">
        <f t="shared" si="41"/>
        <v>0.57551464091450055</v>
      </c>
      <c r="W45" s="351">
        <f t="shared" si="10"/>
        <v>3.3121710190694656E-4</v>
      </c>
      <c r="X45" s="351">
        <f t="shared" si="42"/>
        <v>3.3121710190694656E-4</v>
      </c>
      <c r="Y45" s="4">
        <f t="shared" si="43"/>
        <v>0.65629075264767212</v>
      </c>
      <c r="Z45" s="351">
        <f t="shared" si="11"/>
        <v>4.3071755201084795E-4</v>
      </c>
      <c r="AA45" s="520">
        <f t="shared" si="44"/>
        <v>4.3071755201084795E-4</v>
      </c>
      <c r="AB45" s="351">
        <f t="shared" si="45"/>
        <v>0.70781549233435015</v>
      </c>
      <c r="AC45" s="351">
        <f t="shared" si="58"/>
        <v>5.7615318686679634E-3</v>
      </c>
      <c r="AD45" s="351">
        <f t="shared" si="59"/>
        <v>7.0380514285714291E-2</v>
      </c>
      <c r="AE45" s="351">
        <f t="shared" si="60"/>
        <v>0.53416704000000004</v>
      </c>
      <c r="AF45" s="351">
        <f t="shared" si="61"/>
        <v>0</v>
      </c>
      <c r="AG45" s="351">
        <f t="shared" si="62"/>
        <v>0.61090039947056451</v>
      </c>
      <c r="AH45" s="351">
        <f t="shared" si="63"/>
        <v>1.7522027082271125</v>
      </c>
      <c r="AI45" s="351">
        <f t="shared" si="64"/>
        <v>1.0131707291370811E-2</v>
      </c>
      <c r="AJ45" s="351">
        <f t="shared" si="65"/>
        <v>2.2175999999999998E-2</v>
      </c>
      <c r="AK45" s="351">
        <f t="shared" si="66"/>
        <v>3.2360165487309647E-2</v>
      </c>
      <c r="AL45" s="351">
        <f t="shared" si="67"/>
        <v>2.2175999999999998E-2</v>
      </c>
      <c r="AM45" s="351">
        <f t="shared" si="68"/>
        <v>0.27751680000000006</v>
      </c>
      <c r="AN45" s="351">
        <f t="shared" si="69"/>
        <v>3.2140953917162512E-2</v>
      </c>
      <c r="AO45" s="351">
        <f t="shared" si="70"/>
        <v>8.3999999999999993E-4</v>
      </c>
      <c r="AP45" s="351">
        <f>'Variable Management'!$B$346</f>
        <v>0.41183999999999998</v>
      </c>
      <c r="AQ45" s="351">
        <f t="shared" si="25"/>
        <v>0.36108727954971853</v>
      </c>
      <c r="AR45" s="351">
        <f t="shared" si="71"/>
        <v>0.35521199999999997</v>
      </c>
      <c r="AS45" s="351">
        <f t="shared" si="72"/>
        <v>0.41267999999999999</v>
      </c>
      <c r="AT45" s="351">
        <f t="shared" si="73"/>
        <v>2.1331349281181287</v>
      </c>
      <c r="AU45">
        <f t="shared" si="74"/>
        <v>5.9399999999999995</v>
      </c>
      <c r="AV45" s="521">
        <f t="shared" si="46"/>
        <v>0.73577365582128718</v>
      </c>
      <c r="AW45" s="530">
        <f t="shared" si="75"/>
        <v>33.350582473763716</v>
      </c>
      <c r="AX45" s="530">
        <f t="shared" si="76"/>
        <v>4.9576283794923874</v>
      </c>
      <c r="AY45" s="9"/>
      <c r="AZ45" s="4">
        <f t="shared" si="47"/>
        <v>73.577365582128721</v>
      </c>
      <c r="BA45" s="351">
        <f t="shared" si="77"/>
        <v>0.74459867458917384</v>
      </c>
      <c r="BB45" s="351">
        <f t="shared" si="78"/>
        <v>0.92077736495787432</v>
      </c>
      <c r="BC45" s="351">
        <f t="shared" si="79"/>
        <v>0.7940614874705646</v>
      </c>
      <c r="BD45" s="351">
        <f t="shared" si="80"/>
        <v>0.12394070948730967</v>
      </c>
      <c r="BE45" s="351">
        <f t="shared" si="81"/>
        <v>3.2140953917162512E-2</v>
      </c>
    </row>
    <row r="46" spans="1:57" x14ac:dyDescent="0.25">
      <c r="A46" s="28" t="s">
        <v>123</v>
      </c>
      <c r="B46" s="434">
        <f>Vsp_Q1</f>
        <v>3.0909090909090908</v>
      </c>
      <c r="C46" s="432" t="s">
        <v>0</v>
      </c>
      <c r="G46">
        <v>37</v>
      </c>
      <c r="H46" s="527">
        <f t="shared" si="48"/>
        <v>24</v>
      </c>
      <c r="I46" s="4">
        <f t="shared" si="49"/>
        <v>1</v>
      </c>
      <c r="J46" s="351">
        <f t="shared" si="82"/>
        <v>1.85</v>
      </c>
      <c r="K46" s="351">
        <f t="shared" si="50"/>
        <v>1.85</v>
      </c>
      <c r="L46" s="4">
        <f t="shared" si="51"/>
        <v>0.28263888888888883</v>
      </c>
      <c r="M46" s="351">
        <f t="shared" si="52"/>
        <v>0.14036655239593557</v>
      </c>
      <c r="N46" s="4">
        <f t="shared" si="53"/>
        <v>1.99456569087144</v>
      </c>
      <c r="O46" s="4">
        <f t="shared" si="38"/>
        <v>2.84728284543572</v>
      </c>
      <c r="P46" s="4">
        <f t="shared" si="39"/>
        <v>0.8527171545642801</v>
      </c>
      <c r="Q46" s="4">
        <f t="shared" si="54"/>
        <v>0</v>
      </c>
      <c r="R46" s="4">
        <f t="shared" si="40"/>
        <v>1.9375304792269605</v>
      </c>
      <c r="S46" s="351">
        <f t="shared" si="55"/>
        <v>9.3850608948336384E-2</v>
      </c>
      <c r="T46" s="351">
        <f t="shared" si="56"/>
        <v>0.65</v>
      </c>
      <c r="U46" s="351">
        <f t="shared" si="57"/>
        <v>0.74947772421318615</v>
      </c>
      <c r="V46" s="4">
        <f t="shared" si="41"/>
        <v>0.57578151927050891</v>
      </c>
      <c r="W46" s="351">
        <f t="shared" si="10"/>
        <v>3.3152435793345542E-4</v>
      </c>
      <c r="X46" s="351">
        <f t="shared" si="42"/>
        <v>3.3152435793345542E-4</v>
      </c>
      <c r="Y46" s="4">
        <f t="shared" si="43"/>
        <v>0.67303401241721672</v>
      </c>
      <c r="Z46" s="351">
        <f t="shared" si="11"/>
        <v>4.5297478187041827E-4</v>
      </c>
      <c r="AA46" s="520">
        <f t="shared" si="44"/>
        <v>4.5297478187041827E-4</v>
      </c>
      <c r="AB46" s="351">
        <f t="shared" si="45"/>
        <v>0.72590595584654394</v>
      </c>
      <c r="AC46" s="351">
        <f t="shared" si="58"/>
        <v>6.0598037524350733E-3</v>
      </c>
      <c r="AD46" s="351">
        <f t="shared" si="59"/>
        <v>7.2335528571428581E-2</v>
      </c>
      <c r="AE46" s="351">
        <f t="shared" si="60"/>
        <v>0.53416704000000004</v>
      </c>
      <c r="AF46" s="351">
        <f t="shared" si="61"/>
        <v>0</v>
      </c>
      <c r="AG46" s="351">
        <f t="shared" si="62"/>
        <v>0.61318662514668087</v>
      </c>
      <c r="AH46" s="351">
        <f t="shared" si="63"/>
        <v>1.796408890314221</v>
      </c>
      <c r="AI46" s="351">
        <f t="shared" si="64"/>
        <v>1.0649380173959905E-2</v>
      </c>
      <c r="AJ46" s="351">
        <f t="shared" si="65"/>
        <v>2.2792E-2</v>
      </c>
      <c r="AK46" s="351">
        <f t="shared" si="66"/>
        <v>3.3498458224660056E-2</v>
      </c>
      <c r="AL46" s="351">
        <f t="shared" si="67"/>
        <v>2.2792E-2</v>
      </c>
      <c r="AM46" s="351">
        <f t="shared" si="68"/>
        <v>0.28522560000000002</v>
      </c>
      <c r="AN46" s="351">
        <f t="shared" si="69"/>
        <v>3.3786219221401091E-2</v>
      </c>
      <c r="AO46" s="351">
        <f t="shared" si="70"/>
        <v>8.3999999999999993E-4</v>
      </c>
      <c r="AP46" s="351">
        <f>'Variable Management'!$B$346</f>
        <v>0.41183999999999998</v>
      </c>
      <c r="AQ46" s="351">
        <f t="shared" si="25"/>
        <v>0.36108727954971853</v>
      </c>
      <c r="AR46" s="351">
        <f t="shared" si="71"/>
        <v>0.35521199999999997</v>
      </c>
      <c r="AS46" s="351">
        <f t="shared" si="72"/>
        <v>0.41267999999999999</v>
      </c>
      <c r="AT46" s="351">
        <f t="shared" si="73"/>
        <v>2.1514311259457322</v>
      </c>
      <c r="AU46">
        <f t="shared" si="74"/>
        <v>6.1049999999999995</v>
      </c>
      <c r="AV46" s="521">
        <f t="shared" si="46"/>
        <v>0.73942359681474401</v>
      </c>
      <c r="AW46" s="530">
        <f t="shared" si="75"/>
        <v>33.6602918881606</v>
      </c>
      <c r="AX46" s="530">
        <f t="shared" si="76"/>
        <v>5.1049162489864033</v>
      </c>
      <c r="AY46" s="9"/>
      <c r="AZ46" s="4">
        <f t="shared" si="47"/>
        <v>73.9423596814744</v>
      </c>
      <c r="BA46" s="351">
        <f t="shared" si="77"/>
        <v>0.74947772421318615</v>
      </c>
      <c r="BB46" s="351">
        <f t="shared" si="78"/>
        <v>0.93191068337134086</v>
      </c>
      <c r="BC46" s="351">
        <f t="shared" si="79"/>
        <v>0.80143552114668093</v>
      </c>
      <c r="BD46" s="351">
        <f t="shared" si="80"/>
        <v>0.12762290622466008</v>
      </c>
      <c r="BE46" s="351">
        <f t="shared" si="81"/>
        <v>3.3786219221401091E-2</v>
      </c>
    </row>
    <row r="47" spans="1:57" x14ac:dyDescent="0.25">
      <c r="A47" s="75" t="s">
        <v>200</v>
      </c>
      <c r="B47" s="5">
        <f>Vsd_Q1</f>
        <v>0.7</v>
      </c>
      <c r="C47" s="432" t="s">
        <v>0</v>
      </c>
      <c r="G47">
        <v>38</v>
      </c>
      <c r="H47" s="527">
        <f t="shared" si="48"/>
        <v>24</v>
      </c>
      <c r="I47" s="4">
        <f t="shared" si="49"/>
        <v>1</v>
      </c>
      <c r="J47" s="351">
        <f t="shared" si="82"/>
        <v>1.9</v>
      </c>
      <c r="K47" s="351">
        <f t="shared" si="50"/>
        <v>1.9</v>
      </c>
      <c r="L47" s="4">
        <f t="shared" si="51"/>
        <v>0.29027777777777775</v>
      </c>
      <c r="M47" s="351">
        <f t="shared" si="52"/>
        <v>0.14044402187861435</v>
      </c>
      <c r="N47" s="4">
        <f t="shared" si="53"/>
        <v>1.9954899862052584</v>
      </c>
      <c r="O47" s="4">
        <f t="shared" si="38"/>
        <v>2.8977449931026289</v>
      </c>
      <c r="P47" s="4">
        <f t="shared" si="39"/>
        <v>0.9022550068973707</v>
      </c>
      <c r="Q47" s="4">
        <f t="shared" si="54"/>
        <v>0</v>
      </c>
      <c r="R47" s="4">
        <f t="shared" si="40"/>
        <v>1.9854046666663336</v>
      </c>
      <c r="S47" s="351">
        <f t="shared" si="55"/>
        <v>9.8545792260511397E-2</v>
      </c>
      <c r="T47" s="351">
        <f t="shared" si="56"/>
        <v>0.65</v>
      </c>
      <c r="U47" s="351">
        <f t="shared" si="57"/>
        <v>0.75449396873287611</v>
      </c>
      <c r="V47" s="4">
        <f t="shared" si="41"/>
        <v>0.57604834035040431</v>
      </c>
      <c r="W47" s="351">
        <f t="shared" si="10"/>
        <v>3.3183169042045522E-4</v>
      </c>
      <c r="X47" s="351">
        <f t="shared" si="42"/>
        <v>3.3183169042045522E-4</v>
      </c>
      <c r="Y47" s="4">
        <f t="shared" si="43"/>
        <v>0.68982312604174612</v>
      </c>
      <c r="Z47" s="351">
        <f t="shared" si="11"/>
        <v>4.7585594522200675E-4</v>
      </c>
      <c r="AA47" s="520">
        <f t="shared" si="44"/>
        <v>4.7585594522200675E-4</v>
      </c>
      <c r="AB47" s="351">
        <f t="shared" si="45"/>
        <v>0.74404750935086517</v>
      </c>
      <c r="AC47" s="351">
        <f t="shared" si="58"/>
        <v>6.3664770059690965E-3</v>
      </c>
      <c r="AD47" s="351">
        <f t="shared" si="59"/>
        <v>7.4290542857142844E-2</v>
      </c>
      <c r="AE47" s="351">
        <f t="shared" si="60"/>
        <v>0.53416704000000004</v>
      </c>
      <c r="AF47" s="351">
        <f t="shared" si="61"/>
        <v>0</v>
      </c>
      <c r="AG47" s="351">
        <f t="shared" si="62"/>
        <v>0.61548236018445257</v>
      </c>
      <c r="AH47" s="351">
        <f t="shared" si="63"/>
        <v>1.8407131754429393</v>
      </c>
      <c r="AI47" s="351">
        <f t="shared" si="64"/>
        <v>1.1181142481022456E-2</v>
      </c>
      <c r="AJ47" s="351">
        <f t="shared" si="65"/>
        <v>2.3407999999999998E-2</v>
      </c>
      <c r="AK47" s="351">
        <f t="shared" si="66"/>
        <v>3.465113276142795E-2</v>
      </c>
      <c r="AL47" s="351">
        <f t="shared" si="67"/>
        <v>2.3407999999999998E-2</v>
      </c>
      <c r="AM47" s="351">
        <f t="shared" si="68"/>
        <v>0.29293439999999998</v>
      </c>
      <c r="AN47" s="351">
        <f t="shared" si="69"/>
        <v>3.5476485213784097E-2</v>
      </c>
      <c r="AO47" s="351">
        <f t="shared" si="70"/>
        <v>8.3999999999999993E-4</v>
      </c>
      <c r="AP47" s="351">
        <f>'Variable Management'!$B$346</f>
        <v>0.41183999999999998</v>
      </c>
      <c r="AQ47" s="351">
        <f t="shared" si="25"/>
        <v>0.36108727954971853</v>
      </c>
      <c r="AR47" s="351">
        <f t="shared" si="71"/>
        <v>0.35521199999999997</v>
      </c>
      <c r="AS47" s="351">
        <f t="shared" si="72"/>
        <v>0.41267999999999999</v>
      </c>
      <c r="AT47" s="351">
        <f t="shared" si="73"/>
        <v>2.1699340345281835</v>
      </c>
      <c r="AU47">
        <f t="shared" si="74"/>
        <v>6.27</v>
      </c>
      <c r="AV47" s="521">
        <f t="shared" si="46"/>
        <v>0.74289680160403193</v>
      </c>
      <c r="AW47" s="530">
        <f t="shared" si="75"/>
        <v>33.97040069574701</v>
      </c>
      <c r="AX47" s="530">
        <f t="shared" si="76"/>
        <v>5.2527793904571185</v>
      </c>
      <c r="AY47" s="9"/>
      <c r="AZ47" s="4">
        <f t="shared" si="47"/>
        <v>74.289680160403194</v>
      </c>
      <c r="BA47" s="351">
        <f t="shared" si="77"/>
        <v>0.75449396873287611</v>
      </c>
      <c r="BB47" s="351">
        <f t="shared" si="78"/>
        <v>0.94306789294588045</v>
      </c>
      <c r="BC47" s="351">
        <f t="shared" si="79"/>
        <v>0.8088190641844526</v>
      </c>
      <c r="BD47" s="351">
        <f t="shared" si="80"/>
        <v>0.13131948476142796</v>
      </c>
      <c r="BE47" s="351">
        <f t="shared" si="81"/>
        <v>3.5476485213784097E-2</v>
      </c>
    </row>
    <row r="48" spans="1:57" ht="15.6" x14ac:dyDescent="0.35">
      <c r="A48" s="433" t="s">
        <v>460</v>
      </c>
      <c r="B48" s="5">
        <f>ThetaJA_Q1</f>
        <v>42</v>
      </c>
      <c r="C48" s="428" t="s">
        <v>202</v>
      </c>
      <c r="D48" s="21" t="s">
        <v>103</v>
      </c>
      <c r="G48">
        <v>39</v>
      </c>
      <c r="H48" s="527">
        <f t="shared" si="48"/>
        <v>24</v>
      </c>
      <c r="I48" s="4">
        <f t="shared" si="49"/>
        <v>1</v>
      </c>
      <c r="J48" s="351">
        <f t="shared" si="82"/>
        <v>1.95</v>
      </c>
      <c r="K48" s="351">
        <f t="shared" si="50"/>
        <v>1.95</v>
      </c>
      <c r="L48" s="4">
        <f t="shared" si="51"/>
        <v>0.29791666666666661</v>
      </c>
      <c r="M48" s="351">
        <f t="shared" si="52"/>
        <v>0.14052149110307827</v>
      </c>
      <c r="N48" s="4">
        <f t="shared" si="53"/>
        <v>1.9964140831297923</v>
      </c>
      <c r="O48" s="4">
        <f t="shared" si="38"/>
        <v>2.948207041564896</v>
      </c>
      <c r="P48" s="4">
        <f t="shared" si="39"/>
        <v>0.95179295843510381</v>
      </c>
      <c r="Q48" s="4">
        <f t="shared" si="54"/>
        <v>0</v>
      </c>
      <c r="R48" s="4">
        <f t="shared" si="40"/>
        <v>2.0333811987122781</v>
      </c>
      <c r="S48" s="351">
        <f t="shared" si="55"/>
        <v>0.10336597748191452</v>
      </c>
      <c r="T48" s="351">
        <f t="shared" si="56"/>
        <v>0.65</v>
      </c>
      <c r="U48" s="351">
        <f t="shared" si="57"/>
        <v>0.75964771577656642</v>
      </c>
      <c r="V48" s="4">
        <f t="shared" si="41"/>
        <v>0.57631510415447273</v>
      </c>
      <c r="W48" s="351">
        <f t="shared" si="10"/>
        <v>3.3213909927658078E-4</v>
      </c>
      <c r="X48" s="351">
        <f t="shared" si="42"/>
        <v>3.3213909927658078E-4</v>
      </c>
      <c r="Y48" s="4">
        <f t="shared" si="43"/>
        <v>0.70665541173114055</v>
      </c>
      <c r="Z48" s="351">
        <f t="shared" si="11"/>
        <v>4.993618709289078E-4</v>
      </c>
      <c r="AA48" s="520">
        <f t="shared" si="44"/>
        <v>4.993618709289078E-4</v>
      </c>
      <c r="AB48" s="351">
        <f t="shared" si="45"/>
        <v>0.76223726713106443</v>
      </c>
      <c r="AC48" s="351">
        <f t="shared" si="58"/>
        <v>6.6815649911394865E-3</v>
      </c>
      <c r="AD48" s="351">
        <f t="shared" si="59"/>
        <v>7.6245557142857148E-2</v>
      </c>
      <c r="AE48" s="351">
        <f t="shared" si="60"/>
        <v>0.53416704000000004</v>
      </c>
      <c r="AF48" s="351">
        <f t="shared" si="61"/>
        <v>0</v>
      </c>
      <c r="AG48" s="351">
        <f t="shared" si="62"/>
        <v>0.61778763055231201</v>
      </c>
      <c r="AH48" s="351">
        <f t="shared" si="63"/>
        <v>1.8851083384975909</v>
      </c>
      <c r="AI48" s="351">
        <f t="shared" si="64"/>
        <v>1.1726990377981387E-2</v>
      </c>
      <c r="AJ48" s="351">
        <f t="shared" si="65"/>
        <v>2.4023999999999997E-2</v>
      </c>
      <c r="AK48" s="351">
        <f t="shared" si="66"/>
        <v>3.5818196721711326E-2</v>
      </c>
      <c r="AL48" s="351">
        <f t="shared" si="67"/>
        <v>2.4023999999999997E-2</v>
      </c>
      <c r="AM48" s="351">
        <f t="shared" si="68"/>
        <v>0.3006432</v>
      </c>
      <c r="AN48" s="351">
        <f t="shared" si="69"/>
        <v>3.7211751893489221E-2</v>
      </c>
      <c r="AO48" s="351">
        <f t="shared" si="70"/>
        <v>8.3999999999999993E-4</v>
      </c>
      <c r="AP48" s="351">
        <f>'Variable Management'!$B$346</f>
        <v>0.41183999999999998</v>
      </c>
      <c r="AQ48" s="351">
        <f t="shared" si="25"/>
        <v>0.36108727954971853</v>
      </c>
      <c r="AR48" s="351">
        <f t="shared" si="71"/>
        <v>0.35521199999999997</v>
      </c>
      <c r="AS48" s="351">
        <f t="shared" si="72"/>
        <v>0.41267999999999999</v>
      </c>
      <c r="AT48" s="351">
        <f t="shared" si="73"/>
        <v>2.1886439959142843</v>
      </c>
      <c r="AU48">
        <f t="shared" si="74"/>
        <v>6.4349999999999996</v>
      </c>
      <c r="AV48" s="521">
        <f t="shared" si="46"/>
        <v>0.74620427316442772</v>
      </c>
      <c r="AW48" s="530">
        <f t="shared" si="75"/>
        <v>34.280909987197106</v>
      </c>
      <c r="AX48" s="530">
        <f t="shared" si="76"/>
        <v>5.401218108868453</v>
      </c>
      <c r="AY48" s="9"/>
      <c r="AZ48" s="4">
        <f t="shared" si="47"/>
        <v>74.620427316442772</v>
      </c>
      <c r="BA48" s="351">
        <f t="shared" si="77"/>
        <v>0.75964771577656642</v>
      </c>
      <c r="BB48" s="351">
        <f t="shared" si="78"/>
        <v>0.95424902727402328</v>
      </c>
      <c r="BC48" s="351">
        <f t="shared" si="79"/>
        <v>0.816212142552312</v>
      </c>
      <c r="BD48" s="351">
        <f t="shared" si="80"/>
        <v>0.13503045272171132</v>
      </c>
      <c r="BE48" s="351">
        <f t="shared" si="81"/>
        <v>3.7211751893489221E-2</v>
      </c>
    </row>
    <row r="49" spans="1:64" x14ac:dyDescent="0.25">
      <c r="A49" s="24" t="s">
        <v>513</v>
      </c>
      <c r="B49" s="15" t="s">
        <v>111</v>
      </c>
      <c r="C49" s="24" t="s">
        <v>76</v>
      </c>
      <c r="D49" s="17" t="s">
        <v>107</v>
      </c>
      <c r="G49">
        <v>40</v>
      </c>
      <c r="H49" s="527">
        <f t="shared" si="48"/>
        <v>24</v>
      </c>
      <c r="I49" s="4">
        <f t="shared" si="49"/>
        <v>1</v>
      </c>
      <c r="J49" s="351">
        <f t="shared" si="82"/>
        <v>2</v>
      </c>
      <c r="K49" s="351">
        <f t="shared" si="50"/>
        <v>2</v>
      </c>
      <c r="L49" s="4">
        <f t="shared" si="51"/>
        <v>0.30555555555555552</v>
      </c>
      <c r="M49" s="351">
        <f t="shared" si="52"/>
        <v>0.1405989600693287</v>
      </c>
      <c r="N49" s="4">
        <f t="shared" si="53"/>
        <v>1.997337981646035</v>
      </c>
      <c r="O49" s="4">
        <f t="shared" si="38"/>
        <v>2.9986689908230177</v>
      </c>
      <c r="P49" s="4">
        <f t="shared" si="39"/>
        <v>1.0013310091769825</v>
      </c>
      <c r="Q49" s="4">
        <f t="shared" si="54"/>
        <v>0</v>
      </c>
      <c r="R49" s="4">
        <f t="shared" si="40"/>
        <v>2.081452998366883</v>
      </c>
      <c r="S49" s="351">
        <f t="shared" si="55"/>
        <v>0.10831116461026219</v>
      </c>
      <c r="T49" s="351">
        <f t="shared" si="56"/>
        <v>0.65</v>
      </c>
      <c r="U49" s="351">
        <f t="shared" si="57"/>
        <v>0.76493928176741155</v>
      </c>
      <c r="V49" s="4">
        <f t="shared" si="41"/>
        <v>0.57658181068300107</v>
      </c>
      <c r="W49" s="351">
        <f t="shared" si="10"/>
        <v>3.3244658441048807E-4</v>
      </c>
      <c r="X49" s="351">
        <f t="shared" si="42"/>
        <v>3.3244658441048807E-4</v>
      </c>
      <c r="Y49" s="4">
        <f t="shared" si="43"/>
        <v>0.7235284289430679</v>
      </c>
      <c r="Z49" s="351">
        <f t="shared" si="11"/>
        <v>5.23493387488824E-4</v>
      </c>
      <c r="AA49" s="520">
        <f t="shared" si="44"/>
        <v>5.23493387488824E-4</v>
      </c>
      <c r="AB49" s="351">
        <f t="shared" si="45"/>
        <v>0.78047260318606293</v>
      </c>
      <c r="AC49" s="351">
        <f t="shared" si="58"/>
        <v>7.0050810697263417E-3</v>
      </c>
      <c r="AD49" s="351">
        <f t="shared" si="59"/>
        <v>7.8200571428571425E-2</v>
      </c>
      <c r="AE49" s="351">
        <f t="shared" si="60"/>
        <v>0.53416704000000004</v>
      </c>
      <c r="AF49" s="351">
        <f t="shared" si="61"/>
        <v>0</v>
      </c>
      <c r="AG49" s="351">
        <f t="shared" si="62"/>
        <v>0.62010246232567923</v>
      </c>
      <c r="AH49" s="351">
        <f t="shared" si="63"/>
        <v>1.9295878057467242</v>
      </c>
      <c r="AI49" s="351">
        <f t="shared" si="64"/>
        <v>1.2286920030285311E-2</v>
      </c>
      <c r="AJ49" s="351">
        <f t="shared" si="65"/>
        <v>2.4639999999999999E-2</v>
      </c>
      <c r="AK49" s="351">
        <f t="shared" si="66"/>
        <v>3.6999657924375665E-2</v>
      </c>
      <c r="AL49" s="351">
        <f t="shared" si="67"/>
        <v>2.4639999999999999E-2</v>
      </c>
      <c r="AM49" s="351">
        <f t="shared" si="68"/>
        <v>0.30835200000000007</v>
      </c>
      <c r="AN49" s="351">
        <f t="shared" si="69"/>
        <v>3.899201925969438E-2</v>
      </c>
      <c r="AO49" s="351">
        <f t="shared" si="70"/>
        <v>8.3999999999999993E-4</v>
      </c>
      <c r="AP49" s="351">
        <f>'Variable Management'!$B$346</f>
        <v>0.41183999999999998</v>
      </c>
      <c r="AQ49" s="351">
        <f t="shared" si="25"/>
        <v>0.36108727954971853</v>
      </c>
      <c r="AR49" s="351">
        <f t="shared" si="71"/>
        <v>0.35521199999999997</v>
      </c>
      <c r="AS49" s="351">
        <f t="shared" si="72"/>
        <v>0.41267999999999999</v>
      </c>
      <c r="AT49" s="351">
        <f t="shared" si="73"/>
        <v>2.2075613612490597</v>
      </c>
      <c r="AU49">
        <f t="shared" si="74"/>
        <v>6.6</v>
      </c>
      <c r="AV49" s="521">
        <f t="shared" si="46"/>
        <v>0.74935611905450406</v>
      </c>
      <c r="AW49" s="530">
        <f t="shared" si="75"/>
        <v>34.591820857678528</v>
      </c>
      <c r="AX49" s="530">
        <f t="shared" si="76"/>
        <v>5.5502327169750281</v>
      </c>
      <c r="AY49" s="9"/>
      <c r="AZ49" s="4">
        <f t="shared" si="47"/>
        <v>74.935611905450401</v>
      </c>
      <c r="BA49" s="351">
        <f t="shared" si="77"/>
        <v>0.76493928176741155</v>
      </c>
      <c r="BB49" s="351">
        <f t="shared" si="78"/>
        <v>0.96545412025005495</v>
      </c>
      <c r="BC49" s="351">
        <f t="shared" si="79"/>
        <v>0.82361478232567931</v>
      </c>
      <c r="BD49" s="351">
        <f t="shared" si="80"/>
        <v>0.13875581792437569</v>
      </c>
      <c r="BE49" s="351">
        <f t="shared" si="81"/>
        <v>3.899201925969438E-2</v>
      </c>
    </row>
    <row r="50" spans="1:64" x14ac:dyDescent="0.25">
      <c r="A50" s="23" t="s">
        <v>68</v>
      </c>
      <c r="B50" s="5">
        <f>Rdson2*1000</f>
        <v>3.3</v>
      </c>
      <c r="C50" s="429" t="s">
        <v>454</v>
      </c>
      <c r="D50" s="427" t="s">
        <v>514</v>
      </c>
      <c r="G50">
        <v>41</v>
      </c>
      <c r="H50" s="527">
        <f t="shared" si="48"/>
        <v>24</v>
      </c>
      <c r="I50" s="4">
        <f t="shared" si="49"/>
        <v>1</v>
      </c>
      <c r="J50" s="351">
        <f t="shared" si="82"/>
        <v>2.0499999999999998</v>
      </c>
      <c r="K50" s="351">
        <f t="shared" si="50"/>
        <v>2.0499999999999998</v>
      </c>
      <c r="L50" s="4">
        <f t="shared" si="51"/>
        <v>0.31319444444444439</v>
      </c>
      <c r="M50" s="351">
        <f t="shared" si="52"/>
        <v>0.14067642877736689</v>
      </c>
      <c r="N50" s="4">
        <f t="shared" si="53"/>
        <v>1.9982616817549779</v>
      </c>
      <c r="O50" s="4">
        <f t="shared" si="38"/>
        <v>3.0491308408774889</v>
      </c>
      <c r="P50" s="4">
        <f t="shared" si="39"/>
        <v>1.0508691591225108</v>
      </c>
      <c r="Q50" s="4">
        <f t="shared" si="54"/>
        <v>0</v>
      </c>
      <c r="R50" s="4">
        <f t="shared" si="40"/>
        <v>2.1296136141870554</v>
      </c>
      <c r="S50" s="351">
        <f t="shared" si="55"/>
        <v>0.11338135364327132</v>
      </c>
      <c r="T50" s="351">
        <f t="shared" si="56"/>
        <v>0.65</v>
      </c>
      <c r="U50" s="351">
        <f t="shared" si="57"/>
        <v>0.77036899197244235</v>
      </c>
      <c r="V50" s="4">
        <f t="shared" si="41"/>
        <v>0.57684845993627543</v>
      </c>
      <c r="W50" s="351">
        <f t="shared" si="10"/>
        <v>3.3275414573085278E-4</v>
      </c>
      <c r="X50" s="351">
        <f t="shared" si="42"/>
        <v>3.3275414573085278E-4</v>
      </c>
      <c r="Y50" s="4">
        <f t="shared" si="43"/>
        <v>0.74043995234851567</v>
      </c>
      <c r="Z50" s="351">
        <f t="shared" si="11"/>
        <v>5.4825132303387215E-4</v>
      </c>
      <c r="AA50" s="520">
        <f t="shared" si="44"/>
        <v>5.4825132303387215E-4</v>
      </c>
      <c r="AB50" s="351">
        <f t="shared" si="45"/>
        <v>0.7987511232036949</v>
      </c>
      <c r="AC50" s="351">
        <f t="shared" si="58"/>
        <v>7.337038603420388E-3</v>
      </c>
      <c r="AD50" s="351">
        <f t="shared" si="59"/>
        <v>8.0155585714285701E-2</v>
      </c>
      <c r="AE50" s="351">
        <f t="shared" si="60"/>
        <v>0.53416704000000004</v>
      </c>
      <c r="AF50" s="351">
        <f t="shared" si="61"/>
        <v>0</v>
      </c>
      <c r="AG50" s="351">
        <f t="shared" si="62"/>
        <v>0.62242688168757587</v>
      </c>
      <c r="AH50" s="351">
        <f t="shared" si="63"/>
        <v>1.9741455845280735</v>
      </c>
      <c r="AI50" s="351">
        <f t="shared" si="64"/>
        <v>1.2860927603408574E-2</v>
      </c>
      <c r="AJ50" s="351">
        <f t="shared" si="65"/>
        <v>2.5255999999999997E-2</v>
      </c>
      <c r="AK50" s="351">
        <f t="shared" si="66"/>
        <v>3.8195524383227278E-2</v>
      </c>
      <c r="AL50" s="351">
        <f t="shared" si="67"/>
        <v>2.5255999999999997E-2</v>
      </c>
      <c r="AM50" s="351">
        <f t="shared" si="68"/>
        <v>0.31606079999999998</v>
      </c>
      <c r="AN50" s="351">
        <f t="shared" si="69"/>
        <v>4.0817287311577667E-2</v>
      </c>
      <c r="AO50" s="351">
        <f t="shared" si="70"/>
        <v>8.3999999999999993E-4</v>
      </c>
      <c r="AP50" s="351">
        <f>'Variable Management'!$B$346</f>
        <v>0.41183999999999998</v>
      </c>
      <c r="AQ50" s="351">
        <f t="shared" si="25"/>
        <v>0.36108727954971853</v>
      </c>
      <c r="AR50" s="351">
        <f t="shared" si="71"/>
        <v>0.35521199999999997</v>
      </c>
      <c r="AS50" s="351">
        <f t="shared" si="72"/>
        <v>0.41267999999999999</v>
      </c>
      <c r="AT50" s="351">
        <f t="shared" si="73"/>
        <v>2.2266864908235879</v>
      </c>
      <c r="AU50">
        <f t="shared" si="74"/>
        <v>6.7649999999999988</v>
      </c>
      <c r="AV50" s="521">
        <f t="shared" si="46"/>
        <v>0.75236164060034572</v>
      </c>
      <c r="AW50" s="530">
        <f t="shared" si="75"/>
        <v>34.903134406878181</v>
      </c>
      <c r="AX50" s="530">
        <f t="shared" si="76"/>
        <v>5.6998235353290916</v>
      </c>
      <c r="AY50" s="9"/>
      <c r="AZ50" s="4">
        <f t="shared" si="47"/>
        <v>75.236164060034568</v>
      </c>
      <c r="BA50" s="351">
        <f t="shared" si="77"/>
        <v>0.77036899197244235</v>
      </c>
      <c r="BB50" s="351">
        <f t="shared" si="78"/>
        <v>0.97668320607080306</v>
      </c>
      <c r="BC50" s="351">
        <f t="shared" si="79"/>
        <v>0.83102700968757581</v>
      </c>
      <c r="BD50" s="351">
        <f t="shared" si="80"/>
        <v>0.14249558838322729</v>
      </c>
      <c r="BE50" s="351">
        <f t="shared" si="81"/>
        <v>4.0817287311577667E-2</v>
      </c>
    </row>
    <row r="51" spans="1:64" x14ac:dyDescent="0.25">
      <c r="A51" s="23" t="s">
        <v>80</v>
      </c>
      <c r="B51" s="5">
        <f>RdsonBotTc*1000000</f>
        <v>4000</v>
      </c>
      <c r="C51" s="427" t="s">
        <v>81</v>
      </c>
      <c r="D51" s="21" t="s">
        <v>104</v>
      </c>
      <c r="G51">
        <v>42</v>
      </c>
      <c r="H51" s="527">
        <f t="shared" si="48"/>
        <v>24</v>
      </c>
      <c r="I51" s="4">
        <f t="shared" si="49"/>
        <v>1</v>
      </c>
      <c r="J51" s="351">
        <f t="shared" si="82"/>
        <v>2.1</v>
      </c>
      <c r="K51" s="351">
        <f t="shared" si="50"/>
        <v>2.1</v>
      </c>
      <c r="L51" s="4">
        <f t="shared" si="51"/>
        <v>0.3208333333333333</v>
      </c>
      <c r="M51" s="351">
        <f t="shared" si="52"/>
        <v>0.14075389722719409</v>
      </c>
      <c r="N51" s="4">
        <f t="shared" si="53"/>
        <v>1.9991851834576124</v>
      </c>
      <c r="O51" s="4">
        <f t="shared" si="38"/>
        <v>3.0995925917288063</v>
      </c>
      <c r="P51" s="4">
        <f t="shared" si="39"/>
        <v>1.1004074082711939</v>
      </c>
      <c r="Q51" s="4">
        <f t="shared" si="54"/>
        <v>0</v>
      </c>
      <c r="R51" s="4">
        <f t="shared" si="40"/>
        <v>2.1778571539810345</v>
      </c>
      <c r="S51" s="351">
        <f t="shared" si="55"/>
        <v>0.11857654457865929</v>
      </c>
      <c r="T51" s="351">
        <f t="shared" si="56"/>
        <v>0.65</v>
      </c>
      <c r="U51" s="351">
        <f t="shared" si="57"/>
        <v>0.77593718055306649</v>
      </c>
      <c r="V51" s="4">
        <f t="shared" si="41"/>
        <v>0.57711505191458201</v>
      </c>
      <c r="W51" s="351">
        <f t="shared" si="10"/>
        <v>3.3306178314637073E-4</v>
      </c>
      <c r="X51" s="351">
        <f t="shared" si="42"/>
        <v>3.3306178314637073E-4</v>
      </c>
      <c r="Y51" s="4">
        <f t="shared" si="43"/>
        <v>0.75738794902651307</v>
      </c>
      <c r="Z51" s="351">
        <f t="shared" si="11"/>
        <v>5.7363650533058801E-4</v>
      </c>
      <c r="AA51" s="520">
        <f t="shared" si="44"/>
        <v>5.7363650533058801E-4</v>
      </c>
      <c r="AB51" s="351">
        <f t="shared" si="45"/>
        <v>0.81707064001052954</v>
      </c>
      <c r="AC51" s="351">
        <f t="shared" si="58"/>
        <v>7.6774509538229873E-3</v>
      </c>
      <c r="AD51" s="351">
        <f t="shared" si="59"/>
        <v>8.211060000000002E-2</v>
      </c>
      <c r="AE51" s="351">
        <f t="shared" si="60"/>
        <v>0.53416704000000004</v>
      </c>
      <c r="AF51" s="351">
        <f t="shared" si="61"/>
        <v>0</v>
      </c>
      <c r="AG51" s="351">
        <f t="shared" si="62"/>
        <v>0.62476091492923846</v>
      </c>
      <c r="AH51" s="351">
        <f t="shared" si="63"/>
        <v>2.0187762016576167</v>
      </c>
      <c r="AI51" s="351">
        <f t="shared" si="64"/>
        <v>1.3449009262851209E-2</v>
      </c>
      <c r="AJ51" s="351">
        <f t="shared" si="65"/>
        <v>2.5871999999999999E-2</v>
      </c>
      <c r="AK51" s="351">
        <f t="shared" si="66"/>
        <v>3.9405804307193218E-2</v>
      </c>
      <c r="AL51" s="351">
        <f t="shared" si="67"/>
        <v>2.5871999999999999E-2</v>
      </c>
      <c r="AM51" s="351">
        <f t="shared" si="68"/>
        <v>0.32376960000000005</v>
      </c>
      <c r="AN51" s="351">
        <f t="shared" si="69"/>
        <v>4.2687556048317345E-2</v>
      </c>
      <c r="AO51" s="351">
        <f t="shared" si="70"/>
        <v>8.3999999999999993E-4</v>
      </c>
      <c r="AP51" s="351">
        <f>'Variable Management'!$B$346</f>
        <v>0.41183999999999998</v>
      </c>
      <c r="AQ51" s="351">
        <f t="shared" si="25"/>
        <v>0.36108727954971853</v>
      </c>
      <c r="AR51" s="351">
        <f t="shared" si="71"/>
        <v>0.35521199999999997</v>
      </c>
      <c r="AS51" s="351">
        <f t="shared" si="72"/>
        <v>0.41267999999999999</v>
      </c>
      <c r="AT51" s="351">
        <f t="shared" si="73"/>
        <v>2.2460197541262925</v>
      </c>
      <c r="AU51">
        <f t="shared" si="74"/>
        <v>6.93</v>
      </c>
      <c r="AV51" s="521">
        <f t="shared" si="46"/>
        <v>0.75522941162846802</v>
      </c>
      <c r="AW51" s="530">
        <f t="shared" si="75"/>
        <v>35.214851739028013</v>
      </c>
      <c r="AX51" s="530">
        <f t="shared" si="76"/>
        <v>5.8499908922877299</v>
      </c>
      <c r="AY51" s="9"/>
      <c r="AZ51" s="4">
        <f t="shared" si="47"/>
        <v>75.522941162846806</v>
      </c>
      <c r="BA51" s="351">
        <f t="shared" si="77"/>
        <v>0.77593718055306649</v>
      </c>
      <c r="BB51" s="351">
        <f t="shared" si="78"/>
        <v>0.98793631923643166</v>
      </c>
      <c r="BC51" s="351">
        <f t="shared" si="79"/>
        <v>0.83844885092923849</v>
      </c>
      <c r="BD51" s="351">
        <f t="shared" si="80"/>
        <v>0.14624977230719324</v>
      </c>
      <c r="BE51" s="351">
        <f t="shared" si="81"/>
        <v>4.2687556048317345E-2</v>
      </c>
    </row>
    <row r="52" spans="1:64" x14ac:dyDescent="0.25">
      <c r="A52" s="23" t="s">
        <v>67</v>
      </c>
      <c r="B52" s="5">
        <f>Qg_Q2*1000000000</f>
        <v>31</v>
      </c>
      <c r="C52" s="427" t="s">
        <v>65</v>
      </c>
      <c r="D52" s="21" t="s">
        <v>99</v>
      </c>
      <c r="G52">
        <v>43</v>
      </c>
      <c r="H52" s="527">
        <f t="shared" si="48"/>
        <v>24</v>
      </c>
      <c r="I52" s="4">
        <f t="shared" si="49"/>
        <v>1</v>
      </c>
      <c r="J52" s="351">
        <f t="shared" si="82"/>
        <v>2.15</v>
      </c>
      <c r="K52" s="351">
        <f t="shared" si="50"/>
        <v>2.15</v>
      </c>
      <c r="L52" s="4">
        <f t="shared" si="51"/>
        <v>0.32847222222222217</v>
      </c>
      <c r="M52" s="351">
        <f t="shared" si="52"/>
        <v>0.14083136541881164</v>
      </c>
      <c r="N52" s="4">
        <f t="shared" si="53"/>
        <v>2.000108486754931</v>
      </c>
      <c r="O52" s="4">
        <f t="shared" si="38"/>
        <v>3.1500542433774656</v>
      </c>
      <c r="P52" s="4">
        <f t="shared" si="39"/>
        <v>1.1499457566225344</v>
      </c>
      <c r="Q52" s="4">
        <f t="shared" si="54"/>
        <v>0</v>
      </c>
      <c r="R52" s="4">
        <f t="shared" si="40"/>
        <v>2.2261782265950223</v>
      </c>
      <c r="S52" s="351">
        <f t="shared" si="55"/>
        <v>0.12389673741414396</v>
      </c>
      <c r="T52" s="351">
        <f t="shared" si="56"/>
        <v>0.65</v>
      </c>
      <c r="U52" s="351">
        <f t="shared" si="57"/>
        <v>0.7816441906170376</v>
      </c>
      <c r="V52" s="4">
        <f t="shared" si="41"/>
        <v>0.57738158661820727</v>
      </c>
      <c r="W52" s="351">
        <f t="shared" si="10"/>
        <v>3.3336949656575837E-4</v>
      </c>
      <c r="X52" s="351">
        <f t="shared" si="42"/>
        <v>3.3336949656575837E-4</v>
      </c>
      <c r="Y52" s="4">
        <f t="shared" si="43"/>
        <v>0.77437055844081204</v>
      </c>
      <c r="Z52" s="351">
        <f t="shared" si="11"/>
        <v>5.9964976177993509E-4</v>
      </c>
      <c r="AA52" s="520">
        <f t="shared" si="44"/>
        <v>5.9964976177993509E-4</v>
      </c>
      <c r="AB52" s="351">
        <f t="shared" si="45"/>
        <v>0.83542915201637202</v>
      </c>
      <c r="AC52" s="351">
        <f t="shared" si="58"/>
        <v>8.0263314824461363E-3</v>
      </c>
      <c r="AD52" s="351">
        <f t="shared" si="59"/>
        <v>8.4065614285714269E-2</v>
      </c>
      <c r="AE52" s="351">
        <f t="shared" si="60"/>
        <v>0.53416704000000004</v>
      </c>
      <c r="AF52" s="351">
        <f t="shared" si="61"/>
        <v>0</v>
      </c>
      <c r="AG52" s="351">
        <f t="shared" si="62"/>
        <v>0.62710458845073991</v>
      </c>
      <c r="AH52" s="351">
        <f t="shared" si="63"/>
        <v>2.063474649354085</v>
      </c>
      <c r="AI52" s="351">
        <f t="shared" si="64"/>
        <v>1.4051161174138982E-2</v>
      </c>
      <c r="AJ52" s="351">
        <f t="shared" si="65"/>
        <v>2.6487999999999998E-2</v>
      </c>
      <c r="AK52" s="351">
        <f t="shared" si="66"/>
        <v>4.0630506100507786E-2</v>
      </c>
      <c r="AL52" s="351">
        <f t="shared" si="67"/>
        <v>2.6487999999999998E-2</v>
      </c>
      <c r="AM52" s="351">
        <f t="shared" si="68"/>
        <v>0.33147840000000006</v>
      </c>
      <c r="AN52" s="351">
        <f t="shared" si="69"/>
        <v>4.460282546909182E-2</v>
      </c>
      <c r="AO52" s="351">
        <f t="shared" si="70"/>
        <v>8.3999999999999993E-4</v>
      </c>
      <c r="AP52" s="351">
        <f>'Variable Management'!$B$346</f>
        <v>0.41183999999999998</v>
      </c>
      <c r="AQ52" s="351">
        <f t="shared" si="25"/>
        <v>0.36108727954971853</v>
      </c>
      <c r="AR52" s="351">
        <f t="shared" si="71"/>
        <v>0.35521199999999997</v>
      </c>
      <c r="AS52" s="351">
        <f t="shared" si="72"/>
        <v>0.41267999999999999</v>
      </c>
      <c r="AT52" s="351">
        <f t="shared" si="73"/>
        <v>2.2655615298957232</v>
      </c>
      <c r="AU52">
        <f t="shared" si="74"/>
        <v>7.0949999999999998</v>
      </c>
      <c r="AV52" s="521">
        <f t="shared" si="46"/>
        <v>0.75796734814893507</v>
      </c>
      <c r="AW52" s="530">
        <f t="shared" si="75"/>
        <v>35.526973962931081</v>
      </c>
      <c r="AX52" s="530">
        <f t="shared" si="76"/>
        <v>6.000735124020312</v>
      </c>
      <c r="AY52" s="9"/>
      <c r="AZ52" s="4">
        <f t="shared" si="47"/>
        <v>75.796734814893512</v>
      </c>
      <c r="BA52" s="351">
        <f t="shared" si="77"/>
        <v>0.7816441906170376</v>
      </c>
      <c r="BB52" s="351">
        <f t="shared" si="78"/>
        <v>0.99921349455124775</v>
      </c>
      <c r="BC52" s="351">
        <f t="shared" si="79"/>
        <v>0.84588033245074001</v>
      </c>
      <c r="BD52" s="351">
        <f t="shared" si="80"/>
        <v>0.1500183781005078</v>
      </c>
      <c r="BE52" s="351">
        <f t="shared" si="81"/>
        <v>4.460282546909182E-2</v>
      </c>
    </row>
    <row r="53" spans="1:64" x14ac:dyDescent="0.25">
      <c r="A53" s="23" t="s">
        <v>91</v>
      </c>
      <c r="B53" s="5">
        <f>Rgate2</f>
        <v>1.2</v>
      </c>
      <c r="C53" s="431" t="s">
        <v>116</v>
      </c>
      <c r="D53" s="21" t="s">
        <v>100</v>
      </c>
      <c r="G53">
        <v>44</v>
      </c>
      <c r="H53" s="527">
        <f t="shared" si="48"/>
        <v>24</v>
      </c>
      <c r="I53" s="4">
        <f t="shared" si="49"/>
        <v>1</v>
      </c>
      <c r="J53" s="351">
        <f t="shared" si="82"/>
        <v>2.2000000000000002</v>
      </c>
      <c r="K53" s="351">
        <f t="shared" si="50"/>
        <v>2.2000000000000002</v>
      </c>
      <c r="L53" s="4">
        <f t="shared" si="51"/>
        <v>0.33611111111111108</v>
      </c>
      <c r="M53" s="351">
        <f t="shared" si="52"/>
        <v>0.14090883335222082</v>
      </c>
      <c r="N53" s="4">
        <f t="shared" si="53"/>
        <v>2.0010315916479251</v>
      </c>
      <c r="O53" s="4">
        <f t="shared" si="38"/>
        <v>3.2005157958239625</v>
      </c>
      <c r="P53" s="4">
        <f t="shared" si="39"/>
        <v>1.1994842041760376</v>
      </c>
      <c r="Q53" s="4">
        <f t="shared" si="54"/>
        <v>0</v>
      </c>
      <c r="R53" s="4">
        <f t="shared" si="40"/>
        <v>2.2745718906857513</v>
      </c>
      <c r="S53" s="351">
        <f t="shared" si="55"/>
        <v>0.12934193214744383</v>
      </c>
      <c r="T53" s="351">
        <f t="shared" si="56"/>
        <v>0.65</v>
      </c>
      <c r="U53" s="351">
        <f t="shared" si="57"/>
        <v>0.78749037427191126</v>
      </c>
      <c r="V53" s="4">
        <f t="shared" si="41"/>
        <v>0.57764806404743752</v>
      </c>
      <c r="W53" s="351">
        <f t="shared" si="10"/>
        <v>3.3367728589775246E-4</v>
      </c>
      <c r="X53" s="351">
        <f t="shared" si="42"/>
        <v>3.3367728589775246E-4</v>
      </c>
      <c r="Y53" s="4">
        <f t="shared" si="43"/>
        <v>0.79138607481892664</v>
      </c>
      <c r="Z53" s="351">
        <f t="shared" si="11"/>
        <v>6.2629191941730776E-4</v>
      </c>
      <c r="AA53" s="520">
        <f t="shared" si="44"/>
        <v>6.2629191941730776E-4</v>
      </c>
      <c r="AB53" s="351">
        <f t="shared" si="45"/>
        <v>0.85382482424484274</v>
      </c>
      <c r="AC53" s="351">
        <f t="shared" si="58"/>
        <v>8.3836935507124715E-3</v>
      </c>
      <c r="AD53" s="351">
        <f t="shared" si="59"/>
        <v>8.6020628571428587E-2</v>
      </c>
      <c r="AE53" s="351">
        <f t="shared" si="60"/>
        <v>0.53416704000000004</v>
      </c>
      <c r="AF53" s="351">
        <f t="shared" si="61"/>
        <v>0</v>
      </c>
      <c r="AG53" s="351">
        <f t="shared" si="62"/>
        <v>0.629457928761612</v>
      </c>
      <c r="AH53" s="351">
        <f t="shared" si="63"/>
        <v>2.1082363376531141</v>
      </c>
      <c r="AI53" s="351">
        <f t="shared" si="64"/>
        <v>1.466737950282335E-2</v>
      </c>
      <c r="AJ53" s="351">
        <f t="shared" si="65"/>
        <v>2.7104E-2</v>
      </c>
      <c r="AK53" s="351">
        <f t="shared" si="66"/>
        <v>4.1869638362905699E-2</v>
      </c>
      <c r="AL53" s="351">
        <f t="shared" si="67"/>
        <v>2.7104E-2</v>
      </c>
      <c r="AM53" s="351">
        <f t="shared" si="68"/>
        <v>0.33918720000000008</v>
      </c>
      <c r="AN53" s="351">
        <f t="shared" si="69"/>
        <v>4.6563095573079777E-2</v>
      </c>
      <c r="AO53" s="351">
        <f t="shared" si="70"/>
        <v>8.3999999999999993E-4</v>
      </c>
      <c r="AP53" s="351">
        <f>'Variable Management'!$B$346</f>
        <v>0.41183999999999998</v>
      </c>
      <c r="AQ53" s="351">
        <f t="shared" si="25"/>
        <v>0.36108727954971853</v>
      </c>
      <c r="AR53" s="351">
        <f t="shared" si="71"/>
        <v>0.35521199999999997</v>
      </c>
      <c r="AS53" s="351">
        <f t="shared" si="72"/>
        <v>0.41267999999999999</v>
      </c>
      <c r="AT53" s="351">
        <f t="shared" si="73"/>
        <v>2.2853122061748237</v>
      </c>
      <c r="AU53">
        <f t="shared" si="74"/>
        <v>7.26</v>
      </c>
      <c r="AV53" s="521">
        <f t="shared" si="46"/>
        <v>0.76058277017943265</v>
      </c>
      <c r="AW53" s="530">
        <f t="shared" si="75"/>
        <v>35.839502191987705</v>
      </c>
      <c r="AX53" s="530">
        <f t="shared" si="76"/>
        <v>6.1520565745162292</v>
      </c>
      <c r="AY53" s="9"/>
      <c r="AZ53" s="4">
        <f t="shared" si="47"/>
        <v>76.058277017943269</v>
      </c>
      <c r="BA53" s="351">
        <f t="shared" si="77"/>
        <v>0.78749037427191126</v>
      </c>
      <c r="BB53" s="351">
        <f t="shared" si="78"/>
        <v>1.0105147671245178</v>
      </c>
      <c r="BC53" s="351">
        <f t="shared" si="79"/>
        <v>0.85332148076161207</v>
      </c>
      <c r="BD53" s="351">
        <f t="shared" si="80"/>
        <v>0.15380141436290573</v>
      </c>
      <c r="BE53" s="351">
        <f t="shared" si="81"/>
        <v>4.6563095573079777E-2</v>
      </c>
    </row>
    <row r="54" spans="1:64" x14ac:dyDescent="0.25">
      <c r="A54" s="23" t="s">
        <v>72</v>
      </c>
      <c r="B54" s="5">
        <f>Vsd_Q2</f>
        <v>0.7</v>
      </c>
      <c r="C54" s="427" t="s">
        <v>0</v>
      </c>
      <c r="D54" s="21" t="s">
        <v>105</v>
      </c>
      <c r="G54">
        <v>45</v>
      </c>
      <c r="H54" s="527">
        <f t="shared" si="48"/>
        <v>24</v>
      </c>
      <c r="I54" s="4">
        <f t="shared" si="49"/>
        <v>1</v>
      </c>
      <c r="J54" s="351">
        <f t="shared" si="82"/>
        <v>2.25</v>
      </c>
      <c r="K54" s="351">
        <f t="shared" si="50"/>
        <v>2.25</v>
      </c>
      <c r="L54" s="4">
        <f t="shared" si="51"/>
        <v>0.34374999999999994</v>
      </c>
      <c r="M54" s="351">
        <f t="shared" si="52"/>
        <v>0.14098630102742293</v>
      </c>
      <c r="N54" s="4">
        <f t="shared" si="53"/>
        <v>2.0019544981375876</v>
      </c>
      <c r="O54" s="4">
        <f t="shared" si="38"/>
        <v>3.2509772490687938</v>
      </c>
      <c r="P54" s="4">
        <f t="shared" si="39"/>
        <v>1.2490227509312062</v>
      </c>
      <c r="Q54" s="4">
        <f t="shared" si="54"/>
        <v>0</v>
      </c>
      <c r="R54" s="4">
        <f t="shared" si="40"/>
        <v>2.3230336095397135</v>
      </c>
      <c r="S54" s="351">
        <f t="shared" si="55"/>
        <v>0.13491212877627776</v>
      </c>
      <c r="T54" s="351">
        <f t="shared" si="56"/>
        <v>0.65</v>
      </c>
      <c r="U54" s="351">
        <f t="shared" si="57"/>
        <v>0.79347609268000119</v>
      </c>
      <c r="V54" s="4">
        <f t="shared" si="41"/>
        <v>0.5779144842025592</v>
      </c>
      <c r="W54" s="351">
        <f t="shared" si="10"/>
        <v>3.3398515105111006E-4</v>
      </c>
      <c r="X54" s="351">
        <f t="shared" si="42"/>
        <v>3.3398515105111006E-4</v>
      </c>
      <c r="Y54" s="4">
        <f t="shared" si="43"/>
        <v>0.8084329316106188</v>
      </c>
      <c r="Z54" s="351">
        <f t="shared" si="11"/>
        <v>6.5356380491253942E-4</v>
      </c>
      <c r="AA54" s="520">
        <f t="shared" si="44"/>
        <v>6.5356380491253942E-4</v>
      </c>
      <c r="AB54" s="351">
        <f t="shared" si="45"/>
        <v>0.87225597160243606</v>
      </c>
      <c r="AC54" s="351">
        <f t="shared" si="58"/>
        <v>8.7495505199552612E-3</v>
      </c>
      <c r="AD54" s="351">
        <f t="shared" si="59"/>
        <v>8.7975642857142863E-2</v>
      </c>
      <c r="AE54" s="351">
        <f t="shared" si="60"/>
        <v>0.53416704000000004</v>
      </c>
      <c r="AF54" s="351">
        <f t="shared" si="61"/>
        <v>0</v>
      </c>
      <c r="AG54" s="351">
        <f t="shared" si="62"/>
        <v>0.63182096248147235</v>
      </c>
      <c r="AH54" s="351">
        <f t="shared" si="63"/>
        <v>2.1530570524384625</v>
      </c>
      <c r="AI54" s="351">
        <f t="shared" si="64"/>
        <v>1.5297660414481499E-2</v>
      </c>
      <c r="AJ54" s="351">
        <f t="shared" si="65"/>
        <v>2.7719999999999998E-2</v>
      </c>
      <c r="AK54" s="351">
        <f t="shared" si="66"/>
        <v>4.3123209889821802E-2</v>
      </c>
      <c r="AL54" s="351">
        <f t="shared" si="67"/>
        <v>2.7719999999999998E-2</v>
      </c>
      <c r="AM54" s="351">
        <f t="shared" si="68"/>
        <v>0.34689599999999998</v>
      </c>
      <c r="AN54" s="351">
        <f t="shared" si="69"/>
        <v>4.8568366359459991E-2</v>
      </c>
      <c r="AO54" s="351">
        <f t="shared" si="70"/>
        <v>8.3999999999999993E-4</v>
      </c>
      <c r="AP54" s="351">
        <f>'Variable Management'!$B$346</f>
        <v>0.41183999999999998</v>
      </c>
      <c r="AQ54" s="351">
        <f t="shared" si="25"/>
        <v>0.36108727954971853</v>
      </c>
      <c r="AR54" s="351">
        <f t="shared" si="71"/>
        <v>0.35521199999999997</v>
      </c>
      <c r="AS54" s="351">
        <f t="shared" si="72"/>
        <v>0.41267999999999999</v>
      </c>
      <c r="AT54" s="351">
        <f t="shared" si="73"/>
        <v>2.3052721803667189</v>
      </c>
      <c r="AU54">
        <f t="shared" si="74"/>
        <v>7.4249999999999998</v>
      </c>
      <c r="AV54" s="521">
        <f t="shared" si="46"/>
        <v>0.76308245672529207</v>
      </c>
      <c r="AW54" s="530">
        <f t="shared" si="75"/>
        <v>36.152437544221833</v>
      </c>
      <c r="AX54" s="530">
        <f t="shared" si="76"/>
        <v>6.3039555955928712</v>
      </c>
      <c r="AY54" s="9"/>
      <c r="AZ54" s="4">
        <f t="shared" si="47"/>
        <v>76.30824567252921</v>
      </c>
      <c r="BA54" s="351">
        <f t="shared" si="77"/>
        <v>0.79347609268000119</v>
      </c>
      <c r="BB54" s="351">
        <f t="shared" si="78"/>
        <v>1.0218401723712942</v>
      </c>
      <c r="BC54" s="351">
        <f t="shared" si="79"/>
        <v>0.86077232248147229</v>
      </c>
      <c r="BD54" s="351">
        <f t="shared" si="80"/>
        <v>0.15759888988982179</v>
      </c>
      <c r="BE54" s="351">
        <f t="shared" si="81"/>
        <v>4.8568366359459991E-2</v>
      </c>
    </row>
    <row r="55" spans="1:64" x14ac:dyDescent="0.25">
      <c r="A55" s="23" t="s">
        <v>73</v>
      </c>
      <c r="B55" s="5">
        <f>Qrr_Q2*1000000000</f>
        <v>73</v>
      </c>
      <c r="C55" s="427" t="s">
        <v>65</v>
      </c>
      <c r="D55" s="21" t="s">
        <v>110</v>
      </c>
      <c r="G55">
        <v>46</v>
      </c>
      <c r="H55" s="527">
        <f t="shared" si="48"/>
        <v>24</v>
      </c>
      <c r="I55" s="4">
        <f t="shared" si="49"/>
        <v>1</v>
      </c>
      <c r="J55" s="351">
        <f t="shared" si="82"/>
        <v>2.2999999999999998</v>
      </c>
      <c r="K55" s="351">
        <f t="shared" si="50"/>
        <v>2.2999999999999998</v>
      </c>
      <c r="L55" s="4">
        <f t="shared" si="51"/>
        <v>0.35138888888888881</v>
      </c>
      <c r="M55" s="351">
        <f t="shared" si="52"/>
        <v>0.14106376844441923</v>
      </c>
      <c r="N55" s="4">
        <f t="shared" si="53"/>
        <v>2.0028772062249098</v>
      </c>
      <c r="O55" s="4">
        <f t="shared" si="38"/>
        <v>3.3014386031124547</v>
      </c>
      <c r="P55" s="4">
        <f t="shared" si="39"/>
        <v>1.2985613968875449</v>
      </c>
      <c r="Q55" s="4">
        <f t="shared" si="54"/>
        <v>0</v>
      </c>
      <c r="R55" s="4">
        <f t="shared" si="40"/>
        <v>2.3715592111382349</v>
      </c>
      <c r="S55" s="351">
        <f t="shared" si="55"/>
        <v>0.1406073272983652</v>
      </c>
      <c r="T55" s="351">
        <f t="shared" si="56"/>
        <v>0.65</v>
      </c>
      <c r="U55" s="351">
        <f t="shared" si="57"/>
        <v>0.79960171611485298</v>
      </c>
      <c r="V55" s="4">
        <f t="shared" si="41"/>
        <v>0.57818084708385864</v>
      </c>
      <c r="W55" s="351">
        <f t="shared" si="10"/>
        <v>3.342930919346083E-4</v>
      </c>
      <c r="X55" s="351">
        <f t="shared" si="42"/>
        <v>3.342930919346083E-4</v>
      </c>
      <c r="Y55" s="4">
        <f t="shared" si="43"/>
        <v>0.82550968775048772</v>
      </c>
      <c r="Z55" s="351">
        <f t="shared" si="11"/>
        <v>6.8146624456990777E-4</v>
      </c>
      <c r="AA55" s="520">
        <f t="shared" si="44"/>
        <v>6.8146624456990777E-4</v>
      </c>
      <c r="AB55" s="351">
        <f t="shared" si="45"/>
        <v>0.89072104408968011</v>
      </c>
      <c r="AC55" s="351">
        <f t="shared" si="58"/>
        <v>9.1239157514184134E-3</v>
      </c>
      <c r="AD55" s="351">
        <f t="shared" si="59"/>
        <v>8.9930657142857126E-2</v>
      </c>
      <c r="AE55" s="351">
        <f t="shared" si="60"/>
        <v>0.53416704000000004</v>
      </c>
      <c r="AF55" s="351">
        <f t="shared" si="61"/>
        <v>0</v>
      </c>
      <c r="AG55" s="351">
        <f t="shared" si="62"/>
        <v>0.63419371634065469</v>
      </c>
      <c r="AH55" s="351">
        <f t="shared" si="63"/>
        <v>2.1979329183463259</v>
      </c>
      <c r="AI55" s="351">
        <f t="shared" si="64"/>
        <v>1.5942000074716311E-2</v>
      </c>
      <c r="AJ55" s="351">
        <f t="shared" si="65"/>
        <v>2.8335999999999997E-2</v>
      </c>
      <c r="AK55" s="351">
        <f t="shared" si="66"/>
        <v>4.4391229672597475E-2</v>
      </c>
      <c r="AL55" s="351">
        <f t="shared" si="67"/>
        <v>2.8335999999999997E-2</v>
      </c>
      <c r="AM55" s="351">
        <f t="shared" si="68"/>
        <v>0.3546048</v>
      </c>
      <c r="AN55" s="351">
        <f t="shared" si="69"/>
        <v>5.061863782741146E-2</v>
      </c>
      <c r="AO55" s="351">
        <f t="shared" si="70"/>
        <v>8.3999999999999993E-4</v>
      </c>
      <c r="AP55" s="351">
        <f>'Variable Management'!$B$346</f>
        <v>0.41183999999999998</v>
      </c>
      <c r="AQ55" s="351">
        <f t="shared" si="25"/>
        <v>0.36108727954971853</v>
      </c>
      <c r="AR55" s="351">
        <f t="shared" si="71"/>
        <v>0.35521199999999997</v>
      </c>
      <c r="AS55" s="351">
        <f t="shared" si="72"/>
        <v>0.41267999999999999</v>
      </c>
      <c r="AT55" s="351">
        <f t="shared" si="73"/>
        <v>2.3254418592920207</v>
      </c>
      <c r="AU55">
        <f t="shared" si="74"/>
        <v>7.589999999999999</v>
      </c>
      <c r="AV55" s="521">
        <f t="shared" si="46"/>
        <v>0.76547269478336066</v>
      </c>
      <c r="AW55" s="530">
        <f t="shared" si="75"/>
        <v>36.465781142307499</v>
      </c>
      <c r="AX55" s="530">
        <f t="shared" si="76"/>
        <v>6.4564325469038994</v>
      </c>
      <c r="AY55" s="9"/>
      <c r="AZ55" s="4">
        <f t="shared" si="47"/>
        <v>76.547269478336062</v>
      </c>
      <c r="BA55" s="351">
        <f t="shared" si="77"/>
        <v>0.79960171611485298</v>
      </c>
      <c r="BB55" s="351">
        <f t="shared" si="78"/>
        <v>1.0331897460132522</v>
      </c>
      <c r="BC55" s="351">
        <f t="shared" si="79"/>
        <v>0.86823288434065471</v>
      </c>
      <c r="BD55" s="351">
        <f t="shared" si="80"/>
        <v>0.16141081367259749</v>
      </c>
      <c r="BE55" s="351">
        <f t="shared" si="81"/>
        <v>5.061863782741146E-2</v>
      </c>
    </row>
    <row r="56" spans="1:64" x14ac:dyDescent="0.25">
      <c r="A56" s="23" t="s">
        <v>74</v>
      </c>
      <c r="B56" s="5">
        <f>Trr_Q2*1000000000</f>
        <v>40</v>
      </c>
      <c r="C56" s="427" t="s">
        <v>75</v>
      </c>
      <c r="D56" s="74" t="s">
        <v>106</v>
      </c>
      <c r="E56" s="2"/>
      <c r="G56">
        <v>47</v>
      </c>
      <c r="H56" s="527">
        <f t="shared" si="48"/>
        <v>24</v>
      </c>
      <c r="I56" s="4">
        <f t="shared" si="49"/>
        <v>1</v>
      </c>
      <c r="J56" s="351">
        <f t="shared" si="82"/>
        <v>2.35</v>
      </c>
      <c r="K56" s="351">
        <f t="shared" si="50"/>
        <v>2.35</v>
      </c>
      <c r="L56" s="4">
        <f t="shared" si="51"/>
        <v>0.35902777777777772</v>
      </c>
      <c r="M56" s="351">
        <f t="shared" si="52"/>
        <v>0.14114123560321107</v>
      </c>
      <c r="N56" s="4">
        <f t="shared" si="53"/>
        <v>2.0037997159108838</v>
      </c>
      <c r="O56" s="4">
        <f t="shared" si="38"/>
        <v>3.3518998579554422</v>
      </c>
      <c r="P56" s="4">
        <f t="shared" si="39"/>
        <v>1.3481001420445582</v>
      </c>
      <c r="Q56" s="4">
        <f t="shared" si="54"/>
        <v>0</v>
      </c>
      <c r="R56" s="4">
        <f t="shared" si="40"/>
        <v>2.4201448527840324</v>
      </c>
      <c r="S56" s="351">
        <f t="shared" si="55"/>
        <v>0.14642752771142614</v>
      </c>
      <c r="T56" s="351">
        <f t="shared" si="56"/>
        <v>0.65</v>
      </c>
      <c r="U56" s="351">
        <f t="shared" si="57"/>
        <v>0.80586762401925172</v>
      </c>
      <c r="V56" s="4">
        <f t="shared" si="41"/>
        <v>0.57844715269162228</v>
      </c>
      <c r="W56" s="351">
        <f t="shared" si="10"/>
        <v>3.3460110845704501E-4</v>
      </c>
      <c r="X56" s="351">
        <f t="shared" si="42"/>
        <v>3.3460110845704501E-4</v>
      </c>
      <c r="Y56" s="4">
        <f t="shared" si="43"/>
        <v>0.84261501548936402</v>
      </c>
      <c r="Z56" s="351">
        <f t="shared" si="11"/>
        <v>7.1000006432814114E-4</v>
      </c>
      <c r="AA56" s="520">
        <f t="shared" si="44"/>
        <v>7.1000006432814114E-4</v>
      </c>
      <c r="AB56" s="351">
        <f t="shared" si="45"/>
        <v>0.90921861370110801</v>
      </c>
      <c r="AC56" s="351">
        <f t="shared" si="58"/>
        <v>9.5068026062564946E-3</v>
      </c>
      <c r="AD56" s="351">
        <f t="shared" si="59"/>
        <v>9.1885671428571444E-2</v>
      </c>
      <c r="AE56" s="351">
        <f t="shared" si="60"/>
        <v>0.53416704000000004</v>
      </c>
      <c r="AF56" s="351">
        <f t="shared" si="61"/>
        <v>0</v>
      </c>
      <c r="AG56" s="351">
        <f t="shared" si="62"/>
        <v>0.63657621718084467</v>
      </c>
      <c r="AH56" s="351">
        <f t="shared" si="63"/>
        <v>2.2428603659069997</v>
      </c>
      <c r="AI56" s="351">
        <f t="shared" si="64"/>
        <v>1.6600394649156386E-2</v>
      </c>
      <c r="AJ56" s="351">
        <f t="shared" si="65"/>
        <v>2.8951999999999999E-2</v>
      </c>
      <c r="AK56" s="351">
        <f t="shared" si="66"/>
        <v>4.5673706898693697E-2</v>
      </c>
      <c r="AL56" s="351">
        <f t="shared" si="67"/>
        <v>2.8951999999999999E-2</v>
      </c>
      <c r="AM56" s="351">
        <f t="shared" si="68"/>
        <v>0.36231360000000007</v>
      </c>
      <c r="AN56" s="351">
        <f t="shared" si="69"/>
        <v>5.2713909976113402E-2</v>
      </c>
      <c r="AO56" s="351">
        <f t="shared" si="70"/>
        <v>8.3999999999999993E-4</v>
      </c>
      <c r="AP56" s="351">
        <f>'Variable Management'!$B$346</f>
        <v>0.41183999999999998</v>
      </c>
      <c r="AQ56" s="351">
        <f t="shared" si="25"/>
        <v>0.36108727954971853</v>
      </c>
      <c r="AR56" s="351">
        <f t="shared" si="71"/>
        <v>0.35521199999999997</v>
      </c>
      <c r="AS56" s="351">
        <f t="shared" si="72"/>
        <v>0.41267999999999999</v>
      </c>
      <c r="AT56" s="351">
        <f t="shared" si="73"/>
        <v>2.3458216592476888</v>
      </c>
      <c r="AU56">
        <f t="shared" si="74"/>
        <v>7.7549999999999999</v>
      </c>
      <c r="AV56" s="521">
        <f t="shared" si="46"/>
        <v>0.76775932311407558</v>
      </c>
      <c r="AW56" s="530">
        <f t="shared" si="75"/>
        <v>36.779534113595481</v>
      </c>
      <c r="AX56" s="530">
        <f t="shared" si="76"/>
        <v>6.6094877959477483</v>
      </c>
      <c r="AY56" s="9"/>
      <c r="AZ56" s="4">
        <f t="shared" si="47"/>
        <v>76.775932311407558</v>
      </c>
      <c r="BA56" s="351">
        <f t="shared" si="77"/>
        <v>0.80586762401925172</v>
      </c>
      <c r="BB56" s="351">
        <f t="shared" si="78"/>
        <v>1.0445635240795383</v>
      </c>
      <c r="BC56" s="351">
        <f t="shared" si="79"/>
        <v>0.87570319318084477</v>
      </c>
      <c r="BD56" s="351">
        <f t="shared" si="80"/>
        <v>0.16523719489869371</v>
      </c>
      <c r="BE56" s="351">
        <f t="shared" si="81"/>
        <v>5.2713909976113402E-2</v>
      </c>
      <c r="BK56" s="18"/>
      <c r="BL56" s="19"/>
    </row>
    <row r="57" spans="1:64" ht="15.6" x14ac:dyDescent="0.35">
      <c r="A57" s="433" t="s">
        <v>459</v>
      </c>
      <c r="B57" s="5">
        <f>ThetaJA_Q2</f>
        <v>40</v>
      </c>
      <c r="C57" s="428" t="s">
        <v>202</v>
      </c>
      <c r="D57" s="74" t="s">
        <v>103</v>
      </c>
      <c r="G57">
        <v>48</v>
      </c>
      <c r="H57" s="527">
        <f t="shared" si="48"/>
        <v>24</v>
      </c>
      <c r="I57" s="4">
        <f t="shared" si="49"/>
        <v>1</v>
      </c>
      <c r="J57" s="351">
        <f t="shared" si="82"/>
        <v>2.4</v>
      </c>
      <c r="K57" s="351">
        <f t="shared" si="50"/>
        <v>2.4</v>
      </c>
      <c r="L57" s="4">
        <f t="shared" si="51"/>
        <v>0.36666666666666659</v>
      </c>
      <c r="M57" s="351">
        <f t="shared" si="52"/>
        <v>0.1412187025037997</v>
      </c>
      <c r="N57" s="4">
        <f t="shared" si="53"/>
        <v>2.0047220271965021</v>
      </c>
      <c r="O57" s="4">
        <f t="shared" si="38"/>
        <v>3.4023610135982509</v>
      </c>
      <c r="P57" s="4">
        <f t="shared" si="39"/>
        <v>1.3976389864017489</v>
      </c>
      <c r="Q57" s="4">
        <f t="shared" si="54"/>
        <v>0</v>
      </c>
      <c r="R57" s="4">
        <f t="shared" si="40"/>
        <v>2.4687869897030885</v>
      </c>
      <c r="S57" s="351">
        <f t="shared" si="55"/>
        <v>0.15237273001318097</v>
      </c>
      <c r="T57" s="351">
        <f t="shared" si="56"/>
        <v>0.65</v>
      </c>
      <c r="U57" s="351">
        <f t="shared" si="57"/>
        <v>0.81227420506478154</v>
      </c>
      <c r="V57" s="4">
        <f t="shared" si="41"/>
        <v>0.57871340102613644</v>
      </c>
      <c r="W57" s="351">
        <f t="shared" si="10"/>
        <v>3.3490920052723781E-4</v>
      </c>
      <c r="X57" s="351">
        <f t="shared" si="42"/>
        <v>3.3490920052723781E-4</v>
      </c>
      <c r="Y57" s="4">
        <f t="shared" si="43"/>
        <v>0.85974768959295467</v>
      </c>
      <c r="Z57" s="351">
        <f t="shared" si="11"/>
        <v>7.3916608976042357E-4</v>
      </c>
      <c r="AA57" s="520">
        <f t="shared" si="44"/>
        <v>7.3916608976042357E-4</v>
      </c>
      <c r="AB57" s="351">
        <f t="shared" si="45"/>
        <v>0.92774736279707515</v>
      </c>
      <c r="AC57" s="351">
        <f t="shared" si="58"/>
        <v>9.8982244455346688E-3</v>
      </c>
      <c r="AD57" s="351">
        <f t="shared" si="59"/>
        <v>9.3840685714285707E-2</v>
      </c>
      <c r="AE57" s="351">
        <f t="shared" si="60"/>
        <v>0.53416704000000004</v>
      </c>
      <c r="AF57" s="351">
        <f t="shared" si="61"/>
        <v>0</v>
      </c>
      <c r="AG57" s="351">
        <f t="shared" si="62"/>
        <v>0.63896849195571681</v>
      </c>
      <c r="AH57" s="351">
        <f t="shared" si="63"/>
        <v>2.2878361023793445</v>
      </c>
      <c r="AI57" s="351">
        <f t="shared" si="64"/>
        <v>1.7272840303456025E-2</v>
      </c>
      <c r="AJ57" s="351">
        <f t="shared" si="65"/>
        <v>2.9567999999999997E-2</v>
      </c>
      <c r="AK57" s="351">
        <f t="shared" si="66"/>
        <v>4.6970650951910699E-2</v>
      </c>
      <c r="AL57" s="351">
        <f t="shared" si="67"/>
        <v>2.9567999999999997E-2</v>
      </c>
      <c r="AM57" s="351">
        <f t="shared" si="68"/>
        <v>0.37002239999999997</v>
      </c>
      <c r="AN57" s="351">
        <f t="shared" si="69"/>
        <v>5.4854182804745133E-2</v>
      </c>
      <c r="AO57" s="351">
        <f t="shared" si="70"/>
        <v>8.3999999999999993E-4</v>
      </c>
      <c r="AP57" s="351">
        <f>'Variable Management'!$B$346</f>
        <v>0.41183999999999998</v>
      </c>
      <c r="AQ57" s="351">
        <f t="shared" si="25"/>
        <v>0.36108727954971853</v>
      </c>
      <c r="AR57" s="351">
        <f t="shared" si="71"/>
        <v>0.35521199999999997</v>
      </c>
      <c r="AS57" s="351">
        <f t="shared" si="72"/>
        <v>0.41267999999999999</v>
      </c>
      <c r="AT57" s="351">
        <f t="shared" si="73"/>
        <v>2.3664120060674421</v>
      </c>
      <c r="AU57">
        <f t="shared" si="74"/>
        <v>7.919999999999999</v>
      </c>
      <c r="AV57" s="521">
        <f t="shared" si="46"/>
        <v>0.76994777142198723</v>
      </c>
      <c r="AW57" s="530">
        <f t="shared" si="75"/>
        <v>37.093697590140103</v>
      </c>
      <c r="AX57" s="530">
        <f t="shared" si="76"/>
        <v>6.7631217180764285</v>
      </c>
      <c r="AY57" s="9"/>
      <c r="AZ57" s="4">
        <f t="shared" si="47"/>
        <v>76.994777142198728</v>
      </c>
      <c r="BA57" s="351">
        <f t="shared" si="77"/>
        <v>0.81227420506478154</v>
      </c>
      <c r="BB57" s="351">
        <f t="shared" si="78"/>
        <v>1.0559615429076274</v>
      </c>
      <c r="BC57" s="351">
        <f t="shared" si="79"/>
        <v>0.88318327595571677</v>
      </c>
      <c r="BD57" s="351">
        <f t="shared" si="80"/>
        <v>0.1690780429519107</v>
      </c>
      <c r="BE57" s="351">
        <f t="shared" si="81"/>
        <v>5.4854182804745133E-2</v>
      </c>
      <c r="BK57" s="18"/>
      <c r="BL57" s="19"/>
    </row>
    <row r="58" spans="1:64" x14ac:dyDescent="0.25">
      <c r="A58" s="24" t="s">
        <v>220</v>
      </c>
      <c r="B58" s="15" t="s">
        <v>111</v>
      </c>
      <c r="C58" s="24" t="s">
        <v>76</v>
      </c>
      <c r="D58" s="24" t="s">
        <v>210</v>
      </c>
      <c r="G58">
        <v>49</v>
      </c>
      <c r="H58" s="527">
        <f t="shared" si="48"/>
        <v>24</v>
      </c>
      <c r="I58" s="4">
        <f t="shared" si="49"/>
        <v>1</v>
      </c>
      <c r="J58" s="351">
        <f t="shared" si="82"/>
        <v>2.4500000000000002</v>
      </c>
      <c r="K58" s="351">
        <f t="shared" si="50"/>
        <v>2.4500000000000002</v>
      </c>
      <c r="L58" s="4">
        <f t="shared" si="51"/>
        <v>0.37430555555555556</v>
      </c>
      <c r="M58" s="351">
        <f t="shared" si="52"/>
        <v>0.14129616914618637</v>
      </c>
      <c r="N58" s="4">
        <f t="shared" si="53"/>
        <v>2.0056441400827549</v>
      </c>
      <c r="O58" s="4">
        <f t="shared" si="38"/>
        <v>3.4528220700413774</v>
      </c>
      <c r="P58" s="4">
        <f t="shared" si="39"/>
        <v>1.4471779299586227</v>
      </c>
      <c r="Q58" s="4">
        <f t="shared" si="54"/>
        <v>0</v>
      </c>
      <c r="R58" s="4">
        <f t="shared" si="40"/>
        <v>2.5174823471186496</v>
      </c>
      <c r="S58" s="351">
        <f t="shared" si="55"/>
        <v>0.15844293420135064</v>
      </c>
      <c r="T58" s="351">
        <f t="shared" si="56"/>
        <v>0.65</v>
      </c>
      <c r="U58" s="351">
        <f t="shared" si="57"/>
        <v>0.8188218572129522</v>
      </c>
      <c r="V58" s="4">
        <f t="shared" si="41"/>
        <v>0.57897959208768701</v>
      </c>
      <c r="W58" s="351">
        <f t="shared" si="10"/>
        <v>3.352173680540245E-4</v>
      </c>
      <c r="X58" s="351">
        <f t="shared" si="42"/>
        <v>3.352173680540245E-4</v>
      </c>
      <c r="Y58" s="4">
        <f t="shared" si="43"/>
        <v>0.87690657773471037</v>
      </c>
      <c r="Z58" s="351">
        <f t="shared" si="11"/>
        <v>7.6896514607440163E-4</v>
      </c>
      <c r="AA58" s="520">
        <f t="shared" si="44"/>
        <v>7.6896514607440163E-4</v>
      </c>
      <c r="AB58" s="351">
        <f t="shared" si="45"/>
        <v>0.94630607376117193</v>
      </c>
      <c r="AC58" s="351">
        <f t="shared" si="58"/>
        <v>1.0298194630228772E-2</v>
      </c>
      <c r="AD58" s="351">
        <f t="shared" si="59"/>
        <v>9.5795700000000011E-2</v>
      </c>
      <c r="AE58" s="351">
        <f t="shared" si="60"/>
        <v>0.53416704000000004</v>
      </c>
      <c r="AF58" s="351">
        <f t="shared" si="61"/>
        <v>0</v>
      </c>
      <c r="AG58" s="351">
        <f t="shared" si="62"/>
        <v>0.64137056773157763</v>
      </c>
      <c r="AH58" s="351">
        <f t="shared" si="63"/>
        <v>2.3328570858106032</v>
      </c>
      <c r="AI58" s="351">
        <f t="shared" si="64"/>
        <v>1.7959333203295243E-2</v>
      </c>
      <c r="AJ58" s="351">
        <f t="shared" si="65"/>
        <v>3.0183999999999999E-2</v>
      </c>
      <c r="AK58" s="351">
        <f t="shared" si="66"/>
        <v>4.8282071412614348E-2</v>
      </c>
      <c r="AL58" s="351">
        <f t="shared" si="67"/>
        <v>3.0183999999999999E-2</v>
      </c>
      <c r="AM58" s="351">
        <f t="shared" si="68"/>
        <v>0.37773120000000004</v>
      </c>
      <c r="AN58" s="351">
        <f t="shared" si="69"/>
        <v>5.703945631248622E-2</v>
      </c>
      <c r="AO58" s="351">
        <f t="shared" si="70"/>
        <v>8.3999999999999993E-4</v>
      </c>
      <c r="AP58" s="351">
        <f>'Variable Management'!$B$346</f>
        <v>0.41183999999999998</v>
      </c>
      <c r="AQ58" s="351">
        <f t="shared" si="25"/>
        <v>0.36108727954971853</v>
      </c>
      <c r="AR58" s="351">
        <f t="shared" si="71"/>
        <v>0.35521199999999997</v>
      </c>
      <c r="AS58" s="351">
        <f t="shared" si="72"/>
        <v>0.41267999999999999</v>
      </c>
      <c r="AT58" s="351">
        <f t="shared" si="73"/>
        <v>2.3872133351837586</v>
      </c>
      <c r="AU58">
        <f t="shared" si="74"/>
        <v>8.0850000000000009</v>
      </c>
      <c r="AV58" s="521">
        <f t="shared" si="46"/>
        <v>0.77204309549697792</v>
      </c>
      <c r="AW58" s="530">
        <f t="shared" si="75"/>
        <v>37.408272708726265</v>
      </c>
      <c r="AX58" s="530">
        <f t="shared" si="76"/>
        <v>6.9173346965045743</v>
      </c>
      <c r="AY58" s="9"/>
      <c r="AZ58" s="4">
        <f t="shared" si="47"/>
        <v>77.204309549697797</v>
      </c>
      <c r="BA58" s="351">
        <f t="shared" si="77"/>
        <v>0.8188218572129522</v>
      </c>
      <c r="BB58" s="351">
        <f t="shared" si="78"/>
        <v>1.0673838391441919</v>
      </c>
      <c r="BC58" s="351">
        <f t="shared" si="79"/>
        <v>0.89067315973157768</v>
      </c>
      <c r="BD58" s="351">
        <f t="shared" si="80"/>
        <v>0.17293336741261436</v>
      </c>
      <c r="BE58" s="351">
        <f t="shared" si="81"/>
        <v>5.703945631248622E-2</v>
      </c>
      <c r="BK58" s="18"/>
      <c r="BL58" s="19"/>
    </row>
    <row r="59" spans="1:64" x14ac:dyDescent="0.25">
      <c r="A59" s="23" t="s">
        <v>192</v>
      </c>
      <c r="B59" s="71">
        <f>VfdSky_Q2</f>
        <v>0</v>
      </c>
      <c r="C59" s="427" t="s">
        <v>0</v>
      </c>
      <c r="D59" s="74" t="s">
        <v>195</v>
      </c>
      <c r="G59">
        <v>50</v>
      </c>
      <c r="H59" s="527">
        <f t="shared" si="48"/>
        <v>24</v>
      </c>
      <c r="I59" s="4">
        <f t="shared" si="49"/>
        <v>1</v>
      </c>
      <c r="J59" s="351">
        <f t="shared" si="82"/>
        <v>2.5</v>
      </c>
      <c r="K59" s="351">
        <f t="shared" si="50"/>
        <v>2.5</v>
      </c>
      <c r="L59" s="4">
        <f t="shared" si="51"/>
        <v>0.38194444444444442</v>
      </c>
      <c r="M59" s="351">
        <f t="shared" si="52"/>
        <v>0.14137363553037247</v>
      </c>
      <c r="N59" s="4">
        <f t="shared" si="53"/>
        <v>2.0065660545706363</v>
      </c>
      <c r="O59" s="4">
        <f t="shared" si="38"/>
        <v>3.5032830272853182</v>
      </c>
      <c r="P59" s="4">
        <f t="shared" si="39"/>
        <v>1.4967169727146818</v>
      </c>
      <c r="Q59" s="4">
        <f t="shared" si="54"/>
        <v>0</v>
      </c>
      <c r="R59" s="4">
        <f t="shared" si="40"/>
        <v>2.5662278953643738</v>
      </c>
      <c r="S59" s="351">
        <f t="shared" si="55"/>
        <v>0.16463814027365659</v>
      </c>
      <c r="T59" s="351">
        <f t="shared" si="56"/>
        <v>0.65</v>
      </c>
      <c r="U59" s="351">
        <f t="shared" si="57"/>
        <v>0.82551098777791465</v>
      </c>
      <c r="V59" s="4">
        <f t="shared" si="41"/>
        <v>0.57924572587656109</v>
      </c>
      <c r="W59" s="351">
        <f t="shared" si="10"/>
        <v>3.3552561094626416E-4</v>
      </c>
      <c r="X59" s="351">
        <f t="shared" si="42"/>
        <v>3.3552561094626416E-4</v>
      </c>
      <c r="Y59" s="4">
        <f t="shared" si="43"/>
        <v>0.89409063193402927</v>
      </c>
      <c r="Z59" s="351">
        <f t="shared" si="11"/>
        <v>7.9939805811219181E-4</v>
      </c>
      <c r="AA59" s="520">
        <f t="shared" si="44"/>
        <v>7.9939805811219181E-4</v>
      </c>
      <c r="AB59" s="351">
        <f t="shared" si="45"/>
        <v>0.9648936197829534</v>
      </c>
      <c r="AC59" s="351">
        <f t="shared" si="58"/>
        <v>1.0706726521225281E-2</v>
      </c>
      <c r="AD59" s="351">
        <f t="shared" si="59"/>
        <v>9.7750714285714288E-2</v>
      </c>
      <c r="AE59" s="351">
        <f t="shared" si="60"/>
        <v>0.53416704000000004</v>
      </c>
      <c r="AF59" s="351">
        <f t="shared" si="61"/>
        <v>0</v>
      </c>
      <c r="AG59" s="351">
        <f t="shared" si="62"/>
        <v>0.64378247168801128</v>
      </c>
      <c r="AH59" s="351">
        <f t="shared" si="63"/>
        <v>2.3779205019193581</v>
      </c>
      <c r="AI59" s="351">
        <f t="shared" si="64"/>
        <v>1.865986951437976E-2</v>
      </c>
      <c r="AJ59" s="351">
        <f t="shared" si="65"/>
        <v>3.0799999999999998E-2</v>
      </c>
      <c r="AK59" s="351">
        <f t="shared" si="66"/>
        <v>4.9607978057969189E-2</v>
      </c>
      <c r="AL59" s="351">
        <f t="shared" si="67"/>
        <v>3.0799999999999998E-2</v>
      </c>
      <c r="AM59" s="351">
        <f t="shared" si="68"/>
        <v>0.38544</v>
      </c>
      <c r="AN59" s="351">
        <f t="shared" si="69"/>
        <v>5.926973049851636E-2</v>
      </c>
      <c r="AO59" s="351">
        <f t="shared" si="70"/>
        <v>8.3999999999999993E-4</v>
      </c>
      <c r="AP59" s="351">
        <f>'Variable Management'!$B$346</f>
        <v>0.41183999999999998</v>
      </c>
      <c r="AQ59" s="351">
        <f t="shared" si="25"/>
        <v>0.36108727954971853</v>
      </c>
      <c r="AR59" s="351">
        <f t="shared" si="71"/>
        <v>0.35521199999999997</v>
      </c>
      <c r="AS59" s="351">
        <f t="shared" si="72"/>
        <v>0.41267999999999999</v>
      </c>
      <c r="AT59" s="351">
        <f t="shared" si="73"/>
        <v>2.40822609169147</v>
      </c>
      <c r="AU59">
        <f t="shared" si="74"/>
        <v>8.25</v>
      </c>
      <c r="AV59" s="521">
        <f t="shared" si="46"/>
        <v>0.77405000879379149</v>
      </c>
      <c r="AW59" s="530">
        <f t="shared" si="75"/>
        <v>37.723260610896475</v>
      </c>
      <c r="AX59" s="530">
        <f t="shared" si="76"/>
        <v>7.0721271223187676</v>
      </c>
      <c r="AY59" s="9"/>
      <c r="AZ59" s="4">
        <f t="shared" si="47"/>
        <v>77.405000879379145</v>
      </c>
      <c r="BA59" s="351">
        <f t="shared" si="77"/>
        <v>0.82551098777791465</v>
      </c>
      <c r="BB59" s="351">
        <f t="shared" si="78"/>
        <v>1.0788304497459804</v>
      </c>
      <c r="BC59" s="351">
        <f t="shared" si="79"/>
        <v>0.8981728716880113</v>
      </c>
      <c r="BD59" s="351">
        <f t="shared" si="80"/>
        <v>0.17680317805796919</v>
      </c>
      <c r="BE59" s="351">
        <f t="shared" si="81"/>
        <v>5.926973049851636E-2</v>
      </c>
      <c r="BK59" s="18"/>
      <c r="BL59" s="19"/>
    </row>
    <row r="60" spans="1:64" x14ac:dyDescent="0.25">
      <c r="A60" s="23" t="s">
        <v>193</v>
      </c>
      <c r="B60" s="71">
        <f>QrrSky_Q2*1000000000</f>
        <v>0</v>
      </c>
      <c r="C60" s="427" t="s">
        <v>65</v>
      </c>
      <c r="D60" s="74" t="s">
        <v>196</v>
      </c>
      <c r="E60" s="2"/>
      <c r="G60">
        <v>51</v>
      </c>
      <c r="H60" s="527">
        <f t="shared" si="48"/>
        <v>24</v>
      </c>
      <c r="I60" s="4">
        <f t="shared" si="49"/>
        <v>1</v>
      </c>
      <c r="J60" s="351">
        <f t="shared" si="82"/>
        <v>2.5499999999999998</v>
      </c>
      <c r="K60" s="351">
        <f t="shared" si="50"/>
        <v>2.5499999999999998</v>
      </c>
      <c r="L60" s="4">
        <f t="shared" si="51"/>
        <v>0.38958333333333328</v>
      </c>
      <c r="M60" s="351">
        <f t="shared" si="52"/>
        <v>0.14145110165635918</v>
      </c>
      <c r="N60" s="4">
        <f t="shared" si="53"/>
        <v>2.007487770661136</v>
      </c>
      <c r="O60" s="4">
        <f t="shared" si="38"/>
        <v>3.5537438853305678</v>
      </c>
      <c r="P60" s="4">
        <f t="shared" si="39"/>
        <v>1.5462561146694318</v>
      </c>
      <c r="Q60" s="4">
        <f t="shared" si="54"/>
        <v>0</v>
      </c>
      <c r="R60" s="4">
        <f t="shared" si="40"/>
        <v>2.6150208276632969</v>
      </c>
      <c r="S60" s="351">
        <f t="shared" si="55"/>
        <v>0.17095834822782086</v>
      </c>
      <c r="T60" s="351">
        <f t="shared" si="56"/>
        <v>0.65</v>
      </c>
      <c r="U60" s="351">
        <f t="shared" si="57"/>
        <v>0.83234201349078107</v>
      </c>
      <c r="V60" s="4">
        <f t="shared" si="41"/>
        <v>0.57951180239304434</v>
      </c>
      <c r="W60" s="351">
        <f t="shared" si="10"/>
        <v>3.3583392911283491E-4</v>
      </c>
      <c r="X60" s="351">
        <f t="shared" si="42"/>
        <v>3.3583392911283491E-4</v>
      </c>
      <c r="Y60" s="4">
        <f t="shared" si="43"/>
        <v>0.91129888091140754</v>
      </c>
      <c r="Z60" s="351">
        <f t="shared" si="11"/>
        <v>8.3046565035038375E-4</v>
      </c>
      <c r="AA60" s="520">
        <f t="shared" si="44"/>
        <v>8.3046565035038375E-4</v>
      </c>
      <c r="AB60" s="351">
        <f t="shared" si="45"/>
        <v>0.9835089566277827</v>
      </c>
      <c r="AC60" s="351">
        <f t="shared" si="58"/>
        <v>1.1123833479321301E-2</v>
      </c>
      <c r="AD60" s="351">
        <f t="shared" si="59"/>
        <v>9.9705728571428565E-2</v>
      </c>
      <c r="AE60" s="351">
        <f t="shared" si="60"/>
        <v>0.53416704000000004</v>
      </c>
      <c r="AF60" s="351">
        <f t="shared" si="61"/>
        <v>0</v>
      </c>
      <c r="AG60" s="351">
        <f t="shared" si="62"/>
        <v>0.64620423111852998</v>
      </c>
      <c r="AH60" s="351">
        <f t="shared" si="63"/>
        <v>2.4230237434548108</v>
      </c>
      <c r="AI60" s="351">
        <f t="shared" si="64"/>
        <v>1.9374445402441022E-2</v>
      </c>
      <c r="AJ60" s="351">
        <f t="shared" si="65"/>
        <v>3.1415999999999999E-2</v>
      </c>
      <c r="AK60" s="351">
        <f t="shared" si="66"/>
        <v>5.094838086217815E-2</v>
      </c>
      <c r="AL60" s="351">
        <f t="shared" si="67"/>
        <v>3.1415999999999999E-2</v>
      </c>
      <c r="AM60" s="351">
        <f t="shared" si="68"/>
        <v>0.39314880000000008</v>
      </c>
      <c r="AN60" s="351">
        <f t="shared" si="69"/>
        <v>6.1545005362015501E-2</v>
      </c>
      <c r="AO60" s="351">
        <f t="shared" si="70"/>
        <v>8.3999999999999993E-4</v>
      </c>
      <c r="AP60" s="351">
        <f>'Variable Management'!$B$346</f>
        <v>0.41183999999999998</v>
      </c>
      <c r="AQ60" s="351">
        <f t="shared" si="25"/>
        <v>0.36108727954971853</v>
      </c>
      <c r="AR60" s="351">
        <f t="shared" si="71"/>
        <v>0.35521199999999997</v>
      </c>
      <c r="AS60" s="351">
        <f t="shared" si="72"/>
        <v>0.41267999999999999</v>
      </c>
      <c r="AT60" s="351">
        <f t="shared" si="73"/>
        <v>2.429450730412968</v>
      </c>
      <c r="AU60">
        <f t="shared" si="74"/>
        <v>8.4149999999999991</v>
      </c>
      <c r="AV60" s="521">
        <f t="shared" si="46"/>
        <v>0.77597291086402009</v>
      </c>
      <c r="AW60" s="530">
        <f t="shared" si="75"/>
        <v>38.038662442978264</v>
      </c>
      <c r="AX60" s="530">
        <f t="shared" si="76"/>
        <v>7.2274993944871273</v>
      </c>
      <c r="AY60" s="9"/>
      <c r="AZ60" s="4">
        <f t="shared" si="47"/>
        <v>77.597291086402009</v>
      </c>
      <c r="BA60" s="351">
        <f t="shared" si="77"/>
        <v>0.83234201349078107</v>
      </c>
      <c r="BB60" s="351">
        <f t="shared" si="78"/>
        <v>1.0903014119807082</v>
      </c>
      <c r="BC60" s="351">
        <f t="shared" si="79"/>
        <v>0.90568243911853008</v>
      </c>
      <c r="BD60" s="351">
        <f t="shared" si="80"/>
        <v>0.18068748486217817</v>
      </c>
      <c r="BE60" s="351">
        <f t="shared" si="81"/>
        <v>6.1545005362015501E-2</v>
      </c>
      <c r="BK60" s="18"/>
      <c r="BL60" s="19"/>
    </row>
    <row r="61" spans="1:64" x14ac:dyDescent="0.25">
      <c r="A61" s="23" t="s">
        <v>194</v>
      </c>
      <c r="B61" s="71">
        <f>Ireverse</f>
        <v>0</v>
      </c>
      <c r="C61" s="427" t="s">
        <v>64</v>
      </c>
      <c r="D61" s="74" t="s">
        <v>197</v>
      </c>
      <c r="G61">
        <v>52</v>
      </c>
      <c r="H61" s="527">
        <f t="shared" si="48"/>
        <v>24</v>
      </c>
      <c r="I61" s="4">
        <f t="shared" si="49"/>
        <v>1</v>
      </c>
      <c r="J61" s="351">
        <f t="shared" si="82"/>
        <v>2.6</v>
      </c>
      <c r="K61" s="351">
        <f t="shared" si="50"/>
        <v>2.6</v>
      </c>
      <c r="L61" s="4">
        <f t="shared" si="51"/>
        <v>0.3972222222222222</v>
      </c>
      <c r="M61" s="351">
        <f t="shared" si="52"/>
        <v>0.14152856752414789</v>
      </c>
      <c r="N61" s="4">
        <f t="shared" si="53"/>
        <v>2.0084092883552476</v>
      </c>
      <c r="O61" s="4">
        <f t="shared" si="38"/>
        <v>3.6042046441776239</v>
      </c>
      <c r="P61" s="4">
        <f t="shared" si="39"/>
        <v>1.5957953558223763</v>
      </c>
      <c r="Q61" s="4">
        <f t="shared" si="54"/>
        <v>0</v>
      </c>
      <c r="R61" s="4">
        <f t="shared" si="40"/>
        <v>2.6638585402499579</v>
      </c>
      <c r="S61" s="351">
        <f t="shared" si="55"/>
        <v>0.17740355806156594</v>
      </c>
      <c r="T61" s="351">
        <f t="shared" si="56"/>
        <v>0.65</v>
      </c>
      <c r="U61" s="351">
        <f t="shared" si="57"/>
        <v>0.83931536056557066</v>
      </c>
      <c r="V61" s="4">
        <f t="shared" si="41"/>
        <v>0.57977782163742353</v>
      </c>
      <c r="W61" s="351">
        <f t="shared" si="10"/>
        <v>3.3614232246263612E-4</v>
      </c>
      <c r="X61" s="351">
        <f t="shared" si="42"/>
        <v>3.3614232246263612E-4</v>
      </c>
      <c r="Y61" s="4">
        <f t="shared" si="43"/>
        <v>0.92853042324958235</v>
      </c>
      <c r="Z61" s="351">
        <f t="shared" si="11"/>
        <v>8.621687469000485E-4</v>
      </c>
      <c r="AA61" s="520">
        <f t="shared" si="44"/>
        <v>8.621687469000485E-4</v>
      </c>
      <c r="AB61" s="351">
        <f t="shared" si="45"/>
        <v>1.0021511152743465</v>
      </c>
      <c r="AC61" s="351">
        <f t="shared" si="58"/>
        <v>1.1549528865224592E-2</v>
      </c>
      <c r="AD61" s="351">
        <f t="shared" si="59"/>
        <v>0.10166074285714287</v>
      </c>
      <c r="AE61" s="351">
        <f t="shared" si="60"/>
        <v>0.53416704000000004</v>
      </c>
      <c r="AF61" s="351">
        <f t="shared" si="61"/>
        <v>0</v>
      </c>
      <c r="AG61" s="351">
        <f t="shared" si="62"/>
        <v>0.64863587343122753</v>
      </c>
      <c r="AH61" s="351">
        <f t="shared" si="63"/>
        <v>2.4681643917326537</v>
      </c>
      <c r="AI61" s="351">
        <f t="shared" si="64"/>
        <v>2.0103057033236168E-2</v>
      </c>
      <c r="AJ61" s="351">
        <f t="shared" si="65"/>
        <v>3.2031999999999998E-2</v>
      </c>
      <c r="AK61" s="351">
        <f t="shared" si="66"/>
        <v>5.2303289996728987E-2</v>
      </c>
      <c r="AL61" s="351">
        <f t="shared" si="67"/>
        <v>3.2031999999999998E-2</v>
      </c>
      <c r="AM61" s="351">
        <f t="shared" si="68"/>
        <v>0.40085760000000004</v>
      </c>
      <c r="AN61" s="351">
        <f t="shared" si="69"/>
        <v>6.3865280902163729E-2</v>
      </c>
      <c r="AO61" s="351">
        <f t="shared" si="70"/>
        <v>8.3999999999999993E-4</v>
      </c>
      <c r="AP61" s="351">
        <f>'Variable Management'!$B$346</f>
        <v>0.41183999999999998</v>
      </c>
      <c r="AQ61" s="351">
        <f t="shared" si="25"/>
        <v>0.36108727954971853</v>
      </c>
      <c r="AR61" s="351">
        <f t="shared" si="71"/>
        <v>0.35521199999999997</v>
      </c>
      <c r="AS61" s="351">
        <f t="shared" si="72"/>
        <v>0.41267999999999999</v>
      </c>
      <c r="AT61" s="351">
        <f t="shared" si="73"/>
        <v>2.4508877159650537</v>
      </c>
      <c r="AU61">
        <f t="shared" si="74"/>
        <v>8.58</v>
      </c>
      <c r="AV61" s="521">
        <f t="shared" si="46"/>
        <v>0.77781591300055819</v>
      </c>
      <c r="AW61" s="530">
        <f t="shared" si="75"/>
        <v>38.354479356111554</v>
      </c>
      <c r="AX61" s="530">
        <f t="shared" si="76"/>
        <v>7.3834519198691595</v>
      </c>
      <c r="AY61" s="9"/>
      <c r="AZ61" s="4">
        <f t="shared" si="47"/>
        <v>77.781591300055823</v>
      </c>
      <c r="BA61" s="351">
        <f t="shared" si="77"/>
        <v>0.83931536056557066</v>
      </c>
      <c r="BB61" s="351">
        <f t="shared" si="78"/>
        <v>1.1017967634279566</v>
      </c>
      <c r="BC61" s="351">
        <f t="shared" si="79"/>
        <v>0.91320188943122749</v>
      </c>
      <c r="BD61" s="351">
        <f t="shared" si="80"/>
        <v>0.18458629799672899</v>
      </c>
      <c r="BE61" s="351">
        <f t="shared" si="81"/>
        <v>6.3865280902163729E-2</v>
      </c>
      <c r="BK61" s="18"/>
      <c r="BL61" s="19"/>
    </row>
    <row r="62" spans="1:64" x14ac:dyDescent="0.25">
      <c r="A62" s="24" t="s">
        <v>117</v>
      </c>
      <c r="B62" s="15" t="s">
        <v>111</v>
      </c>
      <c r="C62" s="24" t="s">
        <v>76</v>
      </c>
      <c r="D62" s="24" t="s">
        <v>210</v>
      </c>
      <c r="G62">
        <v>53</v>
      </c>
      <c r="H62" s="527">
        <f t="shared" si="48"/>
        <v>24</v>
      </c>
      <c r="I62" s="4">
        <f t="shared" si="49"/>
        <v>1</v>
      </c>
      <c r="J62" s="351">
        <f t="shared" si="82"/>
        <v>2.65</v>
      </c>
      <c r="K62" s="351">
        <f t="shared" si="50"/>
        <v>2.65</v>
      </c>
      <c r="L62" s="4">
        <f t="shared" si="51"/>
        <v>0.40486111111111106</v>
      </c>
      <c r="M62" s="351">
        <f t="shared" si="52"/>
        <v>0.14160603313373982</v>
      </c>
      <c r="N62" s="4">
        <f t="shared" si="53"/>
        <v>2.0093306076539621</v>
      </c>
      <c r="O62" s="4">
        <f t="shared" si="38"/>
        <v>3.654665303826981</v>
      </c>
      <c r="P62" s="4">
        <f t="shared" si="39"/>
        <v>1.6453346961730189</v>
      </c>
      <c r="Q62" s="4">
        <f t="shared" si="54"/>
        <v>0</v>
      </c>
      <c r="R62" s="4">
        <f t="shared" si="40"/>
        <v>2.7127386145562542</v>
      </c>
      <c r="S62" s="351">
        <f t="shared" si="55"/>
        <v>0.18397376977261465</v>
      </c>
      <c r="T62" s="351">
        <f t="shared" si="56"/>
        <v>0.65</v>
      </c>
      <c r="U62" s="351">
        <f t="shared" si="57"/>
        <v>0.84643146476679898</v>
      </c>
      <c r="V62" s="4">
        <f t="shared" si="41"/>
        <v>0.58004378360998465</v>
      </c>
      <c r="W62" s="351">
        <f t="shared" si="10"/>
        <v>3.3645079090458669E-4</v>
      </c>
      <c r="X62" s="351">
        <f t="shared" si="42"/>
        <v>3.3645079090458669E-4</v>
      </c>
      <c r="Y62" s="4">
        <f t="shared" si="43"/>
        <v>0.94578442126456264</v>
      </c>
      <c r="Z62" s="351">
        <f t="shared" si="11"/>
        <v>8.9450817150674372E-4</v>
      </c>
      <c r="AA62" s="520">
        <f t="shared" si="44"/>
        <v>8.9450817150674372E-4</v>
      </c>
      <c r="AB62" s="351">
        <f t="shared" si="45"/>
        <v>1.0208191953163868</v>
      </c>
      <c r="AC62" s="351">
        <f t="shared" si="58"/>
        <v>1.1983826039553546E-2</v>
      </c>
      <c r="AD62" s="351">
        <f t="shared" si="59"/>
        <v>0.10361575714285713</v>
      </c>
      <c r="AE62" s="351">
        <f t="shared" si="60"/>
        <v>0.53416704000000004</v>
      </c>
      <c r="AF62" s="351">
        <f t="shared" si="61"/>
        <v>0</v>
      </c>
      <c r="AG62" s="351">
        <f t="shared" si="62"/>
        <v>0.65107742614943742</v>
      </c>
      <c r="AH62" s="351">
        <f t="shared" si="63"/>
        <v>2.5133402000879608</v>
      </c>
      <c r="AI62" s="351">
        <f t="shared" si="64"/>
        <v>2.0845700572548028E-2</v>
      </c>
      <c r="AJ62" s="351">
        <f t="shared" si="65"/>
        <v>3.2647999999999996E-2</v>
      </c>
      <c r="AK62" s="351">
        <f t="shared" si="66"/>
        <v>5.3672715830647408E-2</v>
      </c>
      <c r="AL62" s="351">
        <f t="shared" si="67"/>
        <v>3.2647999999999996E-2</v>
      </c>
      <c r="AM62" s="351">
        <f t="shared" si="68"/>
        <v>0.4085664</v>
      </c>
      <c r="AN62" s="351">
        <f t="shared" si="69"/>
        <v>6.623055711814127E-2</v>
      </c>
      <c r="AO62" s="351">
        <f t="shared" si="70"/>
        <v>8.3999999999999993E-4</v>
      </c>
      <c r="AP62" s="351">
        <f>'Variable Management'!$B$346</f>
        <v>0.41183999999999998</v>
      </c>
      <c r="AQ62" s="351">
        <f t="shared" si="25"/>
        <v>0.36108727954971853</v>
      </c>
      <c r="AR62" s="351">
        <f t="shared" si="71"/>
        <v>0.35521199999999997</v>
      </c>
      <c r="AS62" s="351">
        <f t="shared" si="72"/>
        <v>0.41267999999999999</v>
      </c>
      <c r="AT62" s="351">
        <f t="shared" si="73"/>
        <v>2.4725375228274364</v>
      </c>
      <c r="AU62">
        <f t="shared" si="74"/>
        <v>8.7449999999999992</v>
      </c>
      <c r="AV62" s="521">
        <f t="shared" si="46"/>
        <v>0.77958286140822997</v>
      </c>
      <c r="AW62" s="530">
        <f t="shared" si="75"/>
        <v>38.670712506276367</v>
      </c>
      <c r="AX62" s="530">
        <f t="shared" si="76"/>
        <v>7.5399851132258959</v>
      </c>
      <c r="AY62" s="9"/>
      <c r="AZ62" s="4">
        <f t="shared" si="47"/>
        <v>77.958286140822992</v>
      </c>
      <c r="BA62" s="351">
        <f t="shared" si="77"/>
        <v>0.84643146476679898</v>
      </c>
      <c r="BB62" s="351">
        <f t="shared" si="78"/>
        <v>1.1133165419800848</v>
      </c>
      <c r="BC62" s="351">
        <f t="shared" si="79"/>
        <v>0.92073125014943735</v>
      </c>
      <c r="BD62" s="351">
        <f t="shared" si="80"/>
        <v>0.18849962783064739</v>
      </c>
      <c r="BE62" s="351">
        <f t="shared" si="81"/>
        <v>6.623055711814127E-2</v>
      </c>
      <c r="BK62" s="18"/>
      <c r="BL62" s="19"/>
    </row>
    <row r="63" spans="1:64" ht="15.6" x14ac:dyDescent="0.35">
      <c r="A63" s="433" t="s">
        <v>458</v>
      </c>
      <c r="B63" s="72">
        <v>30</v>
      </c>
      <c r="C63" s="428" t="s">
        <v>202</v>
      </c>
      <c r="D63" s="74" t="s">
        <v>103</v>
      </c>
      <c r="G63">
        <v>54</v>
      </c>
      <c r="H63" s="527">
        <f t="shared" si="48"/>
        <v>24</v>
      </c>
      <c r="I63" s="4">
        <f t="shared" si="49"/>
        <v>1</v>
      </c>
      <c r="J63" s="351">
        <f t="shared" si="82"/>
        <v>2.7</v>
      </c>
      <c r="K63" s="351">
        <f t="shared" si="50"/>
        <v>2.7</v>
      </c>
      <c r="L63" s="4">
        <f t="shared" si="51"/>
        <v>0.41249999999999998</v>
      </c>
      <c r="M63" s="351">
        <f t="shared" si="52"/>
        <v>0.14168349848513631</v>
      </c>
      <c r="N63" s="4">
        <f t="shared" si="53"/>
        <v>2.0102517285582726</v>
      </c>
      <c r="O63" s="4">
        <f t="shared" si="38"/>
        <v>3.7051258642791365</v>
      </c>
      <c r="P63" s="4">
        <f t="shared" si="39"/>
        <v>1.6948741357208639</v>
      </c>
      <c r="Q63" s="4">
        <f t="shared" si="54"/>
        <v>0</v>
      </c>
      <c r="R63" s="4">
        <f t="shared" si="40"/>
        <v>2.7616588012185046</v>
      </c>
      <c r="S63" s="351">
        <f t="shared" si="55"/>
        <v>0.1906689833586907</v>
      </c>
      <c r="T63" s="351">
        <f t="shared" si="56"/>
        <v>0.65</v>
      </c>
      <c r="U63" s="351">
        <f t="shared" si="57"/>
        <v>0.8536907714787344</v>
      </c>
      <c r="V63" s="4">
        <f t="shared" si="41"/>
        <v>0.58030968831101459</v>
      </c>
      <c r="W63" s="351">
        <f t="shared" si="10"/>
        <v>3.367593343476269E-4</v>
      </c>
      <c r="X63" s="351">
        <f t="shared" si="42"/>
        <v>3.367593343476269E-4</v>
      </c>
      <c r="Y63" s="4">
        <f t="shared" si="43"/>
        <v>0.96306009550314198</v>
      </c>
      <c r="Z63" s="351">
        <f t="shared" si="11"/>
        <v>9.2748474755052096E-4</v>
      </c>
      <c r="AA63" s="520">
        <f t="shared" si="44"/>
        <v>9.2748474755052096E-4</v>
      </c>
      <c r="AB63" s="351">
        <f t="shared" si="45"/>
        <v>1.0395123590388626</v>
      </c>
      <c r="AC63" s="351">
        <f t="shared" si="58"/>
        <v>1.2426738362837223E-2</v>
      </c>
      <c r="AD63" s="351">
        <f t="shared" si="59"/>
        <v>0.10557077142857144</v>
      </c>
      <c r="AE63" s="351">
        <f t="shared" si="60"/>
        <v>0.53416704000000004</v>
      </c>
      <c r="AF63" s="351">
        <f t="shared" si="61"/>
        <v>0</v>
      </c>
      <c r="AG63" s="351">
        <f t="shared" si="62"/>
        <v>0.65352891691239579</v>
      </c>
      <c r="AH63" s="351">
        <f t="shared" si="63"/>
        <v>2.5585490790198042</v>
      </c>
      <c r="AI63" s="351">
        <f t="shared" si="64"/>
        <v>2.160237218618519E-2</v>
      </c>
      <c r="AJ63" s="351">
        <f t="shared" si="65"/>
        <v>3.3264000000000002E-2</v>
      </c>
      <c r="AK63" s="351">
        <f t="shared" si="66"/>
        <v>5.5056668930756995E-2</v>
      </c>
      <c r="AL63" s="351">
        <f t="shared" si="67"/>
        <v>3.3264000000000002E-2</v>
      </c>
      <c r="AM63" s="351">
        <f t="shared" si="68"/>
        <v>0.41627520000000001</v>
      </c>
      <c r="AN63" s="351">
        <f t="shared" si="69"/>
        <v>6.864083400912864E-2</v>
      </c>
      <c r="AO63" s="351">
        <f t="shared" si="70"/>
        <v>8.3999999999999993E-4</v>
      </c>
      <c r="AP63" s="351">
        <f>'Variable Management'!$B$346</f>
        <v>0.41183999999999998</v>
      </c>
      <c r="AQ63" s="351">
        <f t="shared" si="25"/>
        <v>0.36108727954971853</v>
      </c>
      <c r="AR63" s="351">
        <f t="shared" si="71"/>
        <v>0.35521199999999997</v>
      </c>
      <c r="AS63" s="351">
        <f t="shared" si="72"/>
        <v>0.41267999999999999</v>
      </c>
      <c r="AT63" s="351">
        <f t="shared" si="73"/>
        <v>2.494400635412914</v>
      </c>
      <c r="AU63">
        <f t="shared" si="74"/>
        <v>8.91</v>
      </c>
      <c r="AV63" s="521">
        <f t="shared" si="46"/>
        <v>0.78127735817458854</v>
      </c>
      <c r="AW63" s="530">
        <f t="shared" si="75"/>
        <v>38.987363054320625</v>
      </c>
      <c r="AX63" s="530">
        <f t="shared" si="76"/>
        <v>7.6970993972302804</v>
      </c>
      <c r="AY63" s="9"/>
      <c r="AZ63" s="4">
        <f t="shared" si="47"/>
        <v>78.127735817458856</v>
      </c>
      <c r="BA63" s="351">
        <f t="shared" si="77"/>
        <v>0.8536907714787344</v>
      </c>
      <c r="BB63" s="351">
        <f t="shared" si="78"/>
        <v>1.1248607858431527</v>
      </c>
      <c r="BC63" s="351">
        <f t="shared" si="79"/>
        <v>0.9282705489123958</v>
      </c>
      <c r="BD63" s="351">
        <f t="shared" si="80"/>
        <v>0.19242748493075701</v>
      </c>
      <c r="BE63" s="351">
        <f t="shared" si="81"/>
        <v>6.864083400912864E-2</v>
      </c>
      <c r="BK63" s="18"/>
      <c r="BL63" s="19"/>
    </row>
    <row r="64" spans="1:64" x14ac:dyDescent="0.25">
      <c r="A64" s="23" t="s">
        <v>118</v>
      </c>
      <c r="B64" s="72">
        <v>2</v>
      </c>
      <c r="C64" s="428" t="s">
        <v>202</v>
      </c>
      <c r="D64" s="21" t="s">
        <v>103</v>
      </c>
      <c r="G64">
        <v>55</v>
      </c>
      <c r="H64" s="527">
        <f t="shared" si="48"/>
        <v>24</v>
      </c>
      <c r="I64" s="4">
        <f t="shared" si="49"/>
        <v>1</v>
      </c>
      <c r="J64" s="351">
        <f t="shared" si="82"/>
        <v>2.75</v>
      </c>
      <c r="K64" s="351">
        <f t="shared" si="50"/>
        <v>2.75</v>
      </c>
      <c r="L64" s="4">
        <f t="shared" si="51"/>
        <v>0.42013888888888884</v>
      </c>
      <c r="M64" s="351">
        <f t="shared" si="52"/>
        <v>0.14176096357833864</v>
      </c>
      <c r="N64" s="4">
        <f t="shared" si="53"/>
        <v>2.0111726510691694</v>
      </c>
      <c r="O64" s="4">
        <f t="shared" si="38"/>
        <v>3.7555863255345847</v>
      </c>
      <c r="P64" s="4">
        <f t="shared" si="39"/>
        <v>1.7444136744654153</v>
      </c>
      <c r="Q64" s="4">
        <f t="shared" si="54"/>
        <v>0</v>
      </c>
      <c r="R64" s="4">
        <f t="shared" si="40"/>
        <v>2.8106170056947843</v>
      </c>
      <c r="S64" s="351">
        <f t="shared" si="55"/>
        <v>0.19748919881751789</v>
      </c>
      <c r="T64" s="351">
        <f t="shared" si="56"/>
        <v>0.65</v>
      </c>
      <c r="U64" s="351">
        <f t="shared" si="57"/>
        <v>0.86109373577633808</v>
      </c>
      <c r="V64" s="4">
        <f t="shared" si="41"/>
        <v>0.58057553574079912</v>
      </c>
      <c r="W64" s="351">
        <f t="shared" si="10"/>
        <v>3.3706795270071593E-4</v>
      </c>
      <c r="X64" s="351">
        <f t="shared" si="42"/>
        <v>3.3706795270071593E-4</v>
      </c>
      <c r="Y64" s="4">
        <f t="shared" si="43"/>
        <v>0.98035671979434535</v>
      </c>
      <c r="Z64" s="351">
        <f t="shared" si="11"/>
        <v>9.6109929804592852E-4</v>
      </c>
      <c r="AA64" s="520">
        <f t="shared" si="44"/>
        <v>9.6109929804592852E-4</v>
      </c>
      <c r="AB64" s="351">
        <f t="shared" si="45"/>
        <v>1.0582298260904468</v>
      </c>
      <c r="AC64" s="351">
        <f t="shared" si="58"/>
        <v>1.2878279195515298E-2</v>
      </c>
      <c r="AD64" s="351">
        <f t="shared" si="59"/>
        <v>0.10752578571428571</v>
      </c>
      <c r="AE64" s="351">
        <f t="shared" si="60"/>
        <v>0.53416704000000004</v>
      </c>
      <c r="AF64" s="351">
        <f t="shared" si="61"/>
        <v>0</v>
      </c>
      <c r="AG64" s="351">
        <f t="shared" si="62"/>
        <v>0.6559903734759055</v>
      </c>
      <c r="AH64" s="351">
        <f t="shared" si="63"/>
        <v>2.6037890828316526</v>
      </c>
      <c r="AI64" s="351">
        <f t="shared" si="64"/>
        <v>2.2373068039981885E-2</v>
      </c>
      <c r="AJ64" s="351">
        <f t="shared" si="65"/>
        <v>3.388E-2</v>
      </c>
      <c r="AK64" s="351">
        <f t="shared" si="66"/>
        <v>5.6455160061945717E-2</v>
      </c>
      <c r="AL64" s="351">
        <f t="shared" si="67"/>
        <v>3.388E-2</v>
      </c>
      <c r="AM64" s="351">
        <f t="shared" si="68"/>
        <v>0.42398400000000003</v>
      </c>
      <c r="AN64" s="351">
        <f t="shared" si="69"/>
        <v>7.1096111574306425E-2</v>
      </c>
      <c r="AO64" s="351">
        <f t="shared" si="70"/>
        <v>8.3999999999999993E-4</v>
      </c>
      <c r="AP64" s="351">
        <f>'Variable Management'!$B$346</f>
        <v>0.41183999999999998</v>
      </c>
      <c r="AQ64" s="351">
        <f t="shared" si="25"/>
        <v>0.36108727954971853</v>
      </c>
      <c r="AR64" s="351">
        <f t="shared" si="71"/>
        <v>0.35521199999999997</v>
      </c>
      <c r="AS64" s="351">
        <f t="shared" si="72"/>
        <v>0.41267999999999999</v>
      </c>
      <c r="AT64" s="351">
        <f t="shared" si="73"/>
        <v>2.5164775481392421</v>
      </c>
      <c r="AU64">
        <f t="shared" si="74"/>
        <v>9.0749999999999993</v>
      </c>
      <c r="AV64" s="521">
        <f t="shared" si="46"/>
        <v>0.78290278028074101</v>
      </c>
      <c r="AW64" s="530">
        <f t="shared" si="75"/>
        <v>39.304432165988032</v>
      </c>
      <c r="AX64" s="530">
        <f t="shared" si="76"/>
        <v>7.8547952024778294</v>
      </c>
      <c r="AY64" s="9"/>
      <c r="AZ64" s="4">
        <f t="shared" si="47"/>
        <v>78.290278028074098</v>
      </c>
      <c r="BA64" s="351">
        <f t="shared" si="77"/>
        <v>0.86109373577633808</v>
      </c>
      <c r="BB64" s="351">
        <f t="shared" si="78"/>
        <v>1.1364295335378514</v>
      </c>
      <c r="BC64" s="351">
        <f t="shared" si="79"/>
        <v>0.93581981347590548</v>
      </c>
      <c r="BD64" s="351">
        <f t="shared" si="80"/>
        <v>0.19636988006194572</v>
      </c>
      <c r="BE64" s="351">
        <f t="shared" si="81"/>
        <v>7.1096111574306425E-2</v>
      </c>
      <c r="BK64" s="18"/>
      <c r="BL64" s="19"/>
    </row>
    <row r="65" spans="1:64" x14ac:dyDescent="0.25">
      <c r="A65" s="73"/>
      <c r="B65" s="30"/>
      <c r="G65">
        <v>56</v>
      </c>
      <c r="H65" s="527">
        <f t="shared" si="48"/>
        <v>24</v>
      </c>
      <c r="I65" s="4">
        <f t="shared" si="49"/>
        <v>1</v>
      </c>
      <c r="J65" s="351">
        <f t="shared" si="82"/>
        <v>2.8</v>
      </c>
      <c r="K65" s="351">
        <f t="shared" si="50"/>
        <v>2.8</v>
      </c>
      <c r="L65" s="4">
        <f t="shared" si="51"/>
        <v>0.4277777777777777</v>
      </c>
      <c r="M65" s="351">
        <f t="shared" si="52"/>
        <v>0.14183842841334807</v>
      </c>
      <c r="N65" s="4">
        <f t="shared" si="53"/>
        <v>2.0120933751876451</v>
      </c>
      <c r="O65" s="4">
        <f t="shared" si="38"/>
        <v>3.8060466875938221</v>
      </c>
      <c r="P65" s="4">
        <f t="shared" si="39"/>
        <v>1.7939533124061773</v>
      </c>
      <c r="Q65" s="4">
        <f t="shared" si="54"/>
        <v>0</v>
      </c>
      <c r="R65" s="4">
        <f t="shared" si="40"/>
        <v>2.8596112753087319</v>
      </c>
      <c r="S65" s="351">
        <f t="shared" si="55"/>
        <v>0.20443441614682079</v>
      </c>
      <c r="T65" s="351">
        <f t="shared" si="56"/>
        <v>0.65</v>
      </c>
      <c r="U65" s="351">
        <f t="shared" si="57"/>
        <v>0.86864082249791319</v>
      </c>
      <c r="V65" s="4">
        <f t="shared" si="41"/>
        <v>0.58084132589962478</v>
      </c>
      <c r="W65" s="351">
        <f t="shared" si="10"/>
        <v>3.3737664587283413E-4</v>
      </c>
      <c r="X65" s="351">
        <f t="shared" si="42"/>
        <v>3.3737664587283413E-4</v>
      </c>
      <c r="Y65" s="4">
        <f t="shared" si="43"/>
        <v>0.99767361679159439</v>
      </c>
      <c r="Z65" s="351">
        <f t="shared" si="11"/>
        <v>9.953526456420211E-4</v>
      </c>
      <c r="AA65" s="520">
        <f t="shared" si="44"/>
        <v>9.953526456420211E-4</v>
      </c>
      <c r="AB65" s="351">
        <f t="shared" si="45"/>
        <v>1.0769708686843011</v>
      </c>
      <c r="AC65" s="351">
        <f t="shared" si="58"/>
        <v>1.3338461897938109E-2</v>
      </c>
      <c r="AD65" s="351">
        <f t="shared" si="59"/>
        <v>0.10948079999999999</v>
      </c>
      <c r="AE65" s="351">
        <f t="shared" si="60"/>
        <v>0.53416704000000004</v>
      </c>
      <c r="AF65" s="351">
        <f t="shared" si="61"/>
        <v>0</v>
      </c>
      <c r="AG65" s="351">
        <f t="shared" si="62"/>
        <v>0.65846182371300777</v>
      </c>
      <c r="AH65" s="351">
        <f t="shared" si="63"/>
        <v>2.6490583975968165</v>
      </c>
      <c r="AI65" s="351">
        <f t="shared" si="64"/>
        <v>2.3157784299798104E-2</v>
      </c>
      <c r="AJ65" s="351">
        <f t="shared" si="65"/>
        <v>3.4495999999999999E-2</v>
      </c>
      <c r="AK65" s="351">
        <f t="shared" si="66"/>
        <v>5.7868200187439427E-2</v>
      </c>
      <c r="AL65" s="351">
        <f t="shared" si="67"/>
        <v>3.4495999999999999E-2</v>
      </c>
      <c r="AM65" s="351">
        <f t="shared" si="68"/>
        <v>0.43169279999999999</v>
      </c>
      <c r="AN65" s="351">
        <f t="shared" si="69"/>
        <v>7.3596389812855476E-2</v>
      </c>
      <c r="AO65" s="351">
        <f t="shared" si="70"/>
        <v>8.3999999999999993E-4</v>
      </c>
      <c r="AP65" s="351">
        <f>'Variable Management'!$B$346</f>
        <v>0.41183999999999998</v>
      </c>
      <c r="AQ65" s="351">
        <f t="shared" si="25"/>
        <v>0.36108727954971853</v>
      </c>
      <c r="AR65" s="351">
        <f t="shared" si="71"/>
        <v>0.35521199999999997</v>
      </c>
      <c r="AS65" s="351">
        <f t="shared" si="72"/>
        <v>0.41267999999999999</v>
      </c>
      <c r="AT65" s="351">
        <f t="shared" si="73"/>
        <v>2.5387687655027307</v>
      </c>
      <c r="AU65">
        <f t="shared" si="74"/>
        <v>9.2399999999999984</v>
      </c>
      <c r="AV65" s="521">
        <f t="shared" si="46"/>
        <v>0.78446229686262348</v>
      </c>
      <c r="AW65" s="530">
        <f t="shared" si="75"/>
        <v>39.621921011946327</v>
      </c>
      <c r="AX65" s="530">
        <f t="shared" si="76"/>
        <v>8.0130729674975782</v>
      </c>
      <c r="AY65" s="9"/>
      <c r="AZ65" s="4">
        <f t="shared" si="47"/>
        <v>78.446229686262342</v>
      </c>
      <c r="BA65" s="351">
        <f t="shared" si="77"/>
        <v>0.86864082249791319</v>
      </c>
      <c r="BB65" s="351">
        <f t="shared" si="78"/>
        <v>1.1480228239004471</v>
      </c>
      <c r="BC65" s="351">
        <f t="shared" si="79"/>
        <v>0.94337907171300772</v>
      </c>
      <c r="BD65" s="351">
        <f t="shared" si="80"/>
        <v>0.20032682418743944</v>
      </c>
      <c r="BE65" s="351">
        <f t="shared" si="81"/>
        <v>7.3596389812855476E-2</v>
      </c>
      <c r="BK65" s="18"/>
      <c r="BL65" s="19"/>
    </row>
    <row r="66" spans="1:64" x14ac:dyDescent="0.25">
      <c r="G66">
        <v>57</v>
      </c>
      <c r="H66" s="527">
        <f t="shared" si="48"/>
        <v>24</v>
      </c>
      <c r="I66" s="4">
        <f t="shared" si="49"/>
        <v>1</v>
      </c>
      <c r="J66" s="351">
        <f t="shared" si="82"/>
        <v>2.85</v>
      </c>
      <c r="K66" s="351">
        <f t="shared" si="50"/>
        <v>2.85</v>
      </c>
      <c r="L66" s="4">
        <f t="shared" si="51"/>
        <v>0.43541666666666662</v>
      </c>
      <c r="M66" s="351">
        <f t="shared" si="52"/>
        <v>0.14191589299016594</v>
      </c>
      <c r="N66" s="4">
        <f t="shared" si="53"/>
        <v>2.0130139009146921</v>
      </c>
      <c r="O66" s="4">
        <f t="shared" si="38"/>
        <v>3.8565069504573462</v>
      </c>
      <c r="P66" s="4">
        <f t="shared" si="39"/>
        <v>1.843493049542654</v>
      </c>
      <c r="Q66" s="4">
        <f t="shared" si="54"/>
        <v>0</v>
      </c>
      <c r="R66" s="4">
        <f t="shared" si="40"/>
        <v>2.9086397875592955</v>
      </c>
      <c r="S66" s="351">
        <f t="shared" si="55"/>
        <v>0.21150463534432459</v>
      </c>
      <c r="T66" s="351">
        <f t="shared" si="56"/>
        <v>0.65</v>
      </c>
      <c r="U66" s="351">
        <f t="shared" si="57"/>
        <v>0.87633250631948301</v>
      </c>
      <c r="V66" s="4">
        <f t="shared" si="41"/>
        <v>0.58110705878777813</v>
      </c>
      <c r="W66" s="351">
        <f t="shared" si="10"/>
        <v>3.3768541377298224E-4</v>
      </c>
      <c r="X66" s="351">
        <f t="shared" si="42"/>
        <v>3.3768541377298224E-4</v>
      </c>
      <c r="Y66" s="4">
        <f t="shared" si="43"/>
        <v>1.0150101539503755</v>
      </c>
      <c r="Z66" s="351">
        <f t="shared" si="11"/>
        <v>1.0302456126223651E-3</v>
      </c>
      <c r="AA66" s="520">
        <f t="shared" si="44"/>
        <v>1.0302456126223651E-3</v>
      </c>
      <c r="AB66" s="351">
        <f t="shared" si="45"/>
        <v>1.0957348072676936</v>
      </c>
      <c r="AC66" s="351">
        <f t="shared" si="58"/>
        <v>1.3807299830366651E-2</v>
      </c>
      <c r="AD66" s="351">
        <f t="shared" si="59"/>
        <v>0.11143581428571429</v>
      </c>
      <c r="AE66" s="351">
        <f t="shared" si="60"/>
        <v>0.53416704000000004</v>
      </c>
      <c r="AF66" s="351">
        <f t="shared" si="61"/>
        <v>0</v>
      </c>
      <c r="AG66" s="351">
        <f t="shared" si="62"/>
        <v>0.66094329561465592</v>
      </c>
      <c r="AH66" s="351">
        <f t="shared" si="63"/>
        <v>2.6943553302998131</v>
      </c>
      <c r="AI66" s="351">
        <f t="shared" si="64"/>
        <v>2.3956517131519549E-2</v>
      </c>
      <c r="AJ66" s="351">
        <f t="shared" si="65"/>
        <v>3.5111999999999997E-2</v>
      </c>
      <c r="AK66" s="351">
        <f t="shared" si="66"/>
        <v>5.9295800469081901E-2</v>
      </c>
      <c r="AL66" s="351">
        <f t="shared" si="67"/>
        <v>3.5111999999999997E-2</v>
      </c>
      <c r="AM66" s="351">
        <f t="shared" si="68"/>
        <v>0.43940159999999995</v>
      </c>
      <c r="AN66" s="351">
        <f t="shared" si="69"/>
        <v>7.6141668723956848E-2</v>
      </c>
      <c r="AO66" s="351">
        <f t="shared" si="70"/>
        <v>8.3999999999999993E-4</v>
      </c>
      <c r="AP66" s="351">
        <f>'Variable Management'!$B$346</f>
        <v>0.41183999999999998</v>
      </c>
      <c r="AQ66" s="351">
        <f t="shared" si="25"/>
        <v>0.36108727954971853</v>
      </c>
      <c r="AR66" s="351">
        <f t="shared" si="71"/>
        <v>0.35521199999999997</v>
      </c>
      <c r="AS66" s="351">
        <f t="shared" si="72"/>
        <v>0.41267999999999999</v>
      </c>
      <c r="AT66" s="351">
        <f t="shared" si="73"/>
        <v>2.5612748021535729</v>
      </c>
      <c r="AU66">
        <f t="shared" si="74"/>
        <v>9.4049999999999994</v>
      </c>
      <c r="AV66" s="521">
        <f t="shared" si="46"/>
        <v>0.78595888490772248</v>
      </c>
      <c r="AW66" s="530">
        <f t="shared" si="75"/>
        <v>39.93983076781555</v>
      </c>
      <c r="AX66" s="530">
        <f t="shared" si="76"/>
        <v>8.1719331387632757</v>
      </c>
      <c r="AY66" s="9"/>
      <c r="AZ66" s="4">
        <f t="shared" si="47"/>
        <v>78.595888490772253</v>
      </c>
      <c r="BA66" s="351">
        <f t="shared" si="77"/>
        <v>0.87633250631948301</v>
      </c>
      <c r="BB66" s="351">
        <f t="shared" si="78"/>
        <v>1.1596406960837378</v>
      </c>
      <c r="BC66" s="351">
        <f t="shared" si="79"/>
        <v>0.95094835161465596</v>
      </c>
      <c r="BD66" s="351">
        <f t="shared" si="80"/>
        <v>0.20429832846908189</v>
      </c>
      <c r="BE66" s="351">
        <f t="shared" si="81"/>
        <v>7.6141668723956848E-2</v>
      </c>
      <c r="BK66" s="18"/>
      <c r="BL66" s="19"/>
    </row>
    <row r="67" spans="1:64" x14ac:dyDescent="0.25">
      <c r="A67" s="11" t="s">
        <v>77</v>
      </c>
      <c r="B67" s="31"/>
      <c r="C67" s="31"/>
      <c r="G67">
        <v>58</v>
      </c>
      <c r="H67" s="527">
        <f t="shared" si="48"/>
        <v>24</v>
      </c>
      <c r="I67" s="4">
        <f t="shared" si="49"/>
        <v>1</v>
      </c>
      <c r="J67" s="351">
        <f t="shared" si="82"/>
        <v>2.9</v>
      </c>
      <c r="K67" s="351">
        <f t="shared" si="50"/>
        <v>2.9</v>
      </c>
      <c r="L67" s="4">
        <f t="shared" si="51"/>
        <v>0.44305555555555548</v>
      </c>
      <c r="M67" s="351">
        <f t="shared" si="52"/>
        <v>0.14199335730879348</v>
      </c>
      <c r="N67" s="4">
        <f t="shared" si="53"/>
        <v>2.0139342282513009</v>
      </c>
      <c r="O67" s="4">
        <f t="shared" si="38"/>
        <v>3.9069671141256501</v>
      </c>
      <c r="P67" s="4">
        <f t="shared" si="39"/>
        <v>1.8930328858743495</v>
      </c>
      <c r="Q67" s="4">
        <f t="shared" si="54"/>
        <v>0</v>
      </c>
      <c r="R67" s="4">
        <f t="shared" si="40"/>
        <v>2.9577008395559852</v>
      </c>
      <c r="S67" s="351">
        <f t="shared" si="55"/>
        <v>0.21869985640775447</v>
      </c>
      <c r="T67" s="351">
        <f t="shared" si="56"/>
        <v>0.65</v>
      </c>
      <c r="U67" s="351">
        <f t="shared" si="57"/>
        <v>0.8841692718309202</v>
      </c>
      <c r="V67" s="4">
        <f t="shared" si="41"/>
        <v>0.58137273440554493</v>
      </c>
      <c r="W67" s="351">
        <f t="shared" si="10"/>
        <v>3.3799425631018026E-4</v>
      </c>
      <c r="X67" s="351">
        <f t="shared" si="42"/>
        <v>3.3799425631018026E-4</v>
      </c>
      <c r="Y67" s="4">
        <f t="shared" si="43"/>
        <v>1.0323657398931068</v>
      </c>
      <c r="Z67" s="351">
        <f t="shared" si="11"/>
        <v>1.0657790209050418E-3</v>
      </c>
      <c r="AA67" s="520">
        <f t="shared" si="44"/>
        <v>1.0657790209050418E-3</v>
      </c>
      <c r="AB67" s="351">
        <f t="shared" si="45"/>
        <v>1.1145210066084552</v>
      </c>
      <c r="AC67" s="351">
        <f t="shared" si="58"/>
        <v>1.4284806352972529E-2</v>
      </c>
      <c r="AD67" s="351">
        <f t="shared" si="59"/>
        <v>0.11339082857142856</v>
      </c>
      <c r="AE67" s="351">
        <f t="shared" si="60"/>
        <v>0.53416704000000004</v>
      </c>
      <c r="AF67" s="351">
        <f t="shared" si="61"/>
        <v>0</v>
      </c>
      <c r="AG67" s="351">
        <f t="shared" si="62"/>
        <v>0.66343481729039377</v>
      </c>
      <c r="AH67" s="351">
        <f t="shared" si="63"/>
        <v>2.7396782990232</v>
      </c>
      <c r="AI67" s="351">
        <f t="shared" si="64"/>
        <v>2.4769262701057559E-2</v>
      </c>
      <c r="AJ67" s="351">
        <f t="shared" si="65"/>
        <v>3.5727999999999996E-2</v>
      </c>
      <c r="AK67" s="351">
        <f t="shared" si="66"/>
        <v>6.0737972267621759E-2</v>
      </c>
      <c r="AL67" s="351">
        <f t="shared" si="67"/>
        <v>3.5727999999999996E-2</v>
      </c>
      <c r="AM67" s="351">
        <f t="shared" si="68"/>
        <v>0.44711040000000002</v>
      </c>
      <c r="AN67" s="351">
        <f t="shared" si="69"/>
        <v>7.8731948306791602E-2</v>
      </c>
      <c r="AO67" s="351">
        <f t="shared" si="70"/>
        <v>8.3999999999999993E-4</v>
      </c>
      <c r="AP67" s="351">
        <f>'Variable Management'!$B$346</f>
        <v>0.41183999999999998</v>
      </c>
      <c r="AQ67" s="351">
        <f t="shared" si="25"/>
        <v>0.36108727954971853</v>
      </c>
      <c r="AR67" s="351">
        <f t="shared" si="71"/>
        <v>0.35521199999999997</v>
      </c>
      <c r="AS67" s="351">
        <f t="shared" si="72"/>
        <v>0.41267999999999999</v>
      </c>
      <c r="AT67" s="351">
        <f t="shared" si="73"/>
        <v>2.5839961829729425</v>
      </c>
      <c r="AU67">
        <f t="shared" si="74"/>
        <v>9.5699999999999985</v>
      </c>
      <c r="AV67" s="521">
        <f t="shared" si="46"/>
        <v>0.78739534355021645</v>
      </c>
      <c r="AW67" s="530">
        <f t="shared" si="75"/>
        <v>40.258162614196536</v>
      </c>
      <c r="AX67" s="530">
        <f t="shared" si="76"/>
        <v>8.3313761707048712</v>
      </c>
      <c r="AY67" s="9"/>
      <c r="AZ67" s="4">
        <f t="shared" si="47"/>
        <v>78.739534355021647</v>
      </c>
      <c r="BA67" s="351">
        <f t="shared" si="77"/>
        <v>0.8841692718309202</v>
      </c>
      <c r="BB67" s="351">
        <f t="shared" si="78"/>
        <v>1.1712831895580156</v>
      </c>
      <c r="BC67" s="351">
        <f t="shared" si="79"/>
        <v>0.95852768129039378</v>
      </c>
      <c r="BD67" s="351">
        <f t="shared" si="80"/>
        <v>0.20828440426762176</v>
      </c>
      <c r="BE67" s="351">
        <f t="shared" si="81"/>
        <v>7.8731948306791602E-2</v>
      </c>
      <c r="BK67" s="18"/>
      <c r="BL67" s="19"/>
    </row>
    <row r="68" spans="1:64" x14ac:dyDescent="0.25">
      <c r="A68" s="14" t="s">
        <v>55</v>
      </c>
      <c r="B68" s="15" t="s">
        <v>7</v>
      </c>
      <c r="C68" s="15" t="s">
        <v>76</v>
      </c>
      <c r="G68">
        <v>59</v>
      </c>
      <c r="H68" s="527">
        <f t="shared" si="48"/>
        <v>24</v>
      </c>
      <c r="I68" s="4">
        <f t="shared" si="49"/>
        <v>1</v>
      </c>
      <c r="J68" s="351">
        <f t="shared" si="82"/>
        <v>2.95</v>
      </c>
      <c r="K68" s="351">
        <f t="shared" si="50"/>
        <v>2.95</v>
      </c>
      <c r="L68" s="4">
        <f t="shared" si="51"/>
        <v>0.4506944444444444</v>
      </c>
      <c r="M68" s="351">
        <f t="shared" si="52"/>
        <v>0.14207082136923202</v>
      </c>
      <c r="N68" s="4">
        <f t="shared" si="53"/>
        <v>2.0148543571984647</v>
      </c>
      <c r="O68" s="4">
        <f t="shared" si="38"/>
        <v>3.9574271785992323</v>
      </c>
      <c r="P68" s="4">
        <f t="shared" si="39"/>
        <v>1.9425728214007678</v>
      </c>
      <c r="Q68" s="4">
        <f t="shared" si="54"/>
        <v>0</v>
      </c>
      <c r="R68" s="4">
        <f t="shared" si="40"/>
        <v>3.006792838456529</v>
      </c>
      <c r="S68" s="351">
        <f t="shared" si="55"/>
        <v>0.22602007933483678</v>
      </c>
      <c r="T68" s="351">
        <f t="shared" si="56"/>
        <v>0.65</v>
      </c>
      <c r="U68" s="351">
        <f t="shared" si="57"/>
        <v>0.89215161361385331</v>
      </c>
      <c r="V68" s="4">
        <f t="shared" si="41"/>
        <v>0.58163835275321207</v>
      </c>
      <c r="W68" s="351">
        <f t="shared" si="10"/>
        <v>3.3830317339346997E-4</v>
      </c>
      <c r="X68" s="351">
        <f t="shared" si="42"/>
        <v>3.3830317339346997E-4</v>
      </c>
      <c r="Y68" s="4">
        <f t="shared" si="43"/>
        <v>1.0497398211188609</v>
      </c>
      <c r="Z68" s="351">
        <f t="shared" si="11"/>
        <v>1.1019536920426581E-3</v>
      </c>
      <c r="AA68" s="520">
        <f t="shared" si="44"/>
        <v>1.1019536920426581E-3</v>
      </c>
      <c r="AB68" s="351">
        <f t="shared" si="45"/>
        <v>1.1333288722526969</v>
      </c>
      <c r="AC68" s="351">
        <f t="shared" si="58"/>
        <v>1.4770994825838052E-2</v>
      </c>
      <c r="AD68" s="351">
        <f t="shared" si="59"/>
        <v>0.11534584285714287</v>
      </c>
      <c r="AE68" s="351">
        <f t="shared" si="60"/>
        <v>0.53416704000000004</v>
      </c>
      <c r="AF68" s="351">
        <f t="shared" si="61"/>
        <v>0</v>
      </c>
      <c r="AG68" s="351">
        <f t="shared" si="62"/>
        <v>0.66593641696903805</v>
      </c>
      <c r="AH68" s="351">
        <f t="shared" si="63"/>
        <v>2.7850258240655328</v>
      </c>
      <c r="AI68" s="351">
        <f t="shared" si="64"/>
        <v>2.559601717434927E-2</v>
      </c>
      <c r="AJ68" s="351">
        <f t="shared" si="65"/>
        <v>3.6344000000000001E-2</v>
      </c>
      <c r="AK68" s="351">
        <f t="shared" si="66"/>
        <v>6.2194727143006293E-2</v>
      </c>
      <c r="AL68" s="351">
        <f t="shared" si="67"/>
        <v>3.6344000000000001E-2</v>
      </c>
      <c r="AM68" s="351">
        <f t="shared" si="68"/>
        <v>0.45481920000000009</v>
      </c>
      <c r="AN68" s="351">
        <f t="shared" si="69"/>
        <v>8.1367228560541224E-2</v>
      </c>
      <c r="AO68" s="351">
        <f t="shared" si="70"/>
        <v>8.3999999999999993E-4</v>
      </c>
      <c r="AP68" s="351">
        <f>'Variable Management'!$B$346</f>
        <v>0.41183999999999998</v>
      </c>
      <c r="AQ68" s="351">
        <f t="shared" si="25"/>
        <v>0.36108727954971853</v>
      </c>
      <c r="AR68" s="351">
        <f t="shared" si="71"/>
        <v>0.35521199999999997</v>
      </c>
      <c r="AS68" s="351">
        <f t="shared" si="72"/>
        <v>0.41267999999999999</v>
      </c>
      <c r="AT68" s="351">
        <f t="shared" si="73"/>
        <v>2.6069334431518754</v>
      </c>
      <c r="AU68">
        <f t="shared" si="74"/>
        <v>9.7349999999999994</v>
      </c>
      <c r="AV68" s="521">
        <f t="shared" si="46"/>
        <v>0.78877430710839103</v>
      </c>
      <c r="AW68" s="530">
        <f t="shared" si="75"/>
        <v>40.576917736699599</v>
      </c>
      <c r="AX68" s="530">
        <f t="shared" si="76"/>
        <v>8.4914025257202539</v>
      </c>
      <c r="AY68" s="9"/>
      <c r="AZ68" s="4">
        <f t="shared" si="47"/>
        <v>78.877430710839107</v>
      </c>
      <c r="BA68" s="351">
        <f t="shared" si="77"/>
        <v>0.89215161361385331</v>
      </c>
      <c r="BB68" s="351">
        <f t="shared" si="78"/>
        <v>1.1829503441120446</v>
      </c>
      <c r="BC68" s="351">
        <f t="shared" si="79"/>
        <v>0.96611708896903814</v>
      </c>
      <c r="BD68" s="351">
        <f t="shared" si="80"/>
        <v>0.21228506314300633</v>
      </c>
      <c r="BE68" s="351">
        <f t="shared" si="81"/>
        <v>8.1367228560541224E-2</v>
      </c>
      <c r="BK68" s="18"/>
      <c r="BL68" s="19"/>
    </row>
    <row r="69" spans="1:64" x14ac:dyDescent="0.25">
      <c r="A69" s="32" t="s">
        <v>205</v>
      </c>
      <c r="B69" s="436">
        <f>D1_Vinmin</f>
        <v>0.14347826086956522</v>
      </c>
      <c r="C69" s="21" t="s">
        <v>18</v>
      </c>
      <c r="G69">
        <v>60</v>
      </c>
      <c r="H69" s="527">
        <f t="shared" si="48"/>
        <v>24</v>
      </c>
      <c r="I69" s="4">
        <f t="shared" si="49"/>
        <v>1</v>
      </c>
      <c r="J69" s="351">
        <f t="shared" si="82"/>
        <v>3</v>
      </c>
      <c r="K69" s="351">
        <f t="shared" si="50"/>
        <v>3</v>
      </c>
      <c r="L69" s="4">
        <f t="shared" si="51"/>
        <v>0.45833333333333326</v>
      </c>
      <c r="M69" s="351">
        <f t="shared" si="52"/>
        <v>0.14214828517148284</v>
      </c>
      <c r="N69" s="4">
        <f t="shared" si="53"/>
        <v>2.0157742877571745</v>
      </c>
      <c r="O69" s="4">
        <f t="shared" si="38"/>
        <v>4.0078871438785875</v>
      </c>
      <c r="P69" s="4">
        <f t="shared" si="39"/>
        <v>1.9921128561214128</v>
      </c>
      <c r="Q69" s="4">
        <f t="shared" si="54"/>
        <v>0</v>
      </c>
      <c r="R69" s="4">
        <f t="shared" si="40"/>
        <v>3.0559142927987875</v>
      </c>
      <c r="S69" s="351">
        <f t="shared" si="55"/>
        <v>0.23346530412329783</v>
      </c>
      <c r="T69" s="351">
        <f t="shared" si="56"/>
        <v>0.65</v>
      </c>
      <c r="U69" s="351">
        <f t="shared" si="57"/>
        <v>0.90028003632136999</v>
      </c>
      <c r="V69" s="4">
        <f t="shared" si="41"/>
        <v>0.58190391383106543</v>
      </c>
      <c r="W69" s="351">
        <f t="shared" si="10"/>
        <v>3.3861216493191206E-4</v>
      </c>
      <c r="X69" s="351">
        <f t="shared" si="42"/>
        <v>3.3861216493191206E-4</v>
      </c>
      <c r="Y69" s="4">
        <f t="shared" si="43"/>
        <v>1.0671318790207458</v>
      </c>
      <c r="Z69" s="351">
        <f t="shared" si="11"/>
        <v>1.1387704472223476E-3</v>
      </c>
      <c r="AA69" s="520">
        <f t="shared" si="44"/>
        <v>1.1387704472223476E-3</v>
      </c>
      <c r="AB69" s="351">
        <f t="shared" si="45"/>
        <v>1.1521578473137351</v>
      </c>
      <c r="AC69" s="351">
        <f t="shared" si="58"/>
        <v>1.5265878608956129E-2</v>
      </c>
      <c r="AD69" s="351">
        <f t="shared" si="59"/>
        <v>0.11730085714285714</v>
      </c>
      <c r="AE69" s="351">
        <f t="shared" si="60"/>
        <v>0.53416704000000004</v>
      </c>
      <c r="AF69" s="351">
        <f t="shared" si="61"/>
        <v>0</v>
      </c>
      <c r="AG69" s="351">
        <f t="shared" si="62"/>
        <v>0.66844812299936485</v>
      </c>
      <c r="AH69" s="351">
        <f t="shared" si="63"/>
        <v>2.8303965198899772</v>
      </c>
      <c r="AI69" s="351">
        <f t="shared" si="64"/>
        <v>2.6436776717357471E-2</v>
      </c>
      <c r="AJ69" s="351">
        <f t="shared" si="65"/>
        <v>3.696E-2</v>
      </c>
      <c r="AK69" s="351">
        <f t="shared" si="66"/>
        <v>6.3666076854681841E-2</v>
      </c>
      <c r="AL69" s="351">
        <f t="shared" si="67"/>
        <v>3.696E-2</v>
      </c>
      <c r="AM69" s="351">
        <f t="shared" si="68"/>
        <v>0.46252800000000005</v>
      </c>
      <c r="AN69" s="351">
        <f t="shared" si="69"/>
        <v>8.4047509484387203E-2</v>
      </c>
      <c r="AO69" s="351">
        <f t="shared" si="70"/>
        <v>8.3999999999999993E-4</v>
      </c>
      <c r="AP69" s="351">
        <f>'Variable Management'!$B$346</f>
        <v>0.41183999999999998</v>
      </c>
      <c r="AQ69" s="351">
        <f t="shared" si="25"/>
        <v>0.36108727954971853</v>
      </c>
      <c r="AR69" s="351">
        <f t="shared" si="71"/>
        <v>0.35521199999999997</v>
      </c>
      <c r="AS69" s="351">
        <f t="shared" si="72"/>
        <v>0.41267999999999999</v>
      </c>
      <c r="AT69" s="351">
        <f t="shared" si="73"/>
        <v>2.630087128271958</v>
      </c>
      <c r="AU69">
        <f t="shared" si="74"/>
        <v>9.8999999999999986</v>
      </c>
      <c r="AV69" s="521">
        <f t="shared" si="46"/>
        <v>0.79009825699155556</v>
      </c>
      <c r="AW69" s="530">
        <f t="shared" si="75"/>
        <v>40.896097325973329</v>
      </c>
      <c r="AX69" s="530">
        <f t="shared" si="76"/>
        <v>8.6520126741872758</v>
      </c>
      <c r="AY69" s="9"/>
      <c r="AZ69" s="4">
        <f t="shared" si="47"/>
        <v>79.009825699155556</v>
      </c>
      <c r="BA69" s="351">
        <f t="shared" si="77"/>
        <v>0.90028003632136999</v>
      </c>
      <c r="BB69" s="351">
        <f t="shared" si="78"/>
        <v>1.1946421998540466</v>
      </c>
      <c r="BC69" s="351">
        <f t="shared" si="79"/>
        <v>0.97371660299936491</v>
      </c>
      <c r="BD69" s="351">
        <f t="shared" si="80"/>
        <v>0.21630031685468187</v>
      </c>
      <c r="BE69" s="351">
        <f t="shared" si="81"/>
        <v>8.4047509484387203E-2</v>
      </c>
      <c r="BK69" s="18"/>
      <c r="BL69" s="19"/>
    </row>
    <row r="70" spans="1:64" x14ac:dyDescent="0.25">
      <c r="A70" s="23" t="s">
        <v>78</v>
      </c>
      <c r="B70" s="436">
        <f>1-B69</f>
        <v>0.85652173913043472</v>
      </c>
      <c r="C70" s="21" t="s">
        <v>18</v>
      </c>
      <c r="G70">
        <v>61</v>
      </c>
      <c r="H70" s="527">
        <f t="shared" si="48"/>
        <v>24</v>
      </c>
      <c r="I70" s="4">
        <f t="shared" si="49"/>
        <v>1</v>
      </c>
      <c r="J70" s="351">
        <f t="shared" si="82"/>
        <v>3.05</v>
      </c>
      <c r="K70" s="351">
        <f t="shared" si="50"/>
        <v>3.05</v>
      </c>
      <c r="L70" s="4">
        <f t="shared" si="51"/>
        <v>0.46597222222222218</v>
      </c>
      <c r="M70" s="351">
        <f t="shared" si="52"/>
        <v>0.14222574871554725</v>
      </c>
      <c r="N70" s="4">
        <f t="shared" si="53"/>
        <v>2.0166940199284227</v>
      </c>
      <c r="O70" s="4">
        <f t="shared" si="38"/>
        <v>4.0583470099642112</v>
      </c>
      <c r="P70" s="4">
        <f t="shared" si="39"/>
        <v>2.0416529900357885</v>
      </c>
      <c r="Q70" s="4">
        <f t="shared" si="54"/>
        <v>0</v>
      </c>
      <c r="R70" s="4">
        <f t="shared" si="40"/>
        <v>3.1050638046318126</v>
      </c>
      <c r="S70" s="351">
        <f t="shared" si="55"/>
        <v>0.2410355307708647</v>
      </c>
      <c r="T70" s="351">
        <f t="shared" si="56"/>
        <v>0.65</v>
      </c>
      <c r="U70" s="351">
        <f t="shared" si="57"/>
        <v>0.90855505475954634</v>
      </c>
      <c r="V70" s="4">
        <f t="shared" si="41"/>
        <v>0.58216941763939167</v>
      </c>
      <c r="W70" s="351">
        <f t="shared" si="10"/>
        <v>3.3892123083458848E-4</v>
      </c>
      <c r="X70" s="351">
        <f t="shared" si="42"/>
        <v>3.3892123083458848E-4</v>
      </c>
      <c r="Y70" s="4">
        <f t="shared" si="43"/>
        <v>1.0845414271782252</v>
      </c>
      <c r="Z70" s="351">
        <f t="shared" si="11"/>
        <v>1.1762301072657814E-3</v>
      </c>
      <c r="AA70" s="520">
        <f t="shared" si="44"/>
        <v>1.1762301072657814E-3</v>
      </c>
      <c r="AB70" s="351">
        <f t="shared" si="45"/>
        <v>1.1710074095570113</v>
      </c>
      <c r="AC70" s="351">
        <f t="shared" si="58"/>
        <v>1.5769471062230353E-2</v>
      </c>
      <c r="AD70" s="351">
        <f t="shared" si="59"/>
        <v>0.11925587142857141</v>
      </c>
      <c r="AE70" s="351">
        <f t="shared" si="60"/>
        <v>0.53416704000000004</v>
      </c>
      <c r="AF70" s="351">
        <f t="shared" si="61"/>
        <v>0</v>
      </c>
      <c r="AG70" s="351">
        <f t="shared" si="62"/>
        <v>0.67096996385080176</v>
      </c>
      <c r="AH70" s="351">
        <f t="shared" si="63"/>
        <v>2.8757890878152321</v>
      </c>
      <c r="AI70" s="351">
        <f t="shared" si="64"/>
        <v>2.7291537496070647E-2</v>
      </c>
      <c r="AJ70" s="351">
        <f t="shared" si="65"/>
        <v>3.7575999999999998E-2</v>
      </c>
      <c r="AK70" s="351">
        <f t="shared" si="66"/>
        <v>6.5152033361901299E-2</v>
      </c>
      <c r="AL70" s="351">
        <f t="shared" si="67"/>
        <v>3.7575999999999998E-2</v>
      </c>
      <c r="AM70" s="351">
        <f t="shared" si="68"/>
        <v>0.47023680000000001</v>
      </c>
      <c r="AN70" s="351">
        <f t="shared" si="69"/>
        <v>8.6772791077511291E-2</v>
      </c>
      <c r="AO70" s="351">
        <f t="shared" si="70"/>
        <v>8.3999999999999993E-4</v>
      </c>
      <c r="AP70" s="351">
        <f>'Variable Management'!$B$346</f>
        <v>0.41183999999999998</v>
      </c>
      <c r="AQ70" s="351">
        <f t="shared" si="25"/>
        <v>0.36108727954971853</v>
      </c>
      <c r="AR70" s="351">
        <f t="shared" si="71"/>
        <v>0.35521199999999997</v>
      </c>
      <c r="AS70" s="351">
        <f t="shared" si="72"/>
        <v>0.41267999999999999</v>
      </c>
      <c r="AT70" s="351">
        <f t="shared" si="73"/>
        <v>2.6534577943878612</v>
      </c>
      <c r="AU70">
        <f t="shared" si="74"/>
        <v>10.065</v>
      </c>
      <c r="AV70" s="521">
        <f t="shared" si="46"/>
        <v>0.79136953258918508</v>
      </c>
      <c r="AW70" s="530">
        <f t="shared" si="75"/>
        <v>41.215702577733673</v>
      </c>
      <c r="AX70" s="530">
        <f t="shared" si="76"/>
        <v>8.8132070944760521</v>
      </c>
      <c r="AY70" s="9"/>
      <c r="AZ70" s="4">
        <f t="shared" si="47"/>
        <v>79.13695325891851</v>
      </c>
      <c r="BA70" s="351">
        <f t="shared" si="77"/>
        <v>0.90855505475954634</v>
      </c>
      <c r="BB70" s="351">
        <f t="shared" si="78"/>
        <v>1.2063587972127032</v>
      </c>
      <c r="BC70" s="351">
        <f t="shared" si="79"/>
        <v>0.9813262518508018</v>
      </c>
      <c r="BD70" s="351">
        <f t="shared" si="80"/>
        <v>0.2203301773619013</v>
      </c>
      <c r="BE70" s="351">
        <f t="shared" si="81"/>
        <v>8.6772791077511291E-2</v>
      </c>
      <c r="BK70" s="18"/>
      <c r="BL70" s="19"/>
    </row>
    <row r="71" spans="1:64" x14ac:dyDescent="0.25">
      <c r="A71" s="33" t="s">
        <v>206</v>
      </c>
      <c r="B71" s="436">
        <f>Iripple_Vinnom</f>
        <v>2.0573511442904056</v>
      </c>
      <c r="C71" s="21" t="s">
        <v>1</v>
      </c>
      <c r="G71">
        <v>62</v>
      </c>
      <c r="H71" s="527">
        <f t="shared" si="48"/>
        <v>24</v>
      </c>
      <c r="I71" s="4">
        <f t="shared" si="49"/>
        <v>1</v>
      </c>
      <c r="J71" s="351">
        <f t="shared" si="82"/>
        <v>3.1</v>
      </c>
      <c r="K71" s="351">
        <f t="shared" si="50"/>
        <v>3.1</v>
      </c>
      <c r="L71" s="4">
        <f t="shared" si="51"/>
        <v>0.47361111111111109</v>
      </c>
      <c r="M71" s="351">
        <f t="shared" si="52"/>
        <v>0.14230321200142651</v>
      </c>
      <c r="N71" s="4">
        <f t="shared" si="53"/>
        <v>2.0176135537132005</v>
      </c>
      <c r="O71" s="4">
        <f t="shared" si="38"/>
        <v>4.1088067768565999</v>
      </c>
      <c r="P71" s="4">
        <f t="shared" si="39"/>
        <v>2.0911932231433998</v>
      </c>
      <c r="Q71" s="4">
        <f t="shared" si="54"/>
        <v>0</v>
      </c>
      <c r="R71" s="4">
        <f t="shared" si="40"/>
        <v>3.1542400623621853</v>
      </c>
      <c r="S71" s="351">
        <f t="shared" si="55"/>
        <v>0.24873075927526511</v>
      </c>
      <c r="T71" s="351">
        <f t="shared" si="56"/>
        <v>0.65</v>
      </c>
      <c r="U71" s="351">
        <f t="shared" si="57"/>
        <v>0.91697719397082222</v>
      </c>
      <c r="V71" s="4">
        <f t="shared" si="41"/>
        <v>0.5824348641784769</v>
      </c>
      <c r="W71" s="351">
        <f t="shared" si="10"/>
        <v>3.3923037101060081E-4</v>
      </c>
      <c r="X71" s="351">
        <f t="shared" si="42"/>
        <v>3.3923037101060081E-4</v>
      </c>
      <c r="Y71" s="4">
        <f t="shared" si="43"/>
        <v>1.1019680088955268</v>
      </c>
      <c r="Z71" s="351">
        <f t="shared" si="11"/>
        <v>1.2143334926291718E-3</v>
      </c>
      <c r="AA71" s="520">
        <f t="shared" si="44"/>
        <v>1.2143334926291718E-3</v>
      </c>
      <c r="AB71" s="351">
        <f t="shared" si="45"/>
        <v>1.1898770687499416</v>
      </c>
      <c r="AC71" s="351">
        <f t="shared" si="58"/>
        <v>1.6281785545474964E-2</v>
      </c>
      <c r="AD71" s="351">
        <f t="shared" si="59"/>
        <v>0.12121088571428573</v>
      </c>
      <c r="AE71" s="351">
        <f t="shared" si="60"/>
        <v>0.53416704000000004</v>
      </c>
      <c r="AF71" s="351">
        <f t="shared" si="61"/>
        <v>0</v>
      </c>
      <c r="AG71" s="351">
        <f t="shared" si="62"/>
        <v>0.67350196811412133</v>
      </c>
      <c r="AH71" s="351">
        <f t="shared" si="63"/>
        <v>2.9212023093708606</v>
      </c>
      <c r="AI71" s="351">
        <f t="shared" si="64"/>
        <v>2.8160295676503039E-2</v>
      </c>
      <c r="AJ71" s="351">
        <f t="shared" si="65"/>
        <v>3.8191999999999997E-2</v>
      </c>
      <c r="AK71" s="351">
        <f t="shared" si="66"/>
        <v>6.665260882403827E-2</v>
      </c>
      <c r="AL71" s="351">
        <f t="shared" si="67"/>
        <v>3.8191999999999997E-2</v>
      </c>
      <c r="AM71" s="351">
        <f t="shared" si="68"/>
        <v>0.47794560000000014</v>
      </c>
      <c r="AN71" s="351">
        <f t="shared" si="69"/>
        <v>8.9543073339095419E-2</v>
      </c>
      <c r="AO71" s="351">
        <f t="shared" si="70"/>
        <v>8.3999999999999993E-4</v>
      </c>
      <c r="AP71" s="351">
        <f>'Variable Management'!$B$346</f>
        <v>0.41183999999999998</v>
      </c>
      <c r="AQ71" s="351">
        <f t="shared" si="25"/>
        <v>0.36108727954971853</v>
      </c>
      <c r="AR71" s="351">
        <f t="shared" si="71"/>
        <v>0.35521199999999997</v>
      </c>
      <c r="AS71" s="351">
        <f t="shared" si="72"/>
        <v>0.41267999999999999</v>
      </c>
      <c r="AT71" s="351">
        <f t="shared" si="73"/>
        <v>2.6770460081117173</v>
      </c>
      <c r="AU71">
        <f t="shared" si="74"/>
        <v>10.23</v>
      </c>
      <c r="AV71" s="521">
        <f t="shared" si="46"/>
        <v>0.79259034124235184</v>
      </c>
      <c r="AW71" s="530">
        <f t="shared" si="75"/>
        <v>41.535734692793099</v>
      </c>
      <c r="AX71" s="530">
        <f t="shared" si="76"/>
        <v>8.9749862729615337</v>
      </c>
      <c r="AY71" s="9"/>
      <c r="AZ71" s="4">
        <f t="shared" si="47"/>
        <v>79.259034124235185</v>
      </c>
      <c r="BA71" s="351">
        <f t="shared" si="77"/>
        <v>0.91697719397082222</v>
      </c>
      <c r="BB71" s="351">
        <f t="shared" si="78"/>
        <v>1.2181001769381596</v>
      </c>
      <c r="BC71" s="351">
        <f t="shared" si="79"/>
        <v>0.98894606411412145</v>
      </c>
      <c r="BD71" s="351">
        <f t="shared" si="80"/>
        <v>0.22437465682403834</v>
      </c>
      <c r="BE71" s="351">
        <f t="shared" si="81"/>
        <v>8.9543073339095419E-2</v>
      </c>
      <c r="BK71" s="18"/>
      <c r="BL71" s="19"/>
    </row>
    <row r="72" spans="1:64" x14ac:dyDescent="0.25">
      <c r="A72" s="14" t="s">
        <v>59</v>
      </c>
      <c r="B72" s="15" t="s">
        <v>7</v>
      </c>
      <c r="C72" s="17" t="s">
        <v>76</v>
      </c>
      <c r="G72">
        <v>63</v>
      </c>
      <c r="H72" s="527">
        <f t="shared" si="48"/>
        <v>24</v>
      </c>
      <c r="I72" s="4">
        <f t="shared" si="49"/>
        <v>1</v>
      </c>
      <c r="J72" s="351">
        <f t="shared" si="82"/>
        <v>3.15</v>
      </c>
      <c r="K72" s="351">
        <f t="shared" si="50"/>
        <v>3.15</v>
      </c>
      <c r="L72" s="4">
        <f t="shared" si="51"/>
        <v>0.48124999999999996</v>
      </c>
      <c r="M72" s="351">
        <f t="shared" si="52"/>
        <v>0.14238067502912194</v>
      </c>
      <c r="N72" s="4">
        <f t="shared" si="53"/>
        <v>2.0185328891125005</v>
      </c>
      <c r="O72" s="4">
        <f t="shared" si="38"/>
        <v>4.1592664445562502</v>
      </c>
      <c r="P72" s="4">
        <f t="shared" si="39"/>
        <v>2.1407335554437497</v>
      </c>
      <c r="Q72" s="4">
        <f t="shared" si="54"/>
        <v>0</v>
      </c>
      <c r="R72" s="4">
        <f t="shared" si="40"/>
        <v>3.2034418342415818</v>
      </c>
      <c r="S72" s="351">
        <f t="shared" si="55"/>
        <v>0.25655098963422679</v>
      </c>
      <c r="T72" s="351">
        <f t="shared" si="56"/>
        <v>0.65</v>
      </c>
      <c r="U72" s="351">
        <f t="shared" si="57"/>
        <v>0.9255469893192535</v>
      </c>
      <c r="V72" s="4">
        <f t="shared" si="41"/>
        <v>0.58270025344860765</v>
      </c>
      <c r="W72" s="351">
        <f t="shared" si="10"/>
        <v>3.395395853690716E-4</v>
      </c>
      <c r="X72" s="351">
        <f t="shared" si="42"/>
        <v>3.395395853690716E-4</v>
      </c>
      <c r="Y72" s="4">
        <f t="shared" si="43"/>
        <v>1.1194111949606707</v>
      </c>
      <c r="Z72" s="351">
        <f t="shared" si="11"/>
        <v>1.2530814234032765E-3</v>
      </c>
      <c r="AA72" s="520">
        <f t="shared" si="44"/>
        <v>1.2530814234032765E-3</v>
      </c>
      <c r="AB72" s="351">
        <f t="shared" si="45"/>
        <v>1.2087663642492783</v>
      </c>
      <c r="AC72" s="351">
        <f t="shared" si="58"/>
        <v>1.6802835418414815E-2</v>
      </c>
      <c r="AD72" s="351">
        <f t="shared" si="59"/>
        <v>0.12316589999999998</v>
      </c>
      <c r="AE72" s="351">
        <f t="shared" si="60"/>
        <v>0.53416704000000004</v>
      </c>
      <c r="AF72" s="351">
        <f t="shared" si="61"/>
        <v>0</v>
      </c>
      <c r="AG72" s="351">
        <f t="shared" si="62"/>
        <v>0.67604416450214189</v>
      </c>
      <c r="AH72" s="351">
        <f t="shared" si="63"/>
        <v>2.966635040248236</v>
      </c>
      <c r="AI72" s="351">
        <f t="shared" si="64"/>
        <v>2.9043047424694553E-2</v>
      </c>
      <c r="AJ72" s="351">
        <f t="shared" si="65"/>
        <v>3.8807999999999995E-2</v>
      </c>
      <c r="AK72" s="351">
        <f t="shared" si="66"/>
        <v>6.8167815600908163E-2</v>
      </c>
      <c r="AL72" s="351">
        <f t="shared" si="67"/>
        <v>3.8807999999999995E-2</v>
      </c>
      <c r="AM72" s="351">
        <f t="shared" si="68"/>
        <v>0.48565440000000004</v>
      </c>
      <c r="AN72" s="351">
        <f t="shared" si="69"/>
        <v>9.2358356268321631E-2</v>
      </c>
      <c r="AO72" s="351">
        <f t="shared" si="70"/>
        <v>8.3999999999999993E-4</v>
      </c>
      <c r="AP72" s="351">
        <f>'Variable Management'!$B$346</f>
        <v>0.41183999999999998</v>
      </c>
      <c r="AQ72" s="351">
        <f t="shared" si="25"/>
        <v>0.36108727954971853</v>
      </c>
      <c r="AR72" s="351">
        <f t="shared" si="71"/>
        <v>0.35521199999999997</v>
      </c>
      <c r="AS72" s="351">
        <f t="shared" si="72"/>
        <v>0.41267999999999999</v>
      </c>
      <c r="AT72" s="351">
        <f t="shared" si="73"/>
        <v>2.7008523466993974</v>
      </c>
      <c r="AU72">
        <f t="shared" si="74"/>
        <v>10.395</v>
      </c>
      <c r="AV72" s="521">
        <f t="shared" si="46"/>
        <v>0.79376276738641571</v>
      </c>
      <c r="AW72" s="530">
        <f t="shared" si="75"/>
        <v>41.856194877089962</v>
      </c>
      <c r="AX72" s="530">
        <f t="shared" si="76"/>
        <v>9.1373507040363258</v>
      </c>
      <c r="AY72" s="9"/>
      <c r="AZ72" s="4">
        <f t="shared" si="47"/>
        <v>79.376276738641565</v>
      </c>
      <c r="BA72" s="351">
        <f t="shared" si="77"/>
        <v>0.9255469893192535</v>
      </c>
      <c r="BB72" s="351">
        <f t="shared" si="78"/>
        <v>1.22986638010305</v>
      </c>
      <c r="BC72" s="351">
        <f t="shared" si="79"/>
        <v>0.99657606850214187</v>
      </c>
      <c r="BD72" s="351">
        <f t="shared" si="80"/>
        <v>0.22843376760090817</v>
      </c>
      <c r="BE72" s="351">
        <f t="shared" si="81"/>
        <v>9.2358356268321631E-2</v>
      </c>
      <c r="BK72" s="18"/>
      <c r="BL72" s="19"/>
    </row>
    <row r="73" spans="1:64" x14ac:dyDescent="0.25">
      <c r="A73" s="32" t="s">
        <v>88</v>
      </c>
      <c r="B73" s="437">
        <f>(Qgd_Q1+Qgs_Q1/2)*(RdsonDRT+Rgate1)/(VCC-0.5-Vsp_Q1)*1000000000</f>
        <v>6.7916129032258059</v>
      </c>
      <c r="C73" s="21" t="s">
        <v>75</v>
      </c>
      <c r="D73" s="112" t="s">
        <v>496</v>
      </c>
      <c r="G73">
        <v>64</v>
      </c>
      <c r="H73" s="527">
        <f t="shared" ref="H73:H109" si="83">Vin</f>
        <v>24</v>
      </c>
      <c r="I73" s="4">
        <f t="shared" ref="I73:I109" si="84">MODE</f>
        <v>1</v>
      </c>
      <c r="J73" s="351">
        <f t="shared" si="82"/>
        <v>3.2</v>
      </c>
      <c r="K73" s="351">
        <f t="shared" ref="K73:K109" si="85">Iout*G73/100/Number_of_Phases</f>
        <v>3.2</v>
      </c>
      <c r="L73" s="4">
        <f t="shared" ref="L73:L104" si="86">Vout*K73/(Vin*Efficiency)</f>
        <v>0.48888888888888887</v>
      </c>
      <c r="M73" s="351">
        <f t="shared" ref="M73:M109" si="87">(Vout+(Rdson2+Rs+Rdcr)*K73)/(Vin+(Rs+Rdson2-Rdson1)*K73)</f>
        <v>0.14245813779863481</v>
      </c>
      <c r="N73" s="4">
        <f t="shared" ref="N73:N104" si="88">(Vin-(Rdson1+Rdcr)*K73-Vout)*M73/(Fsw*Lf)</f>
        <v>2.0194520261273139</v>
      </c>
      <c r="O73" s="4">
        <f t="shared" si="38"/>
        <v>4.2097260130636567</v>
      </c>
      <c r="P73" s="4">
        <f t="shared" si="39"/>
        <v>2.1902739869363432</v>
      </c>
      <c r="Q73" s="4">
        <f t="shared" ref="Q73:Q104" si="89">IF(MIN(Vin, -P73/(Coss_Q1+Coss_Q2)*0.00000002)&lt;0, 0, MIN(Vin, -P73/(Coss_Q1+Coss_Q2)*0.00000002))</f>
        <v>0</v>
      </c>
      <c r="R73" s="4">
        <f t="shared" si="40"/>
        <v>3.2526679624300949</v>
      </c>
      <c r="S73" s="351">
        <f t="shared" ref="S73:S104" si="90">R73^2*Rdcr</f>
        <v>0.26449622184547866</v>
      </c>
      <c r="T73" s="351">
        <f t="shared" ref="T73:T109" si="91">Core_Loss_Ch1</f>
        <v>0.65</v>
      </c>
      <c r="U73" s="351">
        <f t="shared" ref="U73:U104" si="92">(T73+S73*(1+Ltc*(Ta-25)))/(1-S73*Ltc*ThetaCa)</f>
        <v>0.93426498657766333</v>
      </c>
      <c r="V73" s="4">
        <f t="shared" si="41"/>
        <v>0.58296558545006993</v>
      </c>
      <c r="W73" s="351">
        <f t="shared" si="10"/>
        <v>3.3984887381914282E-4</v>
      </c>
      <c r="X73" s="351">
        <f t="shared" si="42"/>
        <v>3.3984887381914282E-4</v>
      </c>
      <c r="Y73" s="4">
        <f t="shared" si="43"/>
        <v>1.1368705816025888</v>
      </c>
      <c r="Z73" s="351">
        <f t="shared" si="11"/>
        <v>1.2924747193134086E-3</v>
      </c>
      <c r="AA73" s="520">
        <f t="shared" si="44"/>
        <v>1.2924747193134086E-3</v>
      </c>
      <c r="AB73" s="351">
        <f t="shared" si="45"/>
        <v>1.2276748628017351</v>
      </c>
      <c r="AC73" s="351">
        <f t="shared" ref="AC73:AC104" si="93">Rdson1*AB73^2</f>
        <v>1.7332634040685479E-2</v>
      </c>
      <c r="AD73" s="351">
        <f t="shared" ref="AD73:AD109" si="94">(Vin*K73/2)*Fsw*(Tr_buck+Tf_buck)</f>
        <v>0.12512091428571431</v>
      </c>
      <c r="AE73" s="351">
        <f t="shared" ref="AE73:AE109" si="95">(0.5*Coss_Q1*(Vin-Q73)^2-0.5*Coss_Q2*(Vin-Q73)^2+(Qoss_Q2*(Vin-Q73)/Vin)*Vin)*Fsw</f>
        <v>0.53416704000000004</v>
      </c>
      <c r="AF73" s="351">
        <f t="shared" ref="AF73:AF109" si="96">IF(K73&gt;N73/2,0,ABS(K73-N73/2)*Vsd_Q1*Deadtime2*Fsw)</f>
        <v>0</v>
      </c>
      <c r="AG73" s="351">
        <f t="shared" ref="AG73:AG104" si="97">(AF73+AE73+AD73+AC73*(1+RdsonTopTc*Ta-RdsonTopTc*25))/(1-AC73*RdsonTopTc*ThetaJA_Q1)</f>
        <v>0.67859658185043148</v>
      </c>
      <c r="AH73" s="351">
        <f t="shared" ref="AH73:AH109" si="98">SQRT((1-M73))*SQRT(K73^2+(N73^2)/12)</f>
        <v>3.0120862047862915</v>
      </c>
      <c r="AI73" s="351">
        <f t="shared" ref="AI73:AI104" si="99">Rdson2*AH73^2</f>
        <v>2.9939788906710823E-2</v>
      </c>
      <c r="AJ73" s="351">
        <f t="shared" ref="AJ73:AJ109" si="100">IF(K73&lt;N73/2,Deadtime1*Fsw*IF(VfdSky_Q2&gt;0,0,Vsd_Q2)*O73,(Deadtime1+Deadtime2)*Fsw*IF(VfdSky_Q2&gt;0,0,Vsd_Q2)*K73)</f>
        <v>3.9424000000000001E-2</v>
      </c>
      <c r="AK73" s="351">
        <f t="shared" ref="AK73:AK104" si="101">(AJ73+AI73*(1+RdsonBotTc*Ta-RdsonBotTc*25))/(1-AI73*RdsonBotTc*ThetaJA_Q2)</f>
        <v>6.9697666253096119E-2</v>
      </c>
      <c r="AL73" s="351">
        <f t="shared" ref="AL73:AL109" si="102">(Deadtime1+Deadtime2)*Fsw*IF(VfdSky_Q2&gt;0,VfdSky_Q2,Vsd_Q2)*K73</f>
        <v>3.9424000000000001E-2</v>
      </c>
      <c r="AM73" s="351">
        <f t="shared" ref="AM73:AM109" si="103">IF(QrrSky_Q2&gt;0,QrrSky_Q2,Qrr_Q2*K73/(Iout/Number_of_Phases))*Fsw*Vin</f>
        <v>0.4933632</v>
      </c>
      <c r="AN73" s="351">
        <f t="shared" ref="AN73:AN109" si="104">CHOOSE(SENSING_TYPE, Rs*R73^2, 0)</f>
        <v>9.5218639864372304E-2</v>
      </c>
      <c r="AO73" s="351">
        <f t="shared" ref="AO73:AO109" si="105">Iq*Vin</f>
        <v>8.3999999999999993E-4</v>
      </c>
      <c r="AP73" s="351">
        <f>'Variable Management'!$B$346</f>
        <v>0.41183999999999998</v>
      </c>
      <c r="AQ73" s="351">
        <f t="shared" ref="AQ73:AQ109" si="106">(Vin-VCC)*Fsw*(Qg_Q1+Qg_Q2)+(RdsonDRT+RdsonDRT2)*Fsw*Qg_Q1*VCC/(RdsonDRT+2*Rgate1+RdsonDRT2)+(RdsonDRB+RdsonDRB2)*Fsw*Qg_Q2*VCC/(RdsonDRB+2*Rgate2+RdsonDRB2)</f>
        <v>0.36108727954971853</v>
      </c>
      <c r="AR73" s="351">
        <f t="shared" ref="AR73:AR109" si="107">(Qg_Q1+Qg_Q2)*Fsw*(Vin-Vout)</f>
        <v>0.35521199999999997</v>
      </c>
      <c r="AS73" s="351">
        <f t="shared" si="72"/>
        <v>0.41267999999999999</v>
      </c>
      <c r="AT73" s="351">
        <f t="shared" ref="AT73:AT104" si="108" xml:space="preserve"> SUM(U73,X73,AA73,AG73,AK73,AL73,AM73,AS73,AN73)</f>
        <v>2.7248773981386956</v>
      </c>
      <c r="AU73">
        <f t="shared" ref="AU73:AU109" si="109">Vout*K73</f>
        <v>10.56</v>
      </c>
      <c r="AV73" s="521">
        <f t="shared" si="46"/>
        <v>0.79488878094422832</v>
      </c>
      <c r="AW73" s="530">
        <f t="shared" ref="AW73:AW109" si="110">ThetaJA_Q1*BC73</f>
        <v>42.177084341718128</v>
      </c>
      <c r="AX73" s="530">
        <f t="shared" ref="AX73:AX109" si="111">ThetaJA_Q2*BD73</f>
        <v>9.3003008901238449</v>
      </c>
      <c r="AY73" s="9"/>
      <c r="AZ73" s="4">
        <f t="shared" si="47"/>
        <v>79.48887809442283</v>
      </c>
      <c r="BA73" s="351">
        <f t="shared" ref="BA73:BA109" si="112">U73</f>
        <v>0.93426498657766333</v>
      </c>
      <c r="BB73" s="351">
        <f t="shared" si="78"/>
        <v>1.2416574481035276</v>
      </c>
      <c r="BC73" s="351">
        <f t="shared" si="79"/>
        <v>1.0042162938504315</v>
      </c>
      <c r="BD73" s="351">
        <f t="shared" si="80"/>
        <v>0.23250752225309612</v>
      </c>
      <c r="BE73" s="351">
        <f t="shared" si="81"/>
        <v>9.5218639864372304E-2</v>
      </c>
      <c r="BK73" s="18"/>
      <c r="BL73" s="19"/>
    </row>
    <row r="74" spans="1:64" x14ac:dyDescent="0.25">
      <c r="A74" s="33" t="s">
        <v>89</v>
      </c>
      <c r="B74" s="437">
        <f>(Qgd_Q1+Qgs_Q1/2)*(RdsonDRT2+Rgate1)/(Vsp_Q1)*1000000000</f>
        <v>2.3925000000000001</v>
      </c>
      <c r="C74" s="21" t="s">
        <v>75</v>
      </c>
      <c r="D74" s="112" t="s">
        <v>497</v>
      </c>
      <c r="G74">
        <v>65</v>
      </c>
      <c r="H74" s="527">
        <f t="shared" si="83"/>
        <v>24</v>
      </c>
      <c r="I74" s="4">
        <f t="shared" si="84"/>
        <v>1</v>
      </c>
      <c r="J74" s="351">
        <f t="shared" ref="J74:J109" si="113">Iout*G74/100</f>
        <v>3.25</v>
      </c>
      <c r="K74" s="351">
        <f t="shared" si="85"/>
        <v>3.25</v>
      </c>
      <c r="L74" s="4">
        <f t="shared" si="86"/>
        <v>0.49652777777777773</v>
      </c>
      <c r="M74" s="351">
        <f t="shared" si="87"/>
        <v>0.1425356003099664</v>
      </c>
      <c r="N74" s="4">
        <f t="shared" si="88"/>
        <v>2.0203709647586328</v>
      </c>
      <c r="O74" s="4">
        <f t="shared" ref="O74:O109" si="114">K74+N74/2</f>
        <v>4.2601854823793168</v>
      </c>
      <c r="P74" s="4">
        <f t="shared" ref="P74:P109" si="115">K74-N74/2</f>
        <v>2.2398145176206836</v>
      </c>
      <c r="Q74" s="4">
        <f t="shared" si="89"/>
        <v>0</v>
      </c>
      <c r="R74" s="4">
        <f t="shared" ref="R74:R109" si="116">SQRT(K74^2+(N74^2)/12)</f>
        <v>3.3019173575772571</v>
      </c>
      <c r="S74" s="351">
        <f t="shared" si="90"/>
        <v>0.27256645590674944</v>
      </c>
      <c r="T74" s="351">
        <f t="shared" si="91"/>
        <v>0.65</v>
      </c>
      <c r="U74" s="351">
        <f t="shared" si="92"/>
        <v>0.94313174201672201</v>
      </c>
      <c r="V74" s="4">
        <f t="shared" ref="V74:V109" si="117">N74/SQRT(12)</f>
        <v>0.58323086018315029</v>
      </c>
      <c r="W74" s="351">
        <f t="shared" ref="W74:W109" si="118">RCoutEsr*V74^2</f>
        <v>3.401582362699774E-4</v>
      </c>
      <c r="X74" s="351">
        <f t="shared" ref="X74:X109" si="119">W74</f>
        <v>3.401582362699774E-4</v>
      </c>
      <c r="Y74" s="4">
        <f t="shared" ref="Y74:Y109" si="120">SQRT(M74*(1-M74))*SQRT(K74^2+(N74^2)/12)</f>
        <v>1.1543457886263713</v>
      </c>
      <c r="Z74" s="351">
        <f t="shared" ref="Z74:Z109" si="121">RCinEsr*Y74^2</f>
        <v>1.332514199719439E-3</v>
      </c>
      <c r="AA74" s="520">
        <f t="shared" ref="AA74:AA109" si="122">Z74</f>
        <v>1.332514199719439E-3</v>
      </c>
      <c r="AB74" s="351">
        <f t="shared" ref="AB74:AB109" si="123">SQRT(M74)*SQRT(K74^2+(N74^2)/12)</f>
        <v>1.246602156536375</v>
      </c>
      <c r="AC74" s="351">
        <f t="shared" si="93"/>
        <v>1.7871194771833118E-2</v>
      </c>
      <c r="AD74" s="351">
        <f t="shared" si="94"/>
        <v>0.12707592857142858</v>
      </c>
      <c r="AE74" s="351">
        <f t="shared" si="95"/>
        <v>0.53416704000000004</v>
      </c>
      <c r="AF74" s="351">
        <f t="shared" si="96"/>
        <v>0</v>
      </c>
      <c r="AG74" s="351">
        <f t="shared" si="97"/>
        <v>0.6811592491180144</v>
      </c>
      <c r="AH74" s="351">
        <f t="shared" si="98"/>
        <v>3.0575547909381502</v>
      </c>
      <c r="AI74" s="351">
        <f t="shared" si="99"/>
        <v>3.0850516288643159E-2</v>
      </c>
      <c r="AJ74" s="351">
        <f t="shared" si="100"/>
        <v>4.0039999999999999E-2</v>
      </c>
      <c r="AK74" s="351">
        <f t="shared" si="101"/>
        <v>7.1242173542291926E-2</v>
      </c>
      <c r="AL74" s="351">
        <f t="shared" si="102"/>
        <v>4.0039999999999999E-2</v>
      </c>
      <c r="AM74" s="351">
        <f t="shared" si="103"/>
        <v>0.50107199999999996</v>
      </c>
      <c r="AN74" s="351">
        <f t="shared" si="104"/>
        <v>9.8123924126429785E-2</v>
      </c>
      <c r="AO74" s="351">
        <f t="shared" si="105"/>
        <v>8.3999999999999993E-4</v>
      </c>
      <c r="AP74" s="351">
        <f>'Variable Management'!$B$346</f>
        <v>0.41183999999999998</v>
      </c>
      <c r="AQ74" s="351">
        <f t="shared" si="106"/>
        <v>0.36108727954971853</v>
      </c>
      <c r="AR74" s="351">
        <f t="shared" si="107"/>
        <v>0.35521199999999997</v>
      </c>
      <c r="AS74" s="351">
        <f t="shared" si="72"/>
        <v>0.41267999999999999</v>
      </c>
      <c r="AT74" s="351">
        <f t="shared" si="108"/>
        <v>2.7491217612394476</v>
      </c>
      <c r="AU74">
        <f t="shared" si="109"/>
        <v>10.725</v>
      </c>
      <c r="AV74" s="521">
        <f t="shared" ref="AV74:AV109" si="124">AU74/(AU74+AT74)</f>
        <v>0.79597024504055225</v>
      </c>
      <c r="AW74" s="530">
        <f t="shared" si="110"/>
        <v>42.498404302956601</v>
      </c>
      <c r="AX74" s="530">
        <f t="shared" si="111"/>
        <v>9.4638373416916757</v>
      </c>
      <c r="AY74" s="9"/>
      <c r="AZ74" s="4">
        <f t="shared" ref="AZ74:AZ109" si="125">AV74*100</f>
        <v>79.597024504055227</v>
      </c>
      <c r="BA74" s="351">
        <f t="shared" si="112"/>
        <v>0.94313174201672201</v>
      </c>
      <c r="BB74" s="351">
        <f t="shared" ref="BB74:BB109" si="126">AG74+AK74+AM74</f>
        <v>1.2534734226603064</v>
      </c>
      <c r="BC74" s="351">
        <f t="shared" ref="BC74:BC109" si="127">AG74+AM74*0.66</f>
        <v>1.0118667691180143</v>
      </c>
      <c r="BD74" s="351">
        <f t="shared" ref="BD74:BD109" si="128">AK74+AM74*0.33</f>
        <v>0.23659593354229191</v>
      </c>
      <c r="BE74" s="351">
        <f t="shared" ref="BE74:BE109" si="129">AN74</f>
        <v>9.8123924126429785E-2</v>
      </c>
      <c r="BK74" s="18"/>
      <c r="BL74" s="19"/>
    </row>
    <row r="75" spans="1:64" x14ac:dyDescent="0.25">
      <c r="A75" s="14" t="s">
        <v>114</v>
      </c>
      <c r="B75" s="15" t="s">
        <v>7</v>
      </c>
      <c r="C75" s="17" t="s">
        <v>76</v>
      </c>
      <c r="G75">
        <v>66</v>
      </c>
      <c r="H75" s="527">
        <f t="shared" si="83"/>
        <v>24</v>
      </c>
      <c r="I75" s="4">
        <f t="shared" si="84"/>
        <v>1</v>
      </c>
      <c r="J75" s="351">
        <f t="shared" si="113"/>
        <v>3.3</v>
      </c>
      <c r="K75" s="351">
        <f t="shared" si="85"/>
        <v>3.3</v>
      </c>
      <c r="L75" s="4">
        <f t="shared" si="86"/>
        <v>0.50416666666666654</v>
      </c>
      <c r="M75" s="351">
        <f t="shared" si="87"/>
        <v>0.14261306256311804</v>
      </c>
      <c r="N75" s="4">
        <f t="shared" si="88"/>
        <v>2.0212897050074488</v>
      </c>
      <c r="O75" s="4">
        <f t="shared" si="114"/>
        <v>4.3106448525037244</v>
      </c>
      <c r="P75" s="4">
        <f t="shared" si="115"/>
        <v>2.2893551474962752</v>
      </c>
      <c r="Q75" s="4">
        <f t="shared" si="89"/>
        <v>0</v>
      </c>
      <c r="R75" s="4">
        <f t="shared" si="116"/>
        <v>3.3511889938693038</v>
      </c>
      <c r="S75" s="351">
        <f t="shared" si="90"/>
        <v>0.28076169181576893</v>
      </c>
      <c r="T75" s="351">
        <f t="shared" si="91"/>
        <v>0.65</v>
      </c>
      <c r="U75" s="351">
        <f t="shared" si="92"/>
        <v>0.95214782249598273</v>
      </c>
      <c r="V75" s="4">
        <f t="shared" si="117"/>
        <v>0.58349607764813494</v>
      </c>
      <c r="W75" s="351">
        <f t="shared" si="118"/>
        <v>3.4046767263075833E-4</v>
      </c>
      <c r="X75" s="351">
        <f t="shared" si="119"/>
        <v>3.4046767263075833E-4</v>
      </c>
      <c r="Y75" s="4">
        <f t="shared" si="120"/>
        <v>1.1718364577089275</v>
      </c>
      <c r="Z75" s="351">
        <f t="shared" si="121"/>
        <v>1.3732006836158072E-3</v>
      </c>
      <c r="AA75" s="520">
        <f t="shared" si="122"/>
        <v>1.3732006836158072E-3</v>
      </c>
      <c r="AB75" s="351">
        <f t="shared" si="123"/>
        <v>1.2655478611297024</v>
      </c>
      <c r="AC75" s="351">
        <f t="shared" si="93"/>
        <v>1.8418530971314594E-2</v>
      </c>
      <c r="AD75" s="351">
        <f t="shared" si="94"/>
        <v>0.12903094285714284</v>
      </c>
      <c r="AE75" s="351">
        <f t="shared" si="95"/>
        <v>0.53416704000000004</v>
      </c>
      <c r="AF75" s="351">
        <f t="shared" si="96"/>
        <v>0</v>
      </c>
      <c r="AG75" s="351">
        <f t="shared" si="97"/>
        <v>0.68373219538808661</v>
      </c>
      <c r="AH75" s="351">
        <f t="shared" si="98"/>
        <v>3.1030398456708208</v>
      </c>
      <c r="AI75" s="351">
        <f t="shared" si="99"/>
        <v>3.1775225736608612E-2</v>
      </c>
      <c r="AJ75" s="351">
        <f t="shared" si="100"/>
        <v>4.0655999999999998E-2</v>
      </c>
      <c r="AK75" s="351">
        <f t="shared" si="101"/>
        <v>7.2801350431631814E-2</v>
      </c>
      <c r="AL75" s="351">
        <f t="shared" si="102"/>
        <v>4.0655999999999998E-2</v>
      </c>
      <c r="AM75" s="351">
        <f t="shared" si="103"/>
        <v>0.50878079999999992</v>
      </c>
      <c r="AN75" s="351">
        <f t="shared" si="104"/>
        <v>0.10107420905367681</v>
      </c>
      <c r="AO75" s="351">
        <f t="shared" si="105"/>
        <v>8.3999999999999993E-4</v>
      </c>
      <c r="AP75" s="351">
        <f>'Variable Management'!$B$346</f>
        <v>0.41183999999999998</v>
      </c>
      <c r="AQ75" s="351">
        <f t="shared" si="106"/>
        <v>0.36108727954971853</v>
      </c>
      <c r="AR75" s="351">
        <f t="shared" si="107"/>
        <v>0.35521199999999997</v>
      </c>
      <c r="AS75" s="351">
        <f t="shared" ref="AS75:AS109" si="130">SUM(AO75:AP75)</f>
        <v>0.41267999999999999</v>
      </c>
      <c r="AT75" s="351">
        <f t="shared" si="108"/>
        <v>2.7735860457256245</v>
      </c>
      <c r="AU75">
        <f t="shared" si="109"/>
        <v>10.889999999999999</v>
      </c>
      <c r="AV75" s="521">
        <f t="shared" si="124"/>
        <v>0.79700892310088067</v>
      </c>
      <c r="AW75" s="530">
        <f t="shared" si="110"/>
        <v>42.820155982299632</v>
      </c>
      <c r="AX75" s="530">
        <f t="shared" si="111"/>
        <v>9.6279605772652701</v>
      </c>
      <c r="AY75" s="9"/>
      <c r="AZ75" s="4">
        <f t="shared" si="125"/>
        <v>79.700892310088065</v>
      </c>
      <c r="BA75" s="351">
        <f t="shared" si="112"/>
        <v>0.95214782249598273</v>
      </c>
      <c r="BB75" s="351">
        <f t="shared" si="126"/>
        <v>1.2653143458197182</v>
      </c>
      <c r="BC75" s="351">
        <f t="shared" si="127"/>
        <v>1.0195275233880865</v>
      </c>
      <c r="BD75" s="351">
        <f t="shared" si="128"/>
        <v>0.24069901443163177</v>
      </c>
      <c r="BE75" s="351">
        <f t="shared" si="129"/>
        <v>0.10107420905367681</v>
      </c>
      <c r="BK75" s="18"/>
      <c r="BL75" s="19"/>
    </row>
    <row r="76" spans="1:64" x14ac:dyDescent="0.25">
      <c r="A76" s="34" t="s">
        <v>115</v>
      </c>
      <c r="B76" s="576">
        <f>AS9</f>
        <v>0.41267999999999999</v>
      </c>
      <c r="C76" s="76" t="s">
        <v>116</v>
      </c>
      <c r="G76">
        <v>67</v>
      </c>
      <c r="H76" s="527">
        <f t="shared" si="83"/>
        <v>24</v>
      </c>
      <c r="I76" s="4">
        <f t="shared" si="84"/>
        <v>1</v>
      </c>
      <c r="J76" s="351">
        <f t="shared" si="113"/>
        <v>3.35</v>
      </c>
      <c r="K76" s="351">
        <f t="shared" si="85"/>
        <v>3.35</v>
      </c>
      <c r="L76" s="4">
        <f t="shared" si="86"/>
        <v>0.51180555555555551</v>
      </c>
      <c r="M76" s="351">
        <f t="shared" si="87"/>
        <v>0.142690524558091</v>
      </c>
      <c r="N76" s="4">
        <f t="shared" si="88"/>
        <v>2.0222082468747544</v>
      </c>
      <c r="O76" s="4">
        <f t="shared" si="114"/>
        <v>4.3611041234373769</v>
      </c>
      <c r="P76" s="4">
        <f t="shared" si="115"/>
        <v>2.3388958765626229</v>
      </c>
      <c r="Q76" s="4">
        <f t="shared" si="89"/>
        <v>0</v>
      </c>
      <c r="R76" s="4">
        <f t="shared" si="116"/>
        <v>3.4004819044968744</v>
      </c>
      <c r="S76" s="351">
        <f t="shared" si="90"/>
        <v>0.28908192957026729</v>
      </c>
      <c r="T76" s="351">
        <f t="shared" si="91"/>
        <v>0.65</v>
      </c>
      <c r="U76" s="351">
        <f t="shared" si="92"/>
        <v>0.96131380555690138</v>
      </c>
      <c r="V76" s="4">
        <f t="shared" si="117"/>
        <v>0.58376123784531031</v>
      </c>
      <c r="W76" s="351">
        <f t="shared" si="118"/>
        <v>3.4077718281068896E-4</v>
      </c>
      <c r="X76" s="351">
        <f t="shared" si="119"/>
        <v>3.4077718281068896E-4</v>
      </c>
      <c r="Y76" s="4">
        <f t="shared" si="120"/>
        <v>1.1893422508393119</v>
      </c>
      <c r="Z76" s="351">
        <f t="shared" si="121"/>
        <v>1.4145349896315207E-3</v>
      </c>
      <c r="AA76" s="520">
        <f t="shared" si="122"/>
        <v>1.4145349896315207E-3</v>
      </c>
      <c r="AB76" s="351">
        <f t="shared" si="123"/>
        <v>1.2845116141264983</v>
      </c>
      <c r="AC76" s="351">
        <f t="shared" si="93"/>
        <v>1.8974655998497413E-2</v>
      </c>
      <c r="AD76" s="351">
        <f t="shared" si="94"/>
        <v>0.13098595714285716</v>
      </c>
      <c r="AE76" s="351">
        <f t="shared" si="95"/>
        <v>0.53416704000000004</v>
      </c>
      <c r="AF76" s="351">
        <f t="shared" si="96"/>
        <v>0</v>
      </c>
      <c r="AG76" s="351">
        <f t="shared" si="97"/>
        <v>0.68631544986873039</v>
      </c>
      <c r="AH76" s="351">
        <f t="shared" si="98"/>
        <v>3.1485404707554308</v>
      </c>
      <c r="AI76" s="351">
        <f t="shared" si="99"/>
        <v>3.2713913416749937E-2</v>
      </c>
      <c r="AJ76" s="351">
        <f t="shared" si="100"/>
        <v>4.1271999999999996E-2</v>
      </c>
      <c r="AK76" s="351">
        <f t="shared" si="101"/>
        <v>7.4375210086047139E-2</v>
      </c>
      <c r="AL76" s="351">
        <f t="shared" si="102"/>
        <v>4.1271999999999996E-2</v>
      </c>
      <c r="AM76" s="351">
        <f t="shared" si="103"/>
        <v>0.51648959999999999</v>
      </c>
      <c r="AN76" s="351">
        <f t="shared" si="104"/>
        <v>0.1040694946452962</v>
      </c>
      <c r="AO76" s="351">
        <f t="shared" si="105"/>
        <v>8.3999999999999993E-4</v>
      </c>
      <c r="AP76" s="351">
        <f>'Variable Management'!$B$346</f>
        <v>0.41183999999999998</v>
      </c>
      <c r="AQ76" s="351">
        <f t="shared" si="106"/>
        <v>0.36108727954971853</v>
      </c>
      <c r="AR76" s="351">
        <f t="shared" si="107"/>
        <v>0.35521199999999997</v>
      </c>
      <c r="AS76" s="351">
        <f t="shared" si="130"/>
        <v>0.41267999999999999</v>
      </c>
      <c r="AT76" s="351">
        <f t="shared" si="108"/>
        <v>2.7982708723294172</v>
      </c>
      <c r="AU76">
        <f t="shared" si="109"/>
        <v>11.055</v>
      </c>
      <c r="AV76" s="521">
        <f t="shared" si="124"/>
        <v>0.79800648539120844</v>
      </c>
      <c r="AW76" s="530">
        <f t="shared" si="110"/>
        <v>43.142340606486677</v>
      </c>
      <c r="AX76" s="530">
        <f t="shared" si="111"/>
        <v>9.7926711234418864</v>
      </c>
      <c r="AY76" s="9"/>
      <c r="AZ76" s="4">
        <f t="shared" si="125"/>
        <v>79.800648539120843</v>
      </c>
      <c r="BA76" s="351">
        <f t="shared" si="112"/>
        <v>0.96131380555690138</v>
      </c>
      <c r="BB76" s="351">
        <f t="shared" si="126"/>
        <v>1.2771802599547777</v>
      </c>
      <c r="BC76" s="351">
        <f t="shared" si="127"/>
        <v>1.0271985858687305</v>
      </c>
      <c r="BD76" s="351">
        <f t="shared" si="128"/>
        <v>0.24481677808604715</v>
      </c>
      <c r="BE76" s="351">
        <f t="shared" si="129"/>
        <v>0.1040694946452962</v>
      </c>
      <c r="BK76" s="18"/>
      <c r="BL76" s="19"/>
    </row>
    <row r="77" spans="1:64" x14ac:dyDescent="0.25">
      <c r="A77" s="34" t="s">
        <v>119</v>
      </c>
      <c r="B77" s="577">
        <f>B76*B63</f>
        <v>12.3804</v>
      </c>
      <c r="C77" s="427" t="s">
        <v>453</v>
      </c>
      <c r="G77">
        <v>68</v>
      </c>
      <c r="H77" s="527">
        <f t="shared" si="83"/>
        <v>24</v>
      </c>
      <c r="I77" s="4">
        <f t="shared" si="84"/>
        <v>1</v>
      </c>
      <c r="J77" s="351">
        <f t="shared" si="113"/>
        <v>3.4</v>
      </c>
      <c r="K77" s="351">
        <f t="shared" si="85"/>
        <v>3.4</v>
      </c>
      <c r="L77" s="4">
        <f t="shared" si="86"/>
        <v>0.51944444444444438</v>
      </c>
      <c r="M77" s="351">
        <f t="shared" si="87"/>
        <v>0.14276798629488657</v>
      </c>
      <c r="N77" s="4">
        <f t="shared" si="88"/>
        <v>2.0231265903615405</v>
      </c>
      <c r="O77" s="4">
        <f t="shared" si="114"/>
        <v>4.4115632951807697</v>
      </c>
      <c r="P77" s="4">
        <f t="shared" si="115"/>
        <v>2.3884367048192297</v>
      </c>
      <c r="Q77" s="4">
        <f t="shared" si="89"/>
        <v>0</v>
      </c>
      <c r="R77" s="4">
        <f t="shared" si="116"/>
        <v>3.4497951775024256</v>
      </c>
      <c r="S77" s="351">
        <f t="shared" si="90"/>
        <v>0.29752716916797478</v>
      </c>
      <c r="T77" s="351">
        <f t="shared" si="91"/>
        <v>0.65</v>
      </c>
      <c r="U77" s="351">
        <f t="shared" si="92"/>
        <v>0.9706302795178684</v>
      </c>
      <c r="V77" s="4">
        <f t="shared" si="117"/>
        <v>0.58402634077496263</v>
      </c>
      <c r="W77" s="351">
        <f t="shared" si="118"/>
        <v>3.4108676671899281E-4</v>
      </c>
      <c r="X77" s="351">
        <f t="shared" si="119"/>
        <v>3.4108676671899281E-4</v>
      </c>
      <c r="Y77" s="4">
        <f t="shared" si="120"/>
        <v>1.2068628488897017</v>
      </c>
      <c r="Z77" s="351">
        <f t="shared" si="121"/>
        <v>1.4565179360301671E-3</v>
      </c>
      <c r="AA77" s="520">
        <f t="shared" si="122"/>
        <v>1.4565179360301671E-3</v>
      </c>
      <c r="AB77" s="351">
        <f t="shared" si="123"/>
        <v>1.3034930734013099</v>
      </c>
      <c r="AC77" s="351">
        <f t="shared" si="93"/>
        <v>1.9539583212659715E-2</v>
      </c>
      <c r="AD77" s="351">
        <f t="shared" si="94"/>
        <v>0.13294097142857142</v>
      </c>
      <c r="AE77" s="351">
        <f t="shared" si="95"/>
        <v>0.53416704000000004</v>
      </c>
      <c r="AF77" s="351">
        <f t="shared" si="96"/>
        <v>0</v>
      </c>
      <c r="AG77" s="351">
        <f t="shared" si="97"/>
        <v>0.68890904189363689</v>
      </c>
      <c r="AH77" s="351">
        <f t="shared" si="98"/>
        <v>3.1940558189101518</v>
      </c>
      <c r="AI77" s="351">
        <f t="shared" si="99"/>
        <v>3.3666575495235544E-2</v>
      </c>
      <c r="AJ77" s="351">
        <f t="shared" si="100"/>
        <v>4.1887999999999995E-2</v>
      </c>
      <c r="AK77" s="351">
        <f t="shared" si="101"/>
        <v>7.5963765872620007E-2</v>
      </c>
      <c r="AL77" s="351">
        <f t="shared" si="102"/>
        <v>4.1887999999999995E-2</v>
      </c>
      <c r="AM77" s="351">
        <f t="shared" si="103"/>
        <v>0.52419839999999995</v>
      </c>
      <c r="AN77" s="351">
        <f t="shared" si="104"/>
        <v>0.10710978090047092</v>
      </c>
      <c r="AO77" s="351">
        <f t="shared" si="105"/>
        <v>8.3999999999999993E-4</v>
      </c>
      <c r="AP77" s="351">
        <f>'Variable Management'!$B$346</f>
        <v>0.41183999999999998</v>
      </c>
      <c r="AQ77" s="351">
        <f t="shared" si="106"/>
        <v>0.36108727954971853</v>
      </c>
      <c r="AR77" s="351">
        <f t="shared" si="107"/>
        <v>0.35521199999999997</v>
      </c>
      <c r="AS77" s="351">
        <f t="shared" si="130"/>
        <v>0.41267999999999999</v>
      </c>
      <c r="AT77" s="351">
        <f t="shared" si="108"/>
        <v>2.8231768728873452</v>
      </c>
      <c r="AU77">
        <f t="shared" si="109"/>
        <v>11.219999999999999</v>
      </c>
      <c r="AV77" s="521">
        <f t="shared" si="124"/>
        <v>0.79896451504944366</v>
      </c>
      <c r="AW77" s="530">
        <f t="shared" si="110"/>
        <v>43.464959407532746</v>
      </c>
      <c r="AX77" s="530">
        <f t="shared" si="111"/>
        <v>9.9579695149048</v>
      </c>
      <c r="AY77" s="9"/>
      <c r="AZ77" s="4">
        <f t="shared" si="125"/>
        <v>79.896451504944366</v>
      </c>
      <c r="BA77" s="351">
        <f t="shared" si="112"/>
        <v>0.9706302795178684</v>
      </c>
      <c r="BB77" s="351">
        <f t="shared" si="126"/>
        <v>1.2890712077662569</v>
      </c>
      <c r="BC77" s="351">
        <f t="shared" si="127"/>
        <v>1.0348799858936368</v>
      </c>
      <c r="BD77" s="351">
        <f t="shared" si="128"/>
        <v>0.24894923787262002</v>
      </c>
      <c r="BE77" s="351">
        <f t="shared" si="129"/>
        <v>0.10710978090047092</v>
      </c>
      <c r="BK77" s="18"/>
      <c r="BL77" s="19"/>
    </row>
    <row r="78" spans="1:64" x14ac:dyDescent="0.25">
      <c r="A78" s="34" t="s">
        <v>207</v>
      </c>
      <c r="B78" s="577">
        <f>(Qg_Q1+Qg_Q2)*Fsw+Iq</f>
        <v>1.7194999999999998E-2</v>
      </c>
      <c r="C78" s="21" t="s">
        <v>1</v>
      </c>
      <c r="G78">
        <v>69</v>
      </c>
      <c r="H78" s="527">
        <f t="shared" si="83"/>
        <v>24</v>
      </c>
      <c r="I78" s="4">
        <f t="shared" si="84"/>
        <v>1</v>
      </c>
      <c r="J78" s="351">
        <f t="shared" si="113"/>
        <v>3.45</v>
      </c>
      <c r="K78" s="351">
        <f t="shared" si="85"/>
        <v>3.45</v>
      </c>
      <c r="L78" s="4">
        <f t="shared" si="86"/>
        <v>0.52708333333333324</v>
      </c>
      <c r="M78" s="351">
        <f t="shared" si="87"/>
        <v>0.14284544777350605</v>
      </c>
      <c r="N78" s="4">
        <f t="shared" si="88"/>
        <v>2.0240447354687991</v>
      </c>
      <c r="O78" s="4">
        <f t="shared" si="114"/>
        <v>4.4620223677343995</v>
      </c>
      <c r="P78" s="4">
        <f t="shared" si="115"/>
        <v>2.4379776322656008</v>
      </c>
      <c r="Q78" s="4">
        <f t="shared" si="89"/>
        <v>0</v>
      </c>
      <c r="R78" s="4">
        <f t="shared" si="116"/>
        <v>3.4991279519710212</v>
      </c>
      <c r="S78" s="351">
        <f t="shared" si="90"/>
        <v>0.30609741060662288</v>
      </c>
      <c r="T78" s="351">
        <f t="shared" si="91"/>
        <v>0.65</v>
      </c>
      <c r="U78" s="351">
        <f t="shared" si="92"/>
        <v>0.98009784357128737</v>
      </c>
      <c r="V78" s="4">
        <f t="shared" si="117"/>
        <v>0.5842913864373781</v>
      </c>
      <c r="W78" s="351">
        <f t="shared" si="118"/>
        <v>3.4139642426491351E-4</v>
      </c>
      <c r="X78" s="351">
        <f t="shared" si="119"/>
        <v>3.4139642426491351E-4</v>
      </c>
      <c r="Y78" s="4">
        <f t="shared" si="120"/>
        <v>1.224397950304523</v>
      </c>
      <c r="Z78" s="351">
        <f t="shared" si="121"/>
        <v>1.4991503407099172E-3</v>
      </c>
      <c r="AA78" s="520">
        <f t="shared" si="122"/>
        <v>1.4991503407099172E-3</v>
      </c>
      <c r="AB78" s="351">
        <f t="shared" si="123"/>
        <v>1.322491915747144</v>
      </c>
      <c r="AC78" s="351">
        <f t="shared" si="93"/>
        <v>2.0113325972990335E-2</v>
      </c>
      <c r="AD78" s="351">
        <f t="shared" si="94"/>
        <v>0.13489598571428574</v>
      </c>
      <c r="AE78" s="351">
        <f t="shared" si="95"/>
        <v>0.53416704000000004</v>
      </c>
      <c r="AF78" s="351">
        <f t="shared" si="96"/>
        <v>0</v>
      </c>
      <c r="AG78" s="351">
        <f t="shared" si="97"/>
        <v>0.69151300092283252</v>
      </c>
      <c r="AH78" s="351">
        <f t="shared" si="98"/>
        <v>3.2395850902620791</v>
      </c>
      <c r="AI78" s="351">
        <f t="shared" si="99"/>
        <v>3.4633208138259597E-2</v>
      </c>
      <c r="AJ78" s="351">
        <f t="shared" si="100"/>
        <v>4.2504E-2</v>
      </c>
      <c r="AK78" s="351">
        <f t="shared" si="101"/>
        <v>7.7567031360946087E-2</v>
      </c>
      <c r="AL78" s="351">
        <f t="shared" si="102"/>
        <v>4.2504E-2</v>
      </c>
      <c r="AM78" s="351">
        <f t="shared" si="103"/>
        <v>0.53190720000000002</v>
      </c>
      <c r="AN78" s="351">
        <f t="shared" si="104"/>
        <v>0.11019506781838422</v>
      </c>
      <c r="AO78" s="351">
        <f t="shared" si="105"/>
        <v>8.3999999999999993E-4</v>
      </c>
      <c r="AP78" s="351">
        <f>'Variable Management'!$B$346</f>
        <v>0.41183999999999998</v>
      </c>
      <c r="AQ78" s="351">
        <f t="shared" si="106"/>
        <v>0.36108727954971853</v>
      </c>
      <c r="AR78" s="351">
        <f t="shared" si="107"/>
        <v>0.35521199999999997</v>
      </c>
      <c r="AS78" s="351">
        <f t="shared" si="130"/>
        <v>0.41267999999999999</v>
      </c>
      <c r="AT78" s="351">
        <f t="shared" si="108"/>
        <v>2.8483046904384248</v>
      </c>
      <c r="AU78">
        <f t="shared" si="109"/>
        <v>11.385</v>
      </c>
      <c r="AV78" s="521">
        <f t="shared" si="124"/>
        <v>0.79988451365396229</v>
      </c>
      <c r="AW78" s="530">
        <f t="shared" si="110"/>
        <v>43.788013622758974</v>
      </c>
      <c r="AX78" s="530">
        <f t="shared" si="111"/>
        <v>10.123856294437843</v>
      </c>
      <c r="AY78" s="9"/>
      <c r="AZ78" s="4">
        <f t="shared" si="125"/>
        <v>79.98845136539623</v>
      </c>
      <c r="BA78" s="351">
        <f t="shared" si="112"/>
        <v>0.98009784357128737</v>
      </c>
      <c r="BB78" s="351">
        <f t="shared" si="126"/>
        <v>1.3009872322837785</v>
      </c>
      <c r="BC78" s="351">
        <f t="shared" si="127"/>
        <v>1.0425717529228327</v>
      </c>
      <c r="BD78" s="351">
        <f t="shared" si="128"/>
        <v>0.25309640736094607</v>
      </c>
      <c r="BE78" s="351">
        <f t="shared" si="129"/>
        <v>0.11019506781838422</v>
      </c>
      <c r="BK78" s="18"/>
      <c r="BL78" s="19"/>
    </row>
    <row r="79" spans="1:64" x14ac:dyDescent="0.25">
      <c r="A79" s="34" t="s">
        <v>208</v>
      </c>
      <c r="B79" s="578">
        <f>Qrr_Q2*Fsw</f>
        <v>3.2120000000000003E-2</v>
      </c>
      <c r="C79" s="21" t="s">
        <v>1</v>
      </c>
      <c r="G79">
        <v>70</v>
      </c>
      <c r="H79" s="527">
        <f t="shared" si="83"/>
        <v>24</v>
      </c>
      <c r="I79" s="4">
        <f t="shared" si="84"/>
        <v>1</v>
      </c>
      <c r="J79" s="351">
        <f t="shared" si="113"/>
        <v>3.5</v>
      </c>
      <c r="K79" s="351">
        <f t="shared" si="85"/>
        <v>3.5</v>
      </c>
      <c r="L79" s="4">
        <f t="shared" si="86"/>
        <v>0.5347222222222221</v>
      </c>
      <c r="M79" s="351">
        <f t="shared" si="87"/>
        <v>0.14292290899395069</v>
      </c>
      <c r="N79" s="4">
        <f t="shared" si="88"/>
        <v>2.024962682197522</v>
      </c>
      <c r="O79" s="4">
        <f t="shared" si="114"/>
        <v>4.512481341098761</v>
      </c>
      <c r="P79" s="4">
        <f t="shared" si="115"/>
        <v>2.487518658901239</v>
      </c>
      <c r="Q79" s="4">
        <f t="shared" si="89"/>
        <v>0</v>
      </c>
      <c r="R79" s="4">
        <f t="shared" si="116"/>
        <v>3.5484794145320491</v>
      </c>
      <c r="S79" s="351">
        <f t="shared" si="90"/>
        <v>0.3147926538839429</v>
      </c>
      <c r="T79" s="351">
        <f t="shared" si="91"/>
        <v>0.65</v>
      </c>
      <c r="U79" s="351">
        <f t="shared" si="92"/>
        <v>0.98971710788272227</v>
      </c>
      <c r="V79" s="4">
        <f t="shared" si="117"/>
        <v>0.58455637483284295</v>
      </c>
      <c r="W79" s="351">
        <f t="shared" si="118"/>
        <v>3.4170615535771519E-4</v>
      </c>
      <c r="X79" s="351">
        <f t="shared" si="119"/>
        <v>3.4170615535771519E-4</v>
      </c>
      <c r="Y79" s="4">
        <f t="shared" si="120"/>
        <v>1.2419472698965646</v>
      </c>
      <c r="Z79" s="351">
        <f t="shared" si="121"/>
        <v>1.5424330212035302E-3</v>
      </c>
      <c r="AA79" s="520">
        <f t="shared" si="122"/>
        <v>1.5424330212035302E-3</v>
      </c>
      <c r="AB79" s="351">
        <f t="shared" si="123"/>
        <v>1.3415078355793375</v>
      </c>
      <c r="AC79" s="351">
        <f t="shared" si="93"/>
        <v>2.0695897638588725E-2</v>
      </c>
      <c r="AD79" s="351">
        <f t="shared" si="94"/>
        <v>0.136851</v>
      </c>
      <c r="AE79" s="351">
        <f t="shared" si="95"/>
        <v>0.53416704000000004</v>
      </c>
      <c r="AF79" s="351">
        <f t="shared" si="96"/>
        <v>0</v>
      </c>
      <c r="AG79" s="351">
        <f t="shared" si="97"/>
        <v>0.69412735654340885</v>
      </c>
      <c r="AH79" s="351">
        <f t="shared" si="98"/>
        <v>3.2851275290979123</v>
      </c>
      <c r="AI79" s="351">
        <f t="shared" si="99"/>
        <v>3.5613807512041955E-2</v>
      </c>
      <c r="AJ79" s="351">
        <f t="shared" si="100"/>
        <v>4.3119999999999999E-2</v>
      </c>
      <c r="AK79" s="351">
        <f t="shared" si="101"/>
        <v>7.9185020323504107E-2</v>
      </c>
      <c r="AL79" s="351">
        <f t="shared" si="102"/>
        <v>4.3119999999999999E-2</v>
      </c>
      <c r="AM79" s="351">
        <f t="shared" si="103"/>
        <v>0.5396160000000001</v>
      </c>
      <c r="AN79" s="351">
        <f t="shared" si="104"/>
        <v>0.11332535539821942</v>
      </c>
      <c r="AO79" s="351">
        <f t="shared" si="105"/>
        <v>8.3999999999999993E-4</v>
      </c>
      <c r="AP79" s="351">
        <f>'Variable Management'!$B$346</f>
        <v>0.41183999999999998</v>
      </c>
      <c r="AQ79" s="351">
        <f t="shared" si="106"/>
        <v>0.36108727954971853</v>
      </c>
      <c r="AR79" s="351">
        <f t="shared" si="107"/>
        <v>0.35521199999999997</v>
      </c>
      <c r="AS79" s="351">
        <f t="shared" si="130"/>
        <v>0.41267999999999999</v>
      </c>
      <c r="AT79" s="351">
        <f t="shared" si="108"/>
        <v>2.8736549793244159</v>
      </c>
      <c r="AU79">
        <f t="shared" si="109"/>
        <v>11.549999999999999</v>
      </c>
      <c r="AV79" s="521">
        <f t="shared" si="124"/>
        <v>0.80076790637021922</v>
      </c>
      <c r="AW79" s="530">
        <f t="shared" si="110"/>
        <v>44.11150449482318</v>
      </c>
      <c r="AX79" s="530">
        <f t="shared" si="111"/>
        <v>10.290332012940166</v>
      </c>
      <c r="AY79" s="9"/>
      <c r="AZ79" s="4">
        <f t="shared" si="125"/>
        <v>80.076790637021915</v>
      </c>
      <c r="BA79" s="351">
        <f t="shared" si="112"/>
        <v>0.98971710788272227</v>
      </c>
      <c r="BB79" s="351">
        <f t="shared" si="126"/>
        <v>1.3129283768669131</v>
      </c>
      <c r="BC79" s="351">
        <f t="shared" si="127"/>
        <v>1.050273916543409</v>
      </c>
      <c r="BD79" s="351">
        <f t="shared" si="128"/>
        <v>0.25725830032350416</v>
      </c>
      <c r="BE79" s="351">
        <f t="shared" si="129"/>
        <v>0.11332535539821942</v>
      </c>
      <c r="BK79" s="18"/>
      <c r="BL79" s="19"/>
    </row>
    <row r="80" spans="1:64" x14ac:dyDescent="0.25">
      <c r="A80" s="34" t="s">
        <v>209</v>
      </c>
      <c r="B80" s="578">
        <f>Deadtime1*Fsw*(Iripple_Vinnom/2)*(Vsd_Q2)/Vin</f>
        <v>2.6402673018393539E-4</v>
      </c>
      <c r="C80" s="21"/>
      <c r="G80">
        <v>71</v>
      </c>
      <c r="H80" s="527">
        <f t="shared" si="83"/>
        <v>24</v>
      </c>
      <c r="I80" s="4">
        <f t="shared" si="84"/>
        <v>1</v>
      </c>
      <c r="J80" s="351">
        <f t="shared" si="113"/>
        <v>3.55</v>
      </c>
      <c r="K80" s="351">
        <f t="shared" si="85"/>
        <v>3.55</v>
      </c>
      <c r="L80" s="4">
        <f t="shared" si="86"/>
        <v>0.54236111111111096</v>
      </c>
      <c r="M80" s="351">
        <f t="shared" si="87"/>
        <v>0.14300036995622184</v>
      </c>
      <c r="N80" s="4">
        <f t="shared" si="88"/>
        <v>2.0258804305487015</v>
      </c>
      <c r="O80" s="4">
        <f t="shared" si="114"/>
        <v>4.5629402152743506</v>
      </c>
      <c r="P80" s="4">
        <f t="shared" si="115"/>
        <v>2.5370597847256491</v>
      </c>
      <c r="Q80" s="4">
        <f t="shared" si="89"/>
        <v>0</v>
      </c>
      <c r="R80" s="4">
        <f t="shared" si="116"/>
        <v>3.5978487961428676</v>
      </c>
      <c r="S80" s="351">
        <f t="shared" si="90"/>
        <v>0.32361289899766704</v>
      </c>
      <c r="T80" s="351">
        <f t="shared" si="91"/>
        <v>0.65</v>
      </c>
      <c r="U80" s="351">
        <f t="shared" si="92"/>
        <v>0.99948869369215598</v>
      </c>
      <c r="V80" s="4">
        <f t="shared" si="117"/>
        <v>0.58482130596164394</v>
      </c>
      <c r="W80" s="351">
        <f t="shared" si="118"/>
        <v>3.4201595990668277E-4</v>
      </c>
      <c r="X80" s="351">
        <f t="shared" si="119"/>
        <v>3.4201595990668277E-4</v>
      </c>
      <c r="Y80" s="4">
        <f t="shared" si="120"/>
        <v>1.2595105377401032</v>
      </c>
      <c r="Z80" s="351">
        <f t="shared" si="121"/>
        <v>1.586366794678364E-3</v>
      </c>
      <c r="AA80" s="520">
        <f t="shared" si="122"/>
        <v>1.586366794678364E-3</v>
      </c>
      <c r="AB80" s="351">
        <f t="shared" si="123"/>
        <v>1.3605405437438729</v>
      </c>
      <c r="AC80" s="351">
        <f t="shared" si="93"/>
        <v>2.1287311568465042E-2</v>
      </c>
      <c r="AD80" s="351">
        <f t="shared" si="94"/>
        <v>0.13880601428571426</v>
      </c>
      <c r="AE80" s="351">
        <f t="shared" si="95"/>
        <v>0.53416704000000004</v>
      </c>
      <c r="AF80" s="351">
        <f t="shared" si="96"/>
        <v>0</v>
      </c>
      <c r="AG80" s="351">
        <f t="shared" si="97"/>
        <v>0.69675213847025796</v>
      </c>
      <c r="AH80" s="351">
        <f t="shared" si="98"/>
        <v>3.3306824208765096</v>
      </c>
      <c r="AI80" s="351">
        <f t="shared" si="99"/>
        <v>3.6608369782828165E-2</v>
      </c>
      <c r="AJ80" s="351">
        <f t="shared" si="100"/>
        <v>4.3735999999999997E-2</v>
      </c>
      <c r="AK80" s="351">
        <f t="shared" si="101"/>
        <v>8.0817746736032592E-2</v>
      </c>
      <c r="AL80" s="351">
        <f t="shared" si="102"/>
        <v>4.3735999999999997E-2</v>
      </c>
      <c r="AM80" s="351">
        <f t="shared" si="103"/>
        <v>0.54732479999999994</v>
      </c>
      <c r="AN80" s="351">
        <f t="shared" si="104"/>
        <v>0.11650064363916013</v>
      </c>
      <c r="AO80" s="351">
        <f t="shared" si="105"/>
        <v>8.3999999999999993E-4</v>
      </c>
      <c r="AP80" s="351">
        <f>'Variable Management'!$B$346</f>
        <v>0.41183999999999998</v>
      </c>
      <c r="AQ80" s="351">
        <f t="shared" si="106"/>
        <v>0.36108727954971853</v>
      </c>
      <c r="AR80" s="351">
        <f t="shared" si="107"/>
        <v>0.35521199999999997</v>
      </c>
      <c r="AS80" s="351">
        <f t="shared" si="130"/>
        <v>0.41267999999999999</v>
      </c>
      <c r="AT80" s="351">
        <f t="shared" si="108"/>
        <v>2.8992284052921917</v>
      </c>
      <c r="AU80">
        <f t="shared" si="109"/>
        <v>11.714999999999998</v>
      </c>
      <c r="AV80" s="521">
        <f t="shared" si="124"/>
        <v>0.80161604671223652</v>
      </c>
      <c r="AW80" s="530">
        <f t="shared" si="110"/>
        <v>44.435433271750831</v>
      </c>
      <c r="AX80" s="530">
        <f t="shared" si="111"/>
        <v>10.457397229441304</v>
      </c>
      <c r="AY80" s="9"/>
      <c r="AZ80" s="4">
        <f t="shared" si="125"/>
        <v>80.161604671223657</v>
      </c>
      <c r="BA80" s="351">
        <f t="shared" si="112"/>
        <v>0.99948869369215598</v>
      </c>
      <c r="BB80" s="351">
        <f t="shared" si="126"/>
        <v>1.3248946852062904</v>
      </c>
      <c r="BC80" s="351">
        <f t="shared" si="127"/>
        <v>1.0579865064702578</v>
      </c>
      <c r="BD80" s="351">
        <f t="shared" si="128"/>
        <v>0.26143493073603258</v>
      </c>
      <c r="BE80" s="351">
        <f t="shared" si="129"/>
        <v>0.11650064363916013</v>
      </c>
      <c r="BK80" s="18"/>
      <c r="BL80" s="19"/>
    </row>
    <row r="81" spans="1:64" x14ac:dyDescent="0.25">
      <c r="A81" s="34" t="s">
        <v>45</v>
      </c>
      <c r="B81" s="578">
        <f>SUM(B78:B80)</f>
        <v>4.9579026730183932E-2</v>
      </c>
      <c r="C81" s="21" t="s">
        <v>1</v>
      </c>
      <c r="G81">
        <v>72</v>
      </c>
      <c r="H81" s="527">
        <f t="shared" si="83"/>
        <v>24</v>
      </c>
      <c r="I81" s="4">
        <f t="shared" si="84"/>
        <v>1</v>
      </c>
      <c r="J81" s="351">
        <f t="shared" si="113"/>
        <v>3.6</v>
      </c>
      <c r="K81" s="351">
        <f t="shared" si="85"/>
        <v>3.6</v>
      </c>
      <c r="L81" s="4">
        <f t="shared" si="86"/>
        <v>0.54999999999999993</v>
      </c>
      <c r="M81" s="351">
        <f t="shared" si="87"/>
        <v>0.14307783066032076</v>
      </c>
      <c r="N81" s="4">
        <f t="shared" si="88"/>
        <v>2.0267979805233289</v>
      </c>
      <c r="O81" s="4">
        <f t="shared" si="114"/>
        <v>4.6133989902616648</v>
      </c>
      <c r="P81" s="4">
        <f t="shared" si="115"/>
        <v>2.5866010097383354</v>
      </c>
      <c r="Q81" s="4">
        <f t="shared" si="89"/>
        <v>0</v>
      </c>
      <c r="R81" s="4">
        <f t="shared" si="116"/>
        <v>3.6472353691283925</v>
      </c>
      <c r="S81" s="351">
        <f t="shared" si="90"/>
        <v>0.33255814594552807</v>
      </c>
      <c r="T81" s="351">
        <f t="shared" si="91"/>
        <v>0.65</v>
      </c>
      <c r="U81" s="351">
        <f t="shared" si="92"/>
        <v>1.0094132334173813</v>
      </c>
      <c r="V81" s="4">
        <f t="shared" si="117"/>
        <v>0.58508617982406697</v>
      </c>
      <c r="W81" s="351">
        <f t="shared" si="118"/>
        <v>3.4232583782112041E-4</v>
      </c>
      <c r="X81" s="351">
        <f t="shared" si="119"/>
        <v>3.4232583782112041E-4</v>
      </c>
      <c r="Y81" s="4">
        <f t="shared" si="120"/>
        <v>1.2770874981520945</v>
      </c>
      <c r="Z81" s="351">
        <f t="shared" si="121"/>
        <v>1.630952477936376E-3</v>
      </c>
      <c r="AA81" s="520">
        <f t="shared" si="122"/>
        <v>1.630952477936376E-3</v>
      </c>
      <c r="AB81" s="351">
        <f t="shared" si="123"/>
        <v>1.3795897664205037</v>
      </c>
      <c r="AC81" s="351">
        <f t="shared" si="93"/>
        <v>2.1887581121540069E-2</v>
      </c>
      <c r="AD81" s="351">
        <f t="shared" si="94"/>
        <v>0.14076102857142858</v>
      </c>
      <c r="AE81" s="351">
        <f t="shared" si="95"/>
        <v>0.53416704000000004</v>
      </c>
      <c r="AF81" s="351">
        <f t="shared" si="96"/>
        <v>0</v>
      </c>
      <c r="AG81" s="351">
        <f t="shared" si="97"/>
        <v>0.69938737654681304</v>
      </c>
      <c r="AH81" s="351">
        <f t="shared" si="98"/>
        <v>3.3762490894791726</v>
      </c>
      <c r="AI81" s="351">
        <f t="shared" si="99"/>
        <v>3.7616891116889511E-2</v>
      </c>
      <c r="AJ81" s="351">
        <f t="shared" si="100"/>
        <v>4.4351999999999996E-2</v>
      </c>
      <c r="AK81" s="351">
        <f t="shared" si="101"/>
        <v>8.2465224777913612E-2</v>
      </c>
      <c r="AL81" s="351">
        <f t="shared" si="102"/>
        <v>4.4351999999999996E-2</v>
      </c>
      <c r="AM81" s="351">
        <f t="shared" si="103"/>
        <v>0.55503360000000013</v>
      </c>
      <c r="AN81" s="351">
        <f t="shared" si="104"/>
        <v>0.1197209325403901</v>
      </c>
      <c r="AO81" s="351">
        <f t="shared" si="105"/>
        <v>8.3999999999999993E-4</v>
      </c>
      <c r="AP81" s="351">
        <f>'Variable Management'!$B$346</f>
        <v>0.41183999999999998</v>
      </c>
      <c r="AQ81" s="351">
        <f t="shared" si="106"/>
        <v>0.36108727954971853</v>
      </c>
      <c r="AR81" s="351">
        <f t="shared" si="107"/>
        <v>0.35521199999999997</v>
      </c>
      <c r="AS81" s="351">
        <f t="shared" si="130"/>
        <v>0.41267999999999999</v>
      </c>
      <c r="AT81" s="351">
        <f t="shared" si="108"/>
        <v>2.9250256455982555</v>
      </c>
      <c r="AU81">
        <f t="shared" si="109"/>
        <v>11.879999999999999</v>
      </c>
      <c r="AV81" s="521">
        <f t="shared" si="124"/>
        <v>0.80243022095217331</v>
      </c>
      <c r="AW81" s="530">
        <f t="shared" si="110"/>
        <v>44.759801206966152</v>
      </c>
      <c r="AX81" s="530">
        <f t="shared" si="111"/>
        <v>10.625052511116547</v>
      </c>
      <c r="AY81" s="9"/>
      <c r="AZ81" s="4">
        <f t="shared" si="125"/>
        <v>80.243022095217327</v>
      </c>
      <c r="BA81" s="351">
        <f t="shared" si="112"/>
        <v>1.0094132334173813</v>
      </c>
      <c r="BB81" s="351">
        <f t="shared" si="126"/>
        <v>1.3368862013247269</v>
      </c>
      <c r="BC81" s="351">
        <f t="shared" si="127"/>
        <v>1.0657095525468132</v>
      </c>
      <c r="BD81" s="351">
        <f t="shared" si="128"/>
        <v>0.26562631277791365</v>
      </c>
      <c r="BE81" s="351">
        <f t="shared" si="129"/>
        <v>0.1197209325403901</v>
      </c>
      <c r="BK81" s="18"/>
      <c r="BL81" s="19"/>
    </row>
    <row r="82" spans="1:64" x14ac:dyDescent="0.25">
      <c r="A82" s="2"/>
      <c r="G82">
        <v>73</v>
      </c>
      <c r="H82" s="527">
        <f t="shared" si="83"/>
        <v>24</v>
      </c>
      <c r="I82" s="4">
        <f t="shared" si="84"/>
        <v>1</v>
      </c>
      <c r="J82" s="351">
        <f t="shared" si="113"/>
        <v>3.65</v>
      </c>
      <c r="K82" s="351">
        <f t="shared" si="85"/>
        <v>3.65</v>
      </c>
      <c r="L82" s="4">
        <f t="shared" si="86"/>
        <v>0.5576388888888888</v>
      </c>
      <c r="M82" s="351">
        <f t="shared" si="87"/>
        <v>0.14315529110624872</v>
      </c>
      <c r="N82" s="4">
        <f t="shared" si="88"/>
        <v>2.0277153321223955</v>
      </c>
      <c r="O82" s="4">
        <f t="shared" si="114"/>
        <v>4.6638576660611974</v>
      </c>
      <c r="P82" s="4">
        <f t="shared" si="115"/>
        <v>2.6361423339388024</v>
      </c>
      <c r="Q82" s="4">
        <f t="shared" si="89"/>
        <v>0</v>
      </c>
      <c r="R82" s="4">
        <f t="shared" si="116"/>
        <v>3.6966384444533325</v>
      </c>
      <c r="S82" s="351">
        <f t="shared" si="90"/>
        <v>0.34162839472525885</v>
      </c>
      <c r="T82" s="351">
        <f t="shared" si="91"/>
        <v>0.65</v>
      </c>
      <c r="U82" s="351">
        <f t="shared" si="92"/>
        <v>1.0194913707595665</v>
      </c>
      <c r="V82" s="4">
        <f t="shared" si="117"/>
        <v>0.58535099642039823</v>
      </c>
      <c r="W82" s="351">
        <f t="shared" si="118"/>
        <v>3.4263578901035308E-4</v>
      </c>
      <c r="X82" s="351">
        <f t="shared" si="119"/>
        <v>3.4263578901035308E-4</v>
      </c>
      <c r="Y82" s="4">
        <f t="shared" si="120"/>
        <v>1.2946779087534215</v>
      </c>
      <c r="Z82" s="351">
        <f t="shared" si="121"/>
        <v>1.6761908874141328E-3</v>
      </c>
      <c r="AA82" s="520">
        <f t="shared" si="122"/>
        <v>1.6761908874141328E-3</v>
      </c>
      <c r="AB82" s="351">
        <f t="shared" si="123"/>
        <v>1.3986552441120703</v>
      </c>
      <c r="AC82" s="351">
        <f t="shared" si="93"/>
        <v>2.2496719656645243E-2</v>
      </c>
      <c r="AD82" s="351">
        <f t="shared" si="94"/>
        <v>0.14271604285714284</v>
      </c>
      <c r="AE82" s="351">
        <f t="shared" si="95"/>
        <v>0.53416704000000004</v>
      </c>
      <c r="AF82" s="351">
        <f t="shared" si="96"/>
        <v>0</v>
      </c>
      <c r="AG82" s="351">
        <f t="shared" si="97"/>
        <v>0.70203310074579151</v>
      </c>
      <c r="AH82" s="351">
        <f t="shared" si="98"/>
        <v>3.4218268946760237</v>
      </c>
      <c r="AI82" s="351">
        <f t="shared" si="99"/>
        <v>3.8639367680522924E-2</v>
      </c>
      <c r="AJ82" s="351">
        <f t="shared" si="100"/>
        <v>4.4967999999999994E-2</v>
      </c>
      <c r="AK82" s="351">
        <f t="shared" si="101"/>
        <v>8.4127468832563418E-2</v>
      </c>
      <c r="AL82" s="351">
        <f t="shared" si="102"/>
        <v>4.4967999999999994E-2</v>
      </c>
      <c r="AM82" s="351">
        <f t="shared" si="103"/>
        <v>0.56274240000000009</v>
      </c>
      <c r="AN82" s="351">
        <f t="shared" si="104"/>
        <v>0.12298622210109317</v>
      </c>
      <c r="AO82" s="351">
        <f t="shared" si="105"/>
        <v>8.3999999999999993E-4</v>
      </c>
      <c r="AP82" s="351">
        <f>'Variable Management'!$B$346</f>
        <v>0.41183999999999998</v>
      </c>
      <c r="AQ82" s="351">
        <f t="shared" si="106"/>
        <v>0.36108727954971853</v>
      </c>
      <c r="AR82" s="351">
        <f t="shared" si="107"/>
        <v>0.35521199999999997</v>
      </c>
      <c r="AS82" s="351">
        <f t="shared" si="130"/>
        <v>0.41267999999999999</v>
      </c>
      <c r="AT82" s="351">
        <f t="shared" si="108"/>
        <v>2.9510473891154394</v>
      </c>
      <c r="AU82">
        <f t="shared" si="109"/>
        <v>12.045</v>
      </c>
      <c r="AV82" s="521">
        <f t="shared" si="124"/>
        <v>0.80321165220794155</v>
      </c>
      <c r="AW82" s="530">
        <f t="shared" si="110"/>
        <v>45.084609559323248</v>
      </c>
      <c r="AX82" s="530">
        <f t="shared" si="111"/>
        <v>10.793298433302539</v>
      </c>
      <c r="AY82" s="9"/>
      <c r="AZ82" s="4">
        <f t="shared" si="125"/>
        <v>80.321165220794157</v>
      </c>
      <c r="BA82" s="351">
        <f t="shared" si="112"/>
        <v>1.0194913707595665</v>
      </c>
      <c r="BB82" s="351">
        <f t="shared" si="126"/>
        <v>1.348902969578355</v>
      </c>
      <c r="BC82" s="351">
        <f t="shared" si="127"/>
        <v>1.0734430847457916</v>
      </c>
      <c r="BD82" s="351">
        <f t="shared" si="128"/>
        <v>0.26983246083256346</v>
      </c>
      <c r="BE82" s="351">
        <f t="shared" si="129"/>
        <v>0.12298622210109317</v>
      </c>
      <c r="BK82" s="18"/>
      <c r="BL82" s="19"/>
    </row>
    <row r="83" spans="1:64" x14ac:dyDescent="0.25">
      <c r="A83" s="2"/>
      <c r="G83">
        <v>74</v>
      </c>
      <c r="H83" s="527">
        <f t="shared" si="83"/>
        <v>24</v>
      </c>
      <c r="I83" s="4">
        <f t="shared" si="84"/>
        <v>1</v>
      </c>
      <c r="J83" s="351">
        <f t="shared" si="113"/>
        <v>3.7</v>
      </c>
      <c r="K83" s="351">
        <f t="shared" si="85"/>
        <v>3.7</v>
      </c>
      <c r="L83" s="4">
        <f t="shared" si="86"/>
        <v>0.56527777777777766</v>
      </c>
      <c r="M83" s="351">
        <f t="shared" si="87"/>
        <v>0.14323275129400706</v>
      </c>
      <c r="N83" s="4">
        <f t="shared" si="88"/>
        <v>2.0286324853468942</v>
      </c>
      <c r="O83" s="4">
        <f t="shared" si="114"/>
        <v>4.7143162426734477</v>
      </c>
      <c r="P83" s="4">
        <f t="shared" si="115"/>
        <v>2.6856837573265531</v>
      </c>
      <c r="Q83" s="4">
        <f t="shared" si="89"/>
        <v>0</v>
      </c>
      <c r="R83" s="4">
        <f t="shared" si="116"/>
        <v>3.7460573692061536</v>
      </c>
      <c r="S83" s="351">
        <f t="shared" si="90"/>
        <v>0.3508236453345932</v>
      </c>
      <c r="T83" s="351">
        <f t="shared" si="91"/>
        <v>0.65</v>
      </c>
      <c r="U83" s="351">
        <f t="shared" si="92"/>
        <v>1.0297237608110228</v>
      </c>
      <c r="V83" s="4">
        <f t="shared" si="117"/>
        <v>0.5856157557509245</v>
      </c>
      <c r="W83" s="351">
        <f t="shared" si="118"/>
        <v>3.4294581338372647E-4</v>
      </c>
      <c r="X83" s="351">
        <f t="shared" si="119"/>
        <v>3.4294581338372647E-4</v>
      </c>
      <c r="Y83" s="4">
        <f t="shared" si="120"/>
        <v>1.3122815396029981</v>
      </c>
      <c r="Z83" s="351">
        <f t="shared" si="121"/>
        <v>1.7220828391828152E-3</v>
      </c>
      <c r="AA83" s="520">
        <f t="shared" si="122"/>
        <v>1.7220828391828152E-3</v>
      </c>
      <c r="AB83" s="351">
        <f t="shared" si="123"/>
        <v>1.4177367307122537</v>
      </c>
      <c r="AC83" s="351">
        <f t="shared" si="93"/>
        <v>2.3114740532522694E-2</v>
      </c>
      <c r="AD83" s="351">
        <f t="shared" si="94"/>
        <v>0.14467105714285716</v>
      </c>
      <c r="AE83" s="351">
        <f t="shared" si="95"/>
        <v>0.53416704000000004</v>
      </c>
      <c r="AF83" s="351">
        <f t="shared" si="96"/>
        <v>0</v>
      </c>
      <c r="AG83" s="351">
        <f t="shared" si="97"/>
        <v>0.70468934116994575</v>
      </c>
      <c r="AH83" s="351">
        <f t="shared" si="98"/>
        <v>3.4674152297890517</v>
      </c>
      <c r="AI83" s="351">
        <f t="shared" si="99"/>
        <v>3.9675795640051109E-2</v>
      </c>
      <c r="AJ83" s="351">
        <f t="shared" si="100"/>
        <v>4.5584E-2</v>
      </c>
      <c r="AK83" s="351">
        <f t="shared" si="101"/>
        <v>8.5804493487830508E-2</v>
      </c>
      <c r="AL83" s="351">
        <f t="shared" si="102"/>
        <v>4.5584E-2</v>
      </c>
      <c r="AM83" s="351">
        <f t="shared" si="103"/>
        <v>0.57045120000000005</v>
      </c>
      <c r="AN83" s="351">
        <f t="shared" si="104"/>
        <v>0.12629651232045355</v>
      </c>
      <c r="AO83" s="351">
        <f t="shared" si="105"/>
        <v>8.3999999999999993E-4</v>
      </c>
      <c r="AP83" s="351">
        <f>'Variable Management'!$B$346</f>
        <v>0.41183999999999998</v>
      </c>
      <c r="AQ83" s="351">
        <f t="shared" si="106"/>
        <v>0.36108727954971853</v>
      </c>
      <c r="AR83" s="351">
        <f t="shared" si="107"/>
        <v>0.35521199999999997</v>
      </c>
      <c r="AS83" s="351">
        <f t="shared" si="130"/>
        <v>0.41267999999999999</v>
      </c>
      <c r="AT83" s="351">
        <f t="shared" si="108"/>
        <v>2.9772943364418194</v>
      </c>
      <c r="AU83">
        <f t="shared" si="109"/>
        <v>12.209999999999999</v>
      </c>
      <c r="AV83" s="521">
        <f t="shared" si="124"/>
        <v>0.80396150423595736</v>
      </c>
      <c r="AW83" s="530">
        <f t="shared" si="110"/>
        <v>45.409859593137725</v>
      </c>
      <c r="AX83" s="530">
        <f t="shared" si="111"/>
        <v>10.962135579513221</v>
      </c>
      <c r="AY83" s="9"/>
      <c r="AZ83" s="4">
        <f t="shared" si="125"/>
        <v>80.396150423595742</v>
      </c>
      <c r="BA83" s="351">
        <f t="shared" si="112"/>
        <v>1.0297237608110228</v>
      </c>
      <c r="BB83" s="351">
        <f t="shared" si="126"/>
        <v>1.3609450346577763</v>
      </c>
      <c r="BC83" s="351">
        <f t="shared" si="127"/>
        <v>1.0811871331699459</v>
      </c>
      <c r="BD83" s="351">
        <f t="shared" si="128"/>
        <v>0.27405338948783053</v>
      </c>
      <c r="BE83" s="351">
        <f t="shared" si="129"/>
        <v>0.12629651232045355</v>
      </c>
      <c r="BK83" s="18"/>
      <c r="BL83" s="19"/>
    </row>
    <row r="84" spans="1:64" x14ac:dyDescent="0.25">
      <c r="G84">
        <v>75</v>
      </c>
      <c r="H84" s="527">
        <f t="shared" si="83"/>
        <v>24</v>
      </c>
      <c r="I84" s="4">
        <f t="shared" si="84"/>
        <v>1</v>
      </c>
      <c r="J84" s="351">
        <f t="shared" si="113"/>
        <v>3.75</v>
      </c>
      <c r="K84" s="351">
        <f t="shared" si="85"/>
        <v>3.75</v>
      </c>
      <c r="L84" s="4">
        <f t="shared" si="86"/>
        <v>0.57291666666666663</v>
      </c>
      <c r="M84" s="351">
        <f t="shared" si="87"/>
        <v>0.14331021122359705</v>
      </c>
      <c r="N84" s="4">
        <f t="shared" si="88"/>
        <v>2.0295494401978162</v>
      </c>
      <c r="O84" s="4">
        <f t="shared" si="114"/>
        <v>4.7647747200989077</v>
      </c>
      <c r="P84" s="4">
        <f t="shared" si="115"/>
        <v>2.7352252799010919</v>
      </c>
      <c r="Q84" s="4">
        <f t="shared" si="89"/>
        <v>0</v>
      </c>
      <c r="R84" s="4">
        <f t="shared" si="116"/>
        <v>3.7954915242759544</v>
      </c>
      <c r="S84" s="351">
        <f t="shared" si="90"/>
        <v>0.36014389777126521</v>
      </c>
      <c r="T84" s="351">
        <f t="shared" si="91"/>
        <v>0.65</v>
      </c>
      <c r="U84" s="351">
        <f t="shared" si="92"/>
        <v>1.0401110701652123</v>
      </c>
      <c r="V84" s="4">
        <f t="shared" si="117"/>
        <v>0.58588045781593179</v>
      </c>
      <c r="W84" s="351">
        <f t="shared" si="118"/>
        <v>3.4325591085060582E-4</v>
      </c>
      <c r="X84" s="351">
        <f t="shared" si="119"/>
        <v>3.4325591085060582E-4</v>
      </c>
      <c r="Y84" s="4">
        <f t="shared" si="120"/>
        <v>1.3298981723982561</v>
      </c>
      <c r="Z84" s="351">
        <f t="shared" si="121"/>
        <v>1.7686291489482219E-3</v>
      </c>
      <c r="AA84" s="520">
        <f t="shared" si="122"/>
        <v>1.7686291489482219E-3</v>
      </c>
      <c r="AB84" s="351">
        <f t="shared" si="123"/>
        <v>1.4368339926447948</v>
      </c>
      <c r="AC84" s="351">
        <f t="shared" si="93"/>
        <v>2.3741657107825196E-2</v>
      </c>
      <c r="AD84" s="351">
        <f t="shared" si="94"/>
        <v>0.14662607142857143</v>
      </c>
      <c r="AE84" s="351">
        <f t="shared" si="95"/>
        <v>0.53416704000000004</v>
      </c>
      <c r="AF84" s="351">
        <f t="shared" si="96"/>
        <v>0</v>
      </c>
      <c r="AG84" s="351">
        <f t="shared" si="97"/>
        <v>0.70735612805281523</v>
      </c>
      <c r="AH84" s="351">
        <f t="shared" si="98"/>
        <v>3.5130135195343364</v>
      </c>
      <c r="AI84" s="351">
        <f t="shared" si="99"/>
        <v>4.0726171161822387E-2</v>
      </c>
      <c r="AJ84" s="351">
        <f t="shared" si="100"/>
        <v>4.6199999999999998E-2</v>
      </c>
      <c r="AK84" s="351">
        <f t="shared" si="101"/>
        <v>8.7496313536400291E-2</v>
      </c>
      <c r="AL84" s="351">
        <f t="shared" si="102"/>
        <v>4.6199999999999998E-2</v>
      </c>
      <c r="AM84" s="351">
        <f t="shared" si="103"/>
        <v>0.57816000000000001</v>
      </c>
      <c r="AN84" s="351">
        <f t="shared" si="104"/>
        <v>0.12965180319765546</v>
      </c>
      <c r="AO84" s="351">
        <f t="shared" si="105"/>
        <v>8.3999999999999993E-4</v>
      </c>
      <c r="AP84" s="351">
        <f>'Variable Management'!$B$346</f>
        <v>0.41183999999999998</v>
      </c>
      <c r="AQ84" s="351">
        <f t="shared" si="106"/>
        <v>0.36108727954971853</v>
      </c>
      <c r="AR84" s="351">
        <f t="shared" si="107"/>
        <v>0.35521199999999997</v>
      </c>
      <c r="AS84" s="351">
        <f t="shared" si="130"/>
        <v>0.41267999999999999</v>
      </c>
      <c r="AT84" s="351">
        <f t="shared" si="108"/>
        <v>3.003767200011882</v>
      </c>
      <c r="AU84">
        <f t="shared" si="109"/>
        <v>12.375</v>
      </c>
      <c r="AV84" s="521">
        <f t="shared" si="124"/>
        <v>0.80468088495353762</v>
      </c>
      <c r="AW84" s="530">
        <f t="shared" si="110"/>
        <v>45.73555257821824</v>
      </c>
      <c r="AX84" s="530">
        <f t="shared" si="111"/>
        <v>11.131564541456012</v>
      </c>
      <c r="AY84" s="9"/>
      <c r="AZ84" s="4">
        <f t="shared" si="125"/>
        <v>80.468088495353769</v>
      </c>
      <c r="BA84" s="351">
        <f t="shared" si="112"/>
        <v>1.0401110701652123</v>
      </c>
      <c r="BB84" s="351">
        <f t="shared" si="126"/>
        <v>1.3730124415892155</v>
      </c>
      <c r="BC84" s="351">
        <f t="shared" si="127"/>
        <v>1.0889417280528153</v>
      </c>
      <c r="BD84" s="351">
        <f t="shared" si="128"/>
        <v>0.27828911353640029</v>
      </c>
      <c r="BE84" s="351">
        <f t="shared" si="129"/>
        <v>0.12965180319765546</v>
      </c>
      <c r="BK84" s="18"/>
      <c r="BL84" s="19"/>
    </row>
    <row r="85" spans="1:64" x14ac:dyDescent="0.25">
      <c r="G85">
        <v>76</v>
      </c>
      <c r="H85" s="527">
        <f t="shared" si="83"/>
        <v>24</v>
      </c>
      <c r="I85" s="4">
        <f t="shared" si="84"/>
        <v>1</v>
      </c>
      <c r="J85" s="351">
        <f t="shared" si="113"/>
        <v>3.8</v>
      </c>
      <c r="K85" s="351">
        <f t="shared" si="85"/>
        <v>3.8</v>
      </c>
      <c r="L85" s="4">
        <f t="shared" si="86"/>
        <v>0.58055555555555549</v>
      </c>
      <c r="M85" s="351">
        <f t="shared" si="87"/>
        <v>0.14338767089501997</v>
      </c>
      <c r="N85" s="4">
        <f t="shared" si="88"/>
        <v>2.0304661966761528</v>
      </c>
      <c r="O85" s="4">
        <f t="shared" si="114"/>
        <v>4.8152330983380764</v>
      </c>
      <c r="P85" s="4">
        <f t="shared" si="115"/>
        <v>2.7847669016619232</v>
      </c>
      <c r="Q85" s="4">
        <f t="shared" si="89"/>
        <v>0</v>
      </c>
      <c r="R85" s="4">
        <f t="shared" si="116"/>
        <v>3.8449403222053236</v>
      </c>
      <c r="S85" s="351">
        <f t="shared" si="90"/>
        <v>0.36958915203300946</v>
      </c>
      <c r="T85" s="351">
        <f t="shared" si="91"/>
        <v>0.65</v>
      </c>
      <c r="U85" s="351">
        <f t="shared" si="92"/>
        <v>1.0506539770290311</v>
      </c>
      <c r="V85" s="4">
        <f t="shared" si="117"/>
        <v>0.58614510261570629</v>
      </c>
      <c r="W85" s="351">
        <f t="shared" si="118"/>
        <v>3.4356608132037687E-4</v>
      </c>
      <c r="X85" s="351">
        <f t="shared" si="119"/>
        <v>3.4356608132037687E-4</v>
      </c>
      <c r="Y85" s="4">
        <f t="shared" si="120"/>
        <v>1.3475275997361915</v>
      </c>
      <c r="Z85" s="351">
        <f t="shared" si="121"/>
        <v>1.8158306320507816E-3</v>
      </c>
      <c r="AA85" s="520">
        <f t="shared" si="122"/>
        <v>1.8158306320507816E-3</v>
      </c>
      <c r="AB85" s="351">
        <f t="shared" si="123"/>
        <v>1.4559468080679137</v>
      </c>
      <c r="AC85" s="351">
        <f t="shared" si="93"/>
        <v>2.4377482741116181E-2</v>
      </c>
      <c r="AD85" s="351">
        <f t="shared" si="94"/>
        <v>0.14858108571428569</v>
      </c>
      <c r="AE85" s="351">
        <f t="shared" si="95"/>
        <v>0.53416704000000004</v>
      </c>
      <c r="AF85" s="351">
        <f t="shared" si="96"/>
        <v>0</v>
      </c>
      <c r="AG85" s="351">
        <f t="shared" si="97"/>
        <v>0.71003349175948682</v>
      </c>
      <c r="AH85" s="351">
        <f t="shared" si="98"/>
        <v>3.5586212180277395</v>
      </c>
      <c r="AI85" s="351">
        <f t="shared" si="99"/>
        <v>4.1790490412210869E-2</v>
      </c>
      <c r="AJ85" s="351">
        <f t="shared" si="100"/>
        <v>4.6815999999999997E-2</v>
      </c>
      <c r="AK85" s="351">
        <f t="shared" si="101"/>
        <v>8.9202943976207441E-2</v>
      </c>
      <c r="AL85" s="351">
        <f t="shared" si="102"/>
        <v>4.6815999999999997E-2</v>
      </c>
      <c r="AM85" s="351">
        <f t="shared" si="103"/>
        <v>0.58586879999999997</v>
      </c>
      <c r="AN85" s="351">
        <f t="shared" si="104"/>
        <v>0.13305209473188337</v>
      </c>
      <c r="AO85" s="351">
        <f t="shared" si="105"/>
        <v>8.3999999999999993E-4</v>
      </c>
      <c r="AP85" s="351">
        <f>'Variable Management'!$B$346</f>
        <v>0.41183999999999998</v>
      </c>
      <c r="AQ85" s="351">
        <f t="shared" si="106"/>
        <v>0.36108727954971853</v>
      </c>
      <c r="AR85" s="351">
        <f t="shared" si="107"/>
        <v>0.35521199999999997</v>
      </c>
      <c r="AS85" s="351">
        <f t="shared" si="130"/>
        <v>0.41267999999999999</v>
      </c>
      <c r="AT85" s="351">
        <f t="shared" si="108"/>
        <v>3.0304667042099798</v>
      </c>
      <c r="AU85">
        <f t="shared" si="109"/>
        <v>12.54</v>
      </c>
      <c r="AV85" s="521">
        <f t="shared" si="124"/>
        <v>0.80537084971315631</v>
      </c>
      <c r="AW85" s="530">
        <f t="shared" si="110"/>
        <v>46.061689789898452</v>
      </c>
      <c r="AX85" s="530">
        <f t="shared" si="111"/>
        <v>11.301585919048298</v>
      </c>
      <c r="AY85" s="9"/>
      <c r="AZ85" s="4">
        <f t="shared" si="125"/>
        <v>80.537084971315636</v>
      </c>
      <c r="BA85" s="351">
        <f t="shared" si="112"/>
        <v>1.0506539770290311</v>
      </c>
      <c r="BB85" s="351">
        <f t="shared" si="126"/>
        <v>1.3851052357356943</v>
      </c>
      <c r="BC85" s="351">
        <f t="shared" si="127"/>
        <v>1.0967068997594869</v>
      </c>
      <c r="BD85" s="351">
        <f t="shared" si="128"/>
        <v>0.28253964797620745</v>
      </c>
      <c r="BE85" s="351">
        <f t="shared" si="129"/>
        <v>0.13305209473188337</v>
      </c>
      <c r="BK85" s="18"/>
      <c r="BL85" s="19"/>
    </row>
    <row r="86" spans="1:64" x14ac:dyDescent="0.25">
      <c r="G86">
        <v>77</v>
      </c>
      <c r="H86" s="527">
        <f t="shared" si="83"/>
        <v>24</v>
      </c>
      <c r="I86" s="4">
        <f t="shared" si="84"/>
        <v>1</v>
      </c>
      <c r="J86" s="351">
        <f t="shared" si="113"/>
        <v>3.85</v>
      </c>
      <c r="K86" s="351">
        <f t="shared" si="85"/>
        <v>3.85</v>
      </c>
      <c r="L86" s="4">
        <f t="shared" si="86"/>
        <v>0.58819444444444446</v>
      </c>
      <c r="M86" s="351">
        <f t="shared" si="87"/>
        <v>0.14346513030827709</v>
      </c>
      <c r="N86" s="4">
        <f t="shared" si="88"/>
        <v>2.031382754782896</v>
      </c>
      <c r="O86" s="4">
        <f t="shared" si="114"/>
        <v>4.8656913773914479</v>
      </c>
      <c r="P86" s="4">
        <f t="shared" si="115"/>
        <v>2.8343086226085523</v>
      </c>
      <c r="Q86" s="4">
        <f t="shared" si="89"/>
        <v>0</v>
      </c>
      <c r="R86" s="4">
        <f t="shared" si="116"/>
        <v>3.894403205203905</v>
      </c>
      <c r="S86" s="351">
        <f t="shared" si="90"/>
        <v>0.37915940811756127</v>
      </c>
      <c r="T86" s="351">
        <f t="shared" si="91"/>
        <v>0.65</v>
      </c>
      <c r="U86" s="351">
        <f t="shared" si="92"/>
        <v>1.0613531713374</v>
      </c>
      <c r="V86" s="4">
        <f t="shared" si="117"/>
        <v>0.58640969015053435</v>
      </c>
      <c r="W86" s="351">
        <f t="shared" si="118"/>
        <v>3.4387632470244572E-4</v>
      </c>
      <c r="X86" s="351">
        <f t="shared" si="119"/>
        <v>3.4387632470244572E-4</v>
      </c>
      <c r="Y86" s="4">
        <f t="shared" si="120"/>
        <v>1.3651696244297087</v>
      </c>
      <c r="Z86" s="351">
        <f t="shared" si="121"/>
        <v>1.8636881034655519E-3</v>
      </c>
      <c r="AA86" s="520">
        <f t="shared" si="122"/>
        <v>1.8636881034655519E-3</v>
      </c>
      <c r="AB86" s="351">
        <f t="shared" si="123"/>
        <v>1.4750749661382656</v>
      </c>
      <c r="AC86" s="351">
        <f t="shared" si="93"/>
        <v>2.5022230790869762E-2</v>
      </c>
      <c r="AD86" s="351">
        <f t="shared" si="94"/>
        <v>0.15053610000000001</v>
      </c>
      <c r="AE86" s="351">
        <f t="shared" si="95"/>
        <v>0.53416704000000004</v>
      </c>
      <c r="AF86" s="351">
        <f t="shared" si="96"/>
        <v>0</v>
      </c>
      <c r="AG86" s="351">
        <f t="shared" si="97"/>
        <v>0.71272146278735704</v>
      </c>
      <c r="AH86" s="351">
        <f t="shared" si="98"/>
        <v>3.6042378069398588</v>
      </c>
      <c r="AI86" s="351">
        <f t="shared" si="99"/>
        <v>4.2868749557616326E-2</v>
      </c>
      <c r="AJ86" s="351">
        <f t="shared" si="100"/>
        <v>4.7432000000000002E-2</v>
      </c>
      <c r="AK86" s="351">
        <f t="shared" si="101"/>
        <v>9.0924400010855028E-2</v>
      </c>
      <c r="AL86" s="351">
        <f t="shared" si="102"/>
        <v>4.7432000000000002E-2</v>
      </c>
      <c r="AM86" s="351">
        <f t="shared" si="103"/>
        <v>0.59357760000000015</v>
      </c>
      <c r="AN86" s="351">
        <f t="shared" si="104"/>
        <v>0.13649738692232202</v>
      </c>
      <c r="AO86" s="351">
        <f t="shared" si="105"/>
        <v>8.3999999999999993E-4</v>
      </c>
      <c r="AP86" s="351">
        <f>'Variable Management'!$B$346</f>
        <v>0.41183999999999998</v>
      </c>
      <c r="AQ86" s="351">
        <f t="shared" si="106"/>
        <v>0.36108727954971853</v>
      </c>
      <c r="AR86" s="351">
        <f t="shared" si="107"/>
        <v>0.35521199999999997</v>
      </c>
      <c r="AS86" s="351">
        <f t="shared" si="130"/>
        <v>0.41267999999999999</v>
      </c>
      <c r="AT86" s="351">
        <f t="shared" si="108"/>
        <v>3.0573935854861021</v>
      </c>
      <c r="AU86">
        <f t="shared" si="109"/>
        <v>12.705</v>
      </c>
      <c r="AV86" s="521">
        <f t="shared" si="124"/>
        <v>0.80603240434870704</v>
      </c>
      <c r="AW86" s="530">
        <f t="shared" si="110"/>
        <v>46.388272509069004</v>
      </c>
      <c r="AX86" s="530">
        <f t="shared" si="111"/>
        <v>11.472200320434203</v>
      </c>
      <c r="AY86" s="9"/>
      <c r="AZ86" s="4">
        <f t="shared" si="125"/>
        <v>80.603240434870699</v>
      </c>
      <c r="BA86" s="351">
        <f t="shared" si="112"/>
        <v>1.0613531713374</v>
      </c>
      <c r="BB86" s="351">
        <f t="shared" si="126"/>
        <v>1.3972234627982121</v>
      </c>
      <c r="BC86" s="351">
        <f t="shared" si="127"/>
        <v>1.1044826787873572</v>
      </c>
      <c r="BD86" s="351">
        <f t="shared" si="128"/>
        <v>0.28680500801085507</v>
      </c>
      <c r="BE86" s="351">
        <f t="shared" si="129"/>
        <v>0.13649738692232202</v>
      </c>
      <c r="BK86" s="18"/>
      <c r="BL86" s="19"/>
    </row>
    <row r="87" spans="1:64" x14ac:dyDescent="0.25">
      <c r="G87">
        <v>78</v>
      </c>
      <c r="H87" s="527">
        <f t="shared" si="83"/>
        <v>24</v>
      </c>
      <c r="I87" s="4">
        <f t="shared" si="84"/>
        <v>1</v>
      </c>
      <c r="J87" s="351">
        <f t="shared" si="113"/>
        <v>3.9</v>
      </c>
      <c r="K87" s="351">
        <f t="shared" si="85"/>
        <v>3.9</v>
      </c>
      <c r="L87" s="4">
        <f t="shared" si="86"/>
        <v>0.59583333333333321</v>
      </c>
      <c r="M87" s="351">
        <f t="shared" si="87"/>
        <v>0.14354258946336976</v>
      </c>
      <c r="N87" s="4">
        <f t="shared" si="88"/>
        <v>2.0322991145190379</v>
      </c>
      <c r="O87" s="4">
        <f t="shared" si="114"/>
        <v>4.9161495572595193</v>
      </c>
      <c r="P87" s="4">
        <f t="shared" si="115"/>
        <v>2.883850442740481</v>
      </c>
      <c r="Q87" s="4">
        <f t="shared" si="89"/>
        <v>0</v>
      </c>
      <c r="R87" s="4">
        <f t="shared" si="116"/>
        <v>3.9438796433088874</v>
      </c>
      <c r="S87" s="351">
        <f t="shared" si="90"/>
        <v>0.38885466602265595</v>
      </c>
      <c r="T87" s="351">
        <f t="shared" si="91"/>
        <v>0.65</v>
      </c>
      <c r="U87" s="351">
        <f t="shared" si="92"/>
        <v>1.0722093548702096</v>
      </c>
      <c r="V87" s="4">
        <f t="shared" si="117"/>
        <v>0.58667422042070239</v>
      </c>
      <c r="W87" s="351">
        <f t="shared" si="118"/>
        <v>3.441866409062389E-4</v>
      </c>
      <c r="X87" s="351">
        <f t="shared" si="119"/>
        <v>3.441866409062389E-4</v>
      </c>
      <c r="Y87" s="4">
        <f t="shared" si="120"/>
        <v>1.3828240588745304</v>
      </c>
      <c r="Z87" s="351">
        <f t="shared" si="121"/>
        <v>1.9122023778022309E-3</v>
      </c>
      <c r="AA87" s="520">
        <f t="shared" si="122"/>
        <v>1.9122023778022309E-3</v>
      </c>
      <c r="AB87" s="351">
        <f t="shared" si="123"/>
        <v>1.4942182663293317</v>
      </c>
      <c r="AC87" s="351">
        <f t="shared" si="93"/>
        <v>2.5675914615470689E-2</v>
      </c>
      <c r="AD87" s="351">
        <f t="shared" si="94"/>
        <v>0.1524911142857143</v>
      </c>
      <c r="AE87" s="351">
        <f t="shared" si="95"/>
        <v>0.53416704000000004</v>
      </c>
      <c r="AF87" s="351">
        <f t="shared" si="96"/>
        <v>0</v>
      </c>
      <c r="AG87" s="351">
        <f t="shared" si="97"/>
        <v>0.71542007176690103</v>
      </c>
      <c r="AH87" s="351">
        <f t="shared" si="98"/>
        <v>3.6498627937874599</v>
      </c>
      <c r="AI87" s="351">
        <f t="shared" si="99"/>
        <v>4.3960944764464209E-2</v>
      </c>
      <c r="AJ87" s="351">
        <f t="shared" si="100"/>
        <v>4.8047999999999993E-2</v>
      </c>
      <c r="AK87" s="351">
        <f t="shared" si="101"/>
        <v>9.2660697050040777E-2</v>
      </c>
      <c r="AL87" s="351">
        <f t="shared" si="102"/>
        <v>4.8047999999999993E-2</v>
      </c>
      <c r="AM87" s="351">
        <f t="shared" si="103"/>
        <v>0.6012864</v>
      </c>
      <c r="AN87" s="351">
        <f t="shared" si="104"/>
        <v>0.13998767976815613</v>
      </c>
      <c r="AO87" s="351">
        <f t="shared" si="105"/>
        <v>8.3999999999999993E-4</v>
      </c>
      <c r="AP87" s="351">
        <f>'Variable Management'!$B$346</f>
        <v>0.41183999999999998</v>
      </c>
      <c r="AQ87" s="351">
        <f t="shared" si="106"/>
        <v>0.36108727954971853</v>
      </c>
      <c r="AR87" s="351">
        <f t="shared" si="107"/>
        <v>0.35521199999999997</v>
      </c>
      <c r="AS87" s="351">
        <f t="shared" si="130"/>
        <v>0.41267999999999999</v>
      </c>
      <c r="AT87" s="351">
        <f t="shared" si="108"/>
        <v>3.0845485924740159</v>
      </c>
      <c r="AU87">
        <f t="shared" si="109"/>
        <v>12.87</v>
      </c>
      <c r="AV87" s="521">
        <f t="shared" si="124"/>
        <v>0.80666650801207618</v>
      </c>
      <c r="AW87" s="530">
        <f t="shared" si="110"/>
        <v>46.715302022209841</v>
      </c>
      <c r="AX87" s="530">
        <f t="shared" si="111"/>
        <v>11.64340836200163</v>
      </c>
      <c r="AY87" s="9"/>
      <c r="AZ87" s="4">
        <f t="shared" si="125"/>
        <v>80.666650801207624</v>
      </c>
      <c r="BA87" s="351">
        <f t="shared" si="112"/>
        <v>1.0722093548702096</v>
      </c>
      <c r="BB87" s="351">
        <f t="shared" si="126"/>
        <v>1.4093671688169418</v>
      </c>
      <c r="BC87" s="351">
        <f t="shared" si="127"/>
        <v>1.112269095766901</v>
      </c>
      <c r="BD87" s="351">
        <f t="shared" si="128"/>
        <v>0.29108520905004076</v>
      </c>
      <c r="BE87" s="351">
        <f t="shared" si="129"/>
        <v>0.13998767976815613</v>
      </c>
      <c r="BK87" s="18"/>
      <c r="BL87" s="19"/>
    </row>
    <row r="88" spans="1:64" x14ac:dyDescent="0.25">
      <c r="G88">
        <v>79</v>
      </c>
      <c r="H88" s="527">
        <f t="shared" si="83"/>
        <v>24</v>
      </c>
      <c r="I88" s="4">
        <f t="shared" si="84"/>
        <v>1</v>
      </c>
      <c r="J88" s="351">
        <f t="shared" si="113"/>
        <v>3.95</v>
      </c>
      <c r="K88" s="351">
        <f t="shared" si="85"/>
        <v>3.95</v>
      </c>
      <c r="L88" s="4">
        <f t="shared" si="86"/>
        <v>0.60347222222222219</v>
      </c>
      <c r="M88" s="351">
        <f t="shared" si="87"/>
        <v>0.14362004836029921</v>
      </c>
      <c r="N88" s="4">
        <f t="shared" si="88"/>
        <v>2.0332152758855697</v>
      </c>
      <c r="O88" s="4">
        <f t="shared" si="114"/>
        <v>4.9666076379427846</v>
      </c>
      <c r="P88" s="4">
        <f t="shared" si="115"/>
        <v>2.9333923620572153</v>
      </c>
      <c r="Q88" s="4">
        <f t="shared" si="89"/>
        <v>0</v>
      </c>
      <c r="R88" s="4">
        <f t="shared" si="116"/>
        <v>3.9933691326799732</v>
      </c>
      <c r="S88" s="351">
        <f t="shared" si="90"/>
        <v>0.39867492574603003</v>
      </c>
      <c r="T88" s="351">
        <f t="shared" si="91"/>
        <v>0.65</v>
      </c>
      <c r="U88" s="351">
        <f t="shared" si="92"/>
        <v>1.0832232413716474</v>
      </c>
      <c r="V88" s="4">
        <f t="shared" si="117"/>
        <v>0.58693869342649652</v>
      </c>
      <c r="W88" s="351">
        <f t="shared" si="118"/>
        <v>3.4449702984120284E-4</v>
      </c>
      <c r="X88" s="351">
        <f t="shared" si="119"/>
        <v>3.4449702984120284E-4</v>
      </c>
      <c r="Y88" s="4">
        <f t="shared" si="120"/>
        <v>1.4004907244623788</v>
      </c>
      <c r="Z88" s="351">
        <f t="shared" si="121"/>
        <v>1.9613742693051586E-3</v>
      </c>
      <c r="AA88" s="520">
        <f t="shared" si="122"/>
        <v>1.9613742693051586E-3</v>
      </c>
      <c r="AB88" s="351">
        <f t="shared" si="123"/>
        <v>1.5133765177996326</v>
      </c>
      <c r="AC88" s="351">
        <f t="shared" si="93"/>
        <v>2.6338547573214424E-2</v>
      </c>
      <c r="AD88" s="351">
        <f t="shared" si="94"/>
        <v>0.15444612857142859</v>
      </c>
      <c r="AE88" s="351">
        <f t="shared" si="95"/>
        <v>0.53416704000000004</v>
      </c>
      <c r="AF88" s="351">
        <f t="shared" si="96"/>
        <v>0</v>
      </c>
      <c r="AG88" s="351">
        <f t="shared" si="97"/>
        <v>0.71812934946244544</v>
      </c>
      <c r="AH88" s="351">
        <f t="shared" si="98"/>
        <v>3.6954957103498116</v>
      </c>
      <c r="AI88" s="351">
        <f t="shared" si="99"/>
        <v>4.5067072199205735E-2</v>
      </c>
      <c r="AJ88" s="351">
        <f t="shared" si="100"/>
        <v>4.8663999999999999E-2</v>
      </c>
      <c r="AK88" s="351">
        <f t="shared" si="101"/>
        <v>9.4411850709990974E-2</v>
      </c>
      <c r="AL88" s="351">
        <f t="shared" si="102"/>
        <v>4.8663999999999999E-2</v>
      </c>
      <c r="AM88" s="351">
        <f t="shared" si="103"/>
        <v>0.60899519999999996</v>
      </c>
      <c r="AN88" s="351">
        <f t="shared" si="104"/>
        <v>0.1435229732685708</v>
      </c>
      <c r="AO88" s="351">
        <f t="shared" si="105"/>
        <v>8.3999999999999993E-4</v>
      </c>
      <c r="AP88" s="351">
        <f>'Variable Management'!$B$346</f>
        <v>0.41183999999999998</v>
      </c>
      <c r="AQ88" s="351">
        <f t="shared" si="106"/>
        <v>0.36108727954971853</v>
      </c>
      <c r="AR88" s="351">
        <f t="shared" si="107"/>
        <v>0.35521199999999997</v>
      </c>
      <c r="AS88" s="351">
        <f t="shared" si="130"/>
        <v>0.41267999999999999</v>
      </c>
      <c r="AT88" s="351">
        <f t="shared" si="108"/>
        <v>3.111932486111801</v>
      </c>
      <c r="AU88">
        <f t="shared" si="109"/>
        <v>13.035</v>
      </c>
      <c r="AV88" s="521">
        <f t="shared" si="124"/>
        <v>0.80727407581666566</v>
      </c>
      <c r="AW88" s="530">
        <f t="shared" si="110"/>
        <v>47.04277962142271</v>
      </c>
      <c r="AX88" s="530">
        <f t="shared" si="111"/>
        <v>11.815210668399638</v>
      </c>
      <c r="AY88" s="9"/>
      <c r="AZ88" s="4">
        <f t="shared" si="125"/>
        <v>80.727407581666569</v>
      </c>
      <c r="BA88" s="351">
        <f t="shared" si="112"/>
        <v>1.0832232413716474</v>
      </c>
      <c r="BB88" s="351">
        <f t="shared" si="126"/>
        <v>1.4215364001724362</v>
      </c>
      <c r="BC88" s="351">
        <f t="shared" si="127"/>
        <v>1.1200661814624455</v>
      </c>
      <c r="BD88" s="351">
        <f t="shared" si="128"/>
        <v>0.29538026670999096</v>
      </c>
      <c r="BE88" s="351">
        <f t="shared" si="129"/>
        <v>0.1435229732685708</v>
      </c>
      <c r="BK88" s="18"/>
      <c r="BL88" s="19"/>
    </row>
    <row r="89" spans="1:64" x14ac:dyDescent="0.25">
      <c r="G89">
        <v>80</v>
      </c>
      <c r="H89" s="527">
        <f t="shared" si="83"/>
        <v>24</v>
      </c>
      <c r="I89" s="4">
        <f t="shared" si="84"/>
        <v>1</v>
      </c>
      <c r="J89" s="351">
        <f t="shared" si="113"/>
        <v>4</v>
      </c>
      <c r="K89" s="351">
        <f t="shared" si="85"/>
        <v>4</v>
      </c>
      <c r="L89" s="4">
        <f t="shared" si="86"/>
        <v>0.61111111111111105</v>
      </c>
      <c r="M89" s="351">
        <f t="shared" si="87"/>
        <v>0.14369750699906678</v>
      </c>
      <c r="N89" s="4">
        <f t="shared" si="88"/>
        <v>2.034131238883484</v>
      </c>
      <c r="O89" s="4">
        <f t="shared" si="114"/>
        <v>5.017065619441742</v>
      </c>
      <c r="P89" s="4">
        <f t="shared" si="115"/>
        <v>2.982934380558258</v>
      </c>
      <c r="Q89" s="4">
        <f t="shared" si="89"/>
        <v>0</v>
      </c>
      <c r="R89" s="4">
        <f t="shared" si="116"/>
        <v>4.0428711940175397</v>
      </c>
      <c r="S89" s="351">
        <f t="shared" si="90"/>
        <v>0.40862018728542016</v>
      </c>
      <c r="T89" s="351">
        <f t="shared" si="91"/>
        <v>0.65</v>
      </c>
      <c r="U89" s="351">
        <f t="shared" si="92"/>
        <v>1.0943955566719501</v>
      </c>
      <c r="V89" s="4">
        <f t="shared" si="117"/>
        <v>0.58720310916820329</v>
      </c>
      <c r="W89" s="351">
        <f t="shared" si="118"/>
        <v>3.4480749141680491E-4</v>
      </c>
      <c r="X89" s="351">
        <f t="shared" si="119"/>
        <v>3.4480749141680491E-4</v>
      </c>
      <c r="Y89" s="4">
        <f t="shared" si="120"/>
        <v>1.418169451036557</v>
      </c>
      <c r="Z89" s="351">
        <f t="shared" si="121"/>
        <v>2.0112045918533297E-3</v>
      </c>
      <c r="AA89" s="520">
        <f t="shared" si="122"/>
        <v>2.0112045918533297E-3</v>
      </c>
      <c r="AB89" s="351">
        <f t="shared" si="123"/>
        <v>1.5325495388065817</v>
      </c>
      <c r="AC89" s="351">
        <f t="shared" si="93"/>
        <v>2.7010143022307066E-2</v>
      </c>
      <c r="AD89" s="351">
        <f t="shared" si="94"/>
        <v>0.15640114285714285</v>
      </c>
      <c r="AE89" s="351">
        <f t="shared" si="95"/>
        <v>0.53416704000000004</v>
      </c>
      <c r="AF89" s="351">
        <f t="shared" si="96"/>
        <v>0</v>
      </c>
      <c r="AG89" s="351">
        <f t="shared" si="97"/>
        <v>0.72084932677294666</v>
      </c>
      <c r="AH89" s="351">
        <f t="shared" si="98"/>
        <v>3.7411361111994497</v>
      </c>
      <c r="AI89" s="351">
        <f t="shared" si="99"/>
        <v>4.6187128028317787E-2</v>
      </c>
      <c r="AJ89" s="351">
        <f t="shared" si="100"/>
        <v>4.9279999999999997E-2</v>
      </c>
      <c r="AK89" s="351">
        <f t="shared" si="101"/>
        <v>9.6177876813901053E-2</v>
      </c>
      <c r="AL89" s="351">
        <f t="shared" si="102"/>
        <v>4.9279999999999997E-2</v>
      </c>
      <c r="AM89" s="351">
        <f t="shared" si="103"/>
        <v>0.61670400000000014</v>
      </c>
      <c r="AN89" s="351">
        <f t="shared" si="104"/>
        <v>0.14710326742275123</v>
      </c>
      <c r="AO89" s="351">
        <f t="shared" si="105"/>
        <v>8.3999999999999993E-4</v>
      </c>
      <c r="AP89" s="351">
        <f>'Variable Management'!$B$346</f>
        <v>0.41183999999999998</v>
      </c>
      <c r="AQ89" s="351">
        <f t="shared" si="106"/>
        <v>0.36108727954971853</v>
      </c>
      <c r="AR89" s="351">
        <f t="shared" si="107"/>
        <v>0.35521199999999997</v>
      </c>
      <c r="AS89" s="351">
        <f t="shared" si="130"/>
        <v>0.41267999999999999</v>
      </c>
      <c r="AT89" s="351">
        <f t="shared" si="108"/>
        <v>3.1395460397648192</v>
      </c>
      <c r="AU89">
        <f t="shared" si="109"/>
        <v>13.2</v>
      </c>
      <c r="AV89" s="521">
        <f t="shared" si="124"/>
        <v>0.80785598130301495</v>
      </c>
      <c r="AW89" s="530">
        <f t="shared" si="110"/>
        <v>47.370706604463763</v>
      </c>
      <c r="AX89" s="530">
        <f t="shared" si="111"/>
        <v>11.987607872556044</v>
      </c>
      <c r="AY89" s="9"/>
      <c r="AZ89" s="4">
        <f t="shared" si="125"/>
        <v>80.785598130301494</v>
      </c>
      <c r="BA89" s="351">
        <f t="shared" si="112"/>
        <v>1.0943955566719501</v>
      </c>
      <c r="BB89" s="351">
        <f t="shared" si="126"/>
        <v>1.4337312035868479</v>
      </c>
      <c r="BC89" s="351">
        <f t="shared" si="127"/>
        <v>1.1278739667729467</v>
      </c>
      <c r="BD89" s="351">
        <f t="shared" si="128"/>
        <v>0.29969019681390108</v>
      </c>
      <c r="BE89" s="351">
        <f t="shared" si="129"/>
        <v>0.14710326742275123</v>
      </c>
      <c r="BK89" s="18"/>
      <c r="BL89" s="19"/>
    </row>
    <row r="90" spans="1:64" x14ac:dyDescent="0.25">
      <c r="G90">
        <v>81</v>
      </c>
      <c r="H90" s="527">
        <f t="shared" si="83"/>
        <v>24</v>
      </c>
      <c r="I90" s="4">
        <f t="shared" si="84"/>
        <v>1</v>
      </c>
      <c r="J90" s="351">
        <f t="shared" si="113"/>
        <v>4.05</v>
      </c>
      <c r="K90" s="351">
        <f t="shared" si="85"/>
        <v>4.05</v>
      </c>
      <c r="L90" s="4">
        <f t="shared" si="86"/>
        <v>0.61874999999999991</v>
      </c>
      <c r="M90" s="351">
        <f t="shared" si="87"/>
        <v>0.14377496537967371</v>
      </c>
      <c r="N90" s="4">
        <f t="shared" si="88"/>
        <v>2.0350470035137711</v>
      </c>
      <c r="O90" s="4">
        <f t="shared" si="114"/>
        <v>5.0675235017568854</v>
      </c>
      <c r="P90" s="4">
        <f t="shared" si="115"/>
        <v>3.0324764982431143</v>
      </c>
      <c r="Q90" s="4">
        <f t="shared" si="89"/>
        <v>0</v>
      </c>
      <c r="R90" s="4">
        <f t="shared" si="116"/>
        <v>4.0923853710937994</v>
      </c>
      <c r="S90" s="351">
        <f t="shared" si="90"/>
        <v>0.41869045063856336</v>
      </c>
      <c r="T90" s="351">
        <f t="shared" si="91"/>
        <v>0.65</v>
      </c>
      <c r="U90" s="351">
        <f t="shared" si="92"/>
        <v>1.1057270388116263</v>
      </c>
      <c r="V90" s="4">
        <f t="shared" si="117"/>
        <v>0.58746746764610858</v>
      </c>
      <c r="W90" s="351">
        <f t="shared" si="118"/>
        <v>3.4511802554253163E-4</v>
      </c>
      <c r="X90" s="351">
        <f t="shared" si="119"/>
        <v>3.4511802554253163E-4</v>
      </c>
      <c r="Y90" s="4">
        <f t="shared" si="120"/>
        <v>1.4358600763864113</v>
      </c>
      <c r="Z90" s="351">
        <f t="shared" si="121"/>
        <v>2.0616941589603906E-3</v>
      </c>
      <c r="AA90" s="520">
        <f t="shared" si="122"/>
        <v>2.0616941589603906E-3</v>
      </c>
      <c r="AB90" s="351">
        <f t="shared" si="123"/>
        <v>1.5517371561622082</v>
      </c>
      <c r="AC90" s="351">
        <f t="shared" si="93"/>
        <v>2.7690714320865339E-2</v>
      </c>
      <c r="AD90" s="351">
        <f t="shared" si="94"/>
        <v>0.15835615714285711</v>
      </c>
      <c r="AE90" s="351">
        <f t="shared" si="95"/>
        <v>0.53416704000000004</v>
      </c>
      <c r="AF90" s="351">
        <f t="shared" si="96"/>
        <v>0</v>
      </c>
      <c r="AG90" s="351">
        <f t="shared" si="97"/>
        <v>0.72358003473277377</v>
      </c>
      <c r="AH90" s="351">
        <f t="shared" si="98"/>
        <v>3.786783572337896</v>
      </c>
      <c r="AI90" s="351">
        <f t="shared" si="99"/>
        <v>4.7321108418302921E-2</v>
      </c>
      <c r="AJ90" s="351">
        <f t="shared" si="100"/>
        <v>4.9895999999999996E-2</v>
      </c>
      <c r="AK90" s="351">
        <f t="shared" si="101"/>
        <v>9.7958791392383698E-2</v>
      </c>
      <c r="AL90" s="351">
        <f t="shared" si="102"/>
        <v>4.9895999999999996E-2</v>
      </c>
      <c r="AM90" s="351">
        <f t="shared" si="103"/>
        <v>0.6244128000000001</v>
      </c>
      <c r="AN90" s="351">
        <f t="shared" si="104"/>
        <v>0.15072856222988279</v>
      </c>
      <c r="AO90" s="351">
        <f t="shared" si="105"/>
        <v>8.3999999999999993E-4</v>
      </c>
      <c r="AP90" s="351">
        <f>'Variable Management'!$B$346</f>
        <v>0.41183999999999998</v>
      </c>
      <c r="AQ90" s="351">
        <f t="shared" si="106"/>
        <v>0.36108727954971853</v>
      </c>
      <c r="AR90" s="351">
        <f t="shared" si="107"/>
        <v>0.35521199999999997</v>
      </c>
      <c r="AS90" s="351">
        <f t="shared" si="130"/>
        <v>0.41267999999999999</v>
      </c>
      <c r="AT90" s="351">
        <f t="shared" si="108"/>
        <v>3.1673900393511691</v>
      </c>
      <c r="AU90">
        <f t="shared" si="109"/>
        <v>13.364999999999998</v>
      </c>
      <c r="AV90" s="521">
        <f t="shared" si="124"/>
        <v>0.80841305874032743</v>
      </c>
      <c r="AW90" s="530">
        <f t="shared" si="110"/>
        <v>47.699084274776503</v>
      </c>
      <c r="AX90" s="530">
        <f t="shared" si="111"/>
        <v>12.160600615695349</v>
      </c>
      <c r="AY90" s="9"/>
      <c r="AZ90" s="4">
        <f t="shared" si="125"/>
        <v>80.841305874032741</v>
      </c>
      <c r="BA90" s="351">
        <f t="shared" si="112"/>
        <v>1.1057270388116263</v>
      </c>
      <c r="BB90" s="351">
        <f t="shared" si="126"/>
        <v>1.4459516261251575</v>
      </c>
      <c r="BC90" s="351">
        <f t="shared" si="127"/>
        <v>1.1356924827327739</v>
      </c>
      <c r="BD90" s="351">
        <f t="shared" si="128"/>
        <v>0.30401501539238374</v>
      </c>
      <c r="BE90" s="351">
        <f t="shared" si="129"/>
        <v>0.15072856222988279</v>
      </c>
      <c r="BK90" s="18"/>
      <c r="BL90" s="19"/>
    </row>
    <row r="91" spans="1:64" x14ac:dyDescent="0.25">
      <c r="G91">
        <v>82</v>
      </c>
      <c r="H91" s="527">
        <f t="shared" si="83"/>
        <v>24</v>
      </c>
      <c r="I91" s="4">
        <f t="shared" si="84"/>
        <v>1</v>
      </c>
      <c r="J91" s="351">
        <f t="shared" si="113"/>
        <v>4.0999999999999996</v>
      </c>
      <c r="K91" s="351">
        <f t="shared" si="85"/>
        <v>4.0999999999999996</v>
      </c>
      <c r="L91" s="4">
        <f t="shared" si="86"/>
        <v>0.62638888888888877</v>
      </c>
      <c r="M91" s="351">
        <f t="shared" si="87"/>
        <v>0.14385242350212138</v>
      </c>
      <c r="N91" s="4">
        <f t="shared" si="88"/>
        <v>2.035962569777424</v>
      </c>
      <c r="O91" s="4">
        <f t="shared" si="114"/>
        <v>5.1179812848887121</v>
      </c>
      <c r="P91" s="4">
        <f t="shared" si="115"/>
        <v>3.0820187151112877</v>
      </c>
      <c r="Q91" s="4">
        <f t="shared" si="89"/>
        <v>0</v>
      </c>
      <c r="R91" s="4">
        <f t="shared" si="116"/>
        <v>4.141911229387695</v>
      </c>
      <c r="S91" s="351">
        <f t="shared" si="90"/>
        <v>0.42888571580319718</v>
      </c>
      <c r="T91" s="351">
        <f t="shared" si="91"/>
        <v>0.65</v>
      </c>
      <c r="U91" s="351">
        <f t="shared" si="92"/>
        <v>1.1172184381681804</v>
      </c>
      <c r="V91" s="4">
        <f t="shared" si="117"/>
        <v>0.58773176886049905</v>
      </c>
      <c r="W91" s="351">
        <f t="shared" si="118"/>
        <v>3.454286321278911E-4</v>
      </c>
      <c r="X91" s="351">
        <f t="shared" si="119"/>
        <v>3.454286321278911E-4</v>
      </c>
      <c r="Y91" s="4">
        <f t="shared" si="120"/>
        <v>1.4535624457774947</v>
      </c>
      <c r="Z91" s="351">
        <f t="shared" si="121"/>
        <v>2.1128437837746521E-3</v>
      </c>
      <c r="AA91" s="520">
        <f t="shared" si="122"/>
        <v>2.1128437837746521E-3</v>
      </c>
      <c r="AB91" s="351">
        <f t="shared" si="123"/>
        <v>1.5709392047273121</v>
      </c>
      <c r="AC91" s="351">
        <f t="shared" si="93"/>
        <v>2.8380274826916716E-2</v>
      </c>
      <c r="AD91" s="351">
        <f t="shared" si="94"/>
        <v>0.1603111714285714</v>
      </c>
      <c r="AE91" s="351">
        <f t="shared" si="95"/>
        <v>0.53416704000000004</v>
      </c>
      <c r="AF91" s="351">
        <f t="shared" si="96"/>
        <v>0</v>
      </c>
      <c r="AG91" s="351">
        <f t="shared" si="97"/>
        <v>0.72632150451249666</v>
      </c>
      <c r="AH91" s="351">
        <f t="shared" si="98"/>
        <v>3.8324376899277315</v>
      </c>
      <c r="AI91" s="351">
        <f t="shared" si="99"/>
        <v>4.8469009535689403E-2</v>
      </c>
      <c r="AJ91" s="351">
        <f t="shared" si="100"/>
        <v>5.0511999999999994E-2</v>
      </c>
      <c r="AK91" s="351">
        <f t="shared" si="101"/>
        <v>9.9754610683924286E-2</v>
      </c>
      <c r="AL91" s="351">
        <f t="shared" si="102"/>
        <v>5.0511999999999994E-2</v>
      </c>
      <c r="AM91" s="351">
        <f t="shared" si="103"/>
        <v>0.63212159999999995</v>
      </c>
      <c r="AN91" s="351">
        <f t="shared" si="104"/>
        <v>0.15439885768915096</v>
      </c>
      <c r="AO91" s="351">
        <f t="shared" si="105"/>
        <v>8.3999999999999993E-4</v>
      </c>
      <c r="AP91" s="351">
        <f>'Variable Management'!$B$346</f>
        <v>0.41183999999999998</v>
      </c>
      <c r="AQ91" s="351">
        <f t="shared" si="106"/>
        <v>0.36108727954971853</v>
      </c>
      <c r="AR91" s="351">
        <f t="shared" si="107"/>
        <v>0.35521199999999997</v>
      </c>
      <c r="AS91" s="351">
        <f t="shared" si="130"/>
        <v>0.41267999999999999</v>
      </c>
      <c r="AT91" s="351">
        <f t="shared" si="108"/>
        <v>3.1954652834696544</v>
      </c>
      <c r="AU91">
        <f t="shared" si="109"/>
        <v>13.529999999999998</v>
      </c>
      <c r="AV91" s="521">
        <f t="shared" si="124"/>
        <v>0.80894610527649458</v>
      </c>
      <c r="AW91" s="530">
        <f t="shared" si="110"/>
        <v>48.027913941524865</v>
      </c>
      <c r="AX91" s="530">
        <f t="shared" si="111"/>
        <v>12.334189547356971</v>
      </c>
      <c r="AY91" s="9"/>
      <c r="AZ91" s="4">
        <f t="shared" si="125"/>
        <v>80.894610527649462</v>
      </c>
      <c r="BA91" s="351">
        <f t="shared" si="112"/>
        <v>1.1172184381681804</v>
      </c>
      <c r="BB91" s="351">
        <f t="shared" si="126"/>
        <v>1.4581977151964209</v>
      </c>
      <c r="BC91" s="351">
        <f t="shared" si="127"/>
        <v>1.1435217605124968</v>
      </c>
      <c r="BD91" s="351">
        <f t="shared" si="128"/>
        <v>0.30835473868392427</v>
      </c>
      <c r="BE91" s="351">
        <f t="shared" si="129"/>
        <v>0.15439885768915096</v>
      </c>
      <c r="BK91" s="18"/>
      <c r="BL91" s="19"/>
    </row>
    <row r="92" spans="1:64" x14ac:dyDescent="0.25">
      <c r="G92">
        <v>83</v>
      </c>
      <c r="H92" s="527">
        <f t="shared" si="83"/>
        <v>24</v>
      </c>
      <c r="I92" s="4">
        <f t="shared" si="84"/>
        <v>1</v>
      </c>
      <c r="J92" s="351">
        <f t="shared" si="113"/>
        <v>4.1500000000000004</v>
      </c>
      <c r="K92" s="351">
        <f t="shared" si="85"/>
        <v>4.1500000000000004</v>
      </c>
      <c r="L92" s="4">
        <f t="shared" si="86"/>
        <v>0.63402777777777775</v>
      </c>
      <c r="M92" s="351">
        <f t="shared" si="87"/>
        <v>0.14392988136641099</v>
      </c>
      <c r="N92" s="4">
        <f t="shared" si="88"/>
        <v>2.0368779376754338</v>
      </c>
      <c r="O92" s="4">
        <f t="shared" si="114"/>
        <v>5.1684389688377177</v>
      </c>
      <c r="P92" s="4">
        <f t="shared" si="115"/>
        <v>3.1315610311622835</v>
      </c>
      <c r="Q92" s="4">
        <f t="shared" si="89"/>
        <v>0</v>
      </c>
      <c r="R92" s="4">
        <f t="shared" si="116"/>
        <v>4.1914483548151242</v>
      </c>
      <c r="S92" s="351">
        <f t="shared" si="90"/>
        <v>0.4392059827770603</v>
      </c>
      <c r="T92" s="351">
        <f t="shared" si="91"/>
        <v>0.65</v>
      </c>
      <c r="U92" s="351">
        <f t="shared" si="92"/>
        <v>1.1288705175853917</v>
      </c>
      <c r="V92" s="4">
        <f t="shared" si="117"/>
        <v>0.58799601281166081</v>
      </c>
      <c r="W92" s="351">
        <f t="shared" si="118"/>
        <v>3.4573931108241083E-4</v>
      </c>
      <c r="X92" s="351">
        <f t="shared" si="119"/>
        <v>3.4573931108241083E-4</v>
      </c>
      <c r="Y92" s="4">
        <f t="shared" si="120"/>
        <v>1.4712764115145378</v>
      </c>
      <c r="Z92" s="351">
        <f t="shared" si="121"/>
        <v>2.1646542790790956E-3</v>
      </c>
      <c r="AA92" s="520">
        <f t="shared" si="122"/>
        <v>2.1646542790790956E-3</v>
      </c>
      <c r="AB92" s="351">
        <f t="shared" si="123"/>
        <v>1.5901555269409371</v>
      </c>
      <c r="AC92" s="351">
        <f t="shared" si="93"/>
        <v>2.907883789839931E-2</v>
      </c>
      <c r="AD92" s="351">
        <f t="shared" si="94"/>
        <v>0.16226618571428575</v>
      </c>
      <c r="AE92" s="351">
        <f t="shared" si="95"/>
        <v>0.53416704000000004</v>
      </c>
      <c r="AF92" s="351">
        <f t="shared" si="96"/>
        <v>0</v>
      </c>
      <c r="AG92" s="351">
        <f t="shared" si="97"/>
        <v>0.72907376741967878</v>
      </c>
      <c r="AH92" s="351">
        <f t="shared" si="98"/>
        <v>3.8780980791132142</v>
      </c>
      <c r="AI92" s="351">
        <f t="shared" si="99"/>
        <v>4.9630827547031284E-2</v>
      </c>
      <c r="AJ92" s="351">
        <f t="shared" si="100"/>
        <v>5.1128E-2</v>
      </c>
      <c r="AK92" s="351">
        <f t="shared" si="101"/>
        <v>0.10156535113534358</v>
      </c>
      <c r="AL92" s="351">
        <f t="shared" si="102"/>
        <v>5.1128E-2</v>
      </c>
      <c r="AM92" s="351">
        <f t="shared" si="103"/>
        <v>0.63983040000000013</v>
      </c>
      <c r="AN92" s="351">
        <f t="shared" si="104"/>
        <v>0.1581141537997417</v>
      </c>
      <c r="AO92" s="351">
        <f t="shared" si="105"/>
        <v>8.3999999999999993E-4</v>
      </c>
      <c r="AP92" s="351">
        <f>'Variable Management'!$B$346</f>
        <v>0.41183999999999998</v>
      </c>
      <c r="AQ92" s="351">
        <f t="shared" si="106"/>
        <v>0.36108727954971853</v>
      </c>
      <c r="AR92" s="351">
        <f t="shared" si="107"/>
        <v>0.35521199999999997</v>
      </c>
      <c r="AS92" s="351">
        <f t="shared" si="130"/>
        <v>0.41267999999999999</v>
      </c>
      <c r="AT92" s="351">
        <f t="shared" si="108"/>
        <v>3.2237725835303173</v>
      </c>
      <c r="AU92">
        <f t="shared" si="109"/>
        <v>13.695</v>
      </c>
      <c r="AV92" s="521">
        <f t="shared" si="124"/>
        <v>0.80945588294812132</v>
      </c>
      <c r="AW92" s="530">
        <f t="shared" si="110"/>
        <v>48.357196919626517</v>
      </c>
      <c r="AX92" s="530">
        <f t="shared" si="111"/>
        <v>12.508375325413745</v>
      </c>
      <c r="AY92" s="9"/>
      <c r="AZ92" s="4">
        <f t="shared" si="125"/>
        <v>80.945588294812126</v>
      </c>
      <c r="BA92" s="351">
        <f t="shared" si="112"/>
        <v>1.1288705175853917</v>
      </c>
      <c r="BB92" s="351">
        <f t="shared" si="126"/>
        <v>1.4704695185550225</v>
      </c>
      <c r="BC92" s="351">
        <f t="shared" si="127"/>
        <v>1.151361831419679</v>
      </c>
      <c r="BD92" s="351">
        <f t="shared" si="128"/>
        <v>0.31270938313534363</v>
      </c>
      <c r="BE92" s="351">
        <f t="shared" si="129"/>
        <v>0.1581141537997417</v>
      </c>
      <c r="BK92" s="18"/>
      <c r="BL92" s="19"/>
    </row>
    <row r="93" spans="1:64" x14ac:dyDescent="0.25">
      <c r="G93">
        <v>84</v>
      </c>
      <c r="H93" s="527">
        <f t="shared" si="83"/>
        <v>24</v>
      </c>
      <c r="I93" s="4">
        <f t="shared" si="84"/>
        <v>1</v>
      </c>
      <c r="J93" s="351">
        <f t="shared" si="113"/>
        <v>4.2</v>
      </c>
      <c r="K93" s="351">
        <f t="shared" si="85"/>
        <v>4.2</v>
      </c>
      <c r="L93" s="4">
        <f t="shared" si="86"/>
        <v>0.64166666666666661</v>
      </c>
      <c r="M93" s="351">
        <f t="shared" si="87"/>
        <v>0.14400733897254384</v>
      </c>
      <c r="N93" s="4">
        <f t="shared" si="88"/>
        <v>2.0377931072087923</v>
      </c>
      <c r="O93" s="4">
        <f t="shared" si="114"/>
        <v>5.2188965536043961</v>
      </c>
      <c r="P93" s="4">
        <f t="shared" si="115"/>
        <v>3.1811034463956043</v>
      </c>
      <c r="Q93" s="4">
        <f t="shared" si="89"/>
        <v>0</v>
      </c>
      <c r="R93" s="4">
        <f t="shared" si="116"/>
        <v>4.2409963525468442</v>
      </c>
      <c r="S93" s="351">
        <f t="shared" si="90"/>
        <v>0.44965125155789099</v>
      </c>
      <c r="T93" s="351">
        <f t="shared" si="91"/>
        <v>0.65</v>
      </c>
      <c r="U93" s="351">
        <f t="shared" si="92"/>
        <v>1.1406840525051776</v>
      </c>
      <c r="V93" s="4">
        <f t="shared" si="117"/>
        <v>0.58826019949988007</v>
      </c>
      <c r="W93" s="351">
        <f t="shared" si="118"/>
        <v>3.4605006231563869E-4</v>
      </c>
      <c r="X93" s="351">
        <f t="shared" si="119"/>
        <v>3.4605006231563869E-4</v>
      </c>
      <c r="Y93" s="4">
        <f t="shared" si="120"/>
        <v>1.489001832534592</v>
      </c>
      <c r="Z93" s="351">
        <f t="shared" si="121"/>
        <v>2.217126457291373E-3</v>
      </c>
      <c r="AA93" s="520">
        <f t="shared" si="122"/>
        <v>2.217126457291373E-3</v>
      </c>
      <c r="AB93" s="351">
        <f t="shared" si="123"/>
        <v>1.6093859723823341</v>
      </c>
      <c r="AC93" s="351">
        <f t="shared" si="93"/>
        <v>2.9786416893161853E-2</v>
      </c>
      <c r="AD93" s="351">
        <f t="shared" si="94"/>
        <v>0.16422120000000004</v>
      </c>
      <c r="AE93" s="351">
        <f t="shared" si="95"/>
        <v>0.53416704000000004</v>
      </c>
      <c r="AF93" s="351">
        <f t="shared" si="96"/>
        <v>0</v>
      </c>
      <c r="AG93" s="351">
        <f t="shared" si="97"/>
        <v>0.73183685489967609</v>
      </c>
      <c r="AH93" s="351">
        <f t="shared" si="98"/>
        <v>3.923764372922335</v>
      </c>
      <c r="AI93" s="351">
        <f t="shared" si="99"/>
        <v>5.0806558618908197E-2</v>
      </c>
      <c r="AJ93" s="351">
        <f t="shared" si="100"/>
        <v>5.1743999999999998E-2</v>
      </c>
      <c r="AK93" s="351">
        <f t="shared" si="101"/>
        <v>0.10339102940226748</v>
      </c>
      <c r="AL93" s="351">
        <f t="shared" si="102"/>
        <v>5.1743999999999998E-2</v>
      </c>
      <c r="AM93" s="351">
        <f t="shared" si="103"/>
        <v>0.64753920000000009</v>
      </c>
      <c r="AN93" s="351">
        <f t="shared" si="104"/>
        <v>0.16187445056084074</v>
      </c>
      <c r="AO93" s="351">
        <f t="shared" si="105"/>
        <v>8.3999999999999993E-4</v>
      </c>
      <c r="AP93" s="351">
        <f>'Variable Management'!$B$346</f>
        <v>0.41183999999999998</v>
      </c>
      <c r="AQ93" s="351">
        <f t="shared" si="106"/>
        <v>0.36108727954971853</v>
      </c>
      <c r="AR93" s="351">
        <f t="shared" si="107"/>
        <v>0.35521199999999997</v>
      </c>
      <c r="AS93" s="351">
        <f t="shared" si="130"/>
        <v>0.41267999999999999</v>
      </c>
      <c r="AT93" s="351">
        <f t="shared" si="108"/>
        <v>3.2523127638875691</v>
      </c>
      <c r="AU93">
        <f t="shared" si="109"/>
        <v>13.86</v>
      </c>
      <c r="AV93" s="521">
        <f t="shared" si="124"/>
        <v>0.80994312056106255</v>
      </c>
      <c r="AW93" s="530">
        <f t="shared" si="110"/>
        <v>48.686934529786399</v>
      </c>
      <c r="AX93" s="530">
        <f t="shared" si="111"/>
        <v>12.683158616090701</v>
      </c>
      <c r="AY93" s="9"/>
      <c r="AZ93" s="4">
        <f t="shared" si="125"/>
        <v>80.994312056106253</v>
      </c>
      <c r="BA93" s="351">
        <f t="shared" si="112"/>
        <v>1.1406840525051776</v>
      </c>
      <c r="BB93" s="351">
        <f t="shared" si="126"/>
        <v>1.4827670843019436</v>
      </c>
      <c r="BC93" s="351">
        <f t="shared" si="127"/>
        <v>1.1592127268996761</v>
      </c>
      <c r="BD93" s="351">
        <f t="shared" si="128"/>
        <v>0.31707896540226754</v>
      </c>
      <c r="BE93" s="351">
        <f t="shared" si="129"/>
        <v>0.16187445056084074</v>
      </c>
      <c r="BK93" s="18"/>
      <c r="BL93" s="19"/>
    </row>
    <row r="94" spans="1:64" x14ac:dyDescent="0.25">
      <c r="G94">
        <v>85</v>
      </c>
      <c r="H94" s="527">
        <f t="shared" si="83"/>
        <v>24</v>
      </c>
      <c r="I94" s="4">
        <f t="shared" si="84"/>
        <v>1</v>
      </c>
      <c r="J94" s="351">
        <f t="shared" si="113"/>
        <v>4.25</v>
      </c>
      <c r="K94" s="351">
        <f t="shared" si="85"/>
        <v>4.25</v>
      </c>
      <c r="L94" s="4">
        <f t="shared" si="86"/>
        <v>0.64930555555555547</v>
      </c>
      <c r="M94" s="351">
        <f t="shared" si="87"/>
        <v>0.14408479632052126</v>
      </c>
      <c r="N94" s="4">
        <f t="shared" si="88"/>
        <v>2.038708078378491</v>
      </c>
      <c r="O94" s="4">
        <f t="shared" si="114"/>
        <v>5.2693540391892455</v>
      </c>
      <c r="P94" s="4">
        <f t="shared" si="115"/>
        <v>3.2306459608107545</v>
      </c>
      <c r="Q94" s="4">
        <f t="shared" si="89"/>
        <v>0</v>
      </c>
      <c r="R94" s="4">
        <f t="shared" si="116"/>
        <v>4.2905548459071285</v>
      </c>
      <c r="S94" s="351">
        <f t="shared" si="90"/>
        <v>0.46022152214342865</v>
      </c>
      <c r="T94" s="351">
        <f t="shared" si="91"/>
        <v>0.65</v>
      </c>
      <c r="U94" s="351">
        <f t="shared" si="92"/>
        <v>1.1526598311021001</v>
      </c>
      <c r="V94" s="4">
        <f t="shared" si="117"/>
        <v>0.58852432892544326</v>
      </c>
      <c r="W94" s="351">
        <f t="shared" si="118"/>
        <v>3.4636088573714334E-4</v>
      </c>
      <c r="X94" s="351">
        <f t="shared" si="119"/>
        <v>3.4636088573714334E-4</v>
      </c>
      <c r="Y94" s="4">
        <f t="shared" si="120"/>
        <v>1.5067385740279637</v>
      </c>
      <c r="Z94" s="351">
        <f t="shared" si="121"/>
        <v>2.2702611304638216E-3</v>
      </c>
      <c r="AA94" s="520">
        <f t="shared" si="122"/>
        <v>2.2702611304638216E-3</v>
      </c>
      <c r="AB94" s="351">
        <f t="shared" si="123"/>
        <v>1.6286303973628415</v>
      </c>
      <c r="AC94" s="351">
        <f t="shared" si="93"/>
        <v>3.0503025168963839E-2</v>
      </c>
      <c r="AD94" s="351">
        <f t="shared" si="94"/>
        <v>0.16617621428571427</v>
      </c>
      <c r="AE94" s="351">
        <f t="shared" si="95"/>
        <v>0.53416704000000004</v>
      </c>
      <c r="AF94" s="351">
        <f t="shared" si="96"/>
        <v>0</v>
      </c>
      <c r="AG94" s="351">
        <f t="shared" si="97"/>
        <v>0.73461079853643929</v>
      </c>
      <c r="AH94" s="351">
        <f t="shared" si="98"/>
        <v>3.9694362212438805</v>
      </c>
      <c r="AI94" s="351">
        <f t="shared" si="99"/>
        <v>5.1996198917925555E-2</v>
      </c>
      <c r="AJ94" s="351">
        <f t="shared" si="100"/>
        <v>5.2359999999999997E-2</v>
      </c>
      <c r="AK94" s="351">
        <f t="shared" si="101"/>
        <v>0.1052316623496046</v>
      </c>
      <c r="AL94" s="351">
        <f t="shared" si="102"/>
        <v>5.2359999999999997E-2</v>
      </c>
      <c r="AM94" s="351">
        <f t="shared" si="103"/>
        <v>0.65524800000000005</v>
      </c>
      <c r="AN94" s="351">
        <f t="shared" si="104"/>
        <v>0.16567974797163429</v>
      </c>
      <c r="AO94" s="351">
        <f t="shared" si="105"/>
        <v>8.3999999999999993E-4</v>
      </c>
      <c r="AP94" s="351">
        <f>'Variable Management'!$B$346</f>
        <v>0.41183999999999998</v>
      </c>
      <c r="AQ94" s="351">
        <f t="shared" si="106"/>
        <v>0.36108727954971853</v>
      </c>
      <c r="AR94" s="351">
        <f t="shared" si="107"/>
        <v>0.35521199999999997</v>
      </c>
      <c r="AS94" s="351">
        <f t="shared" si="130"/>
        <v>0.41267999999999999</v>
      </c>
      <c r="AT94" s="351">
        <f t="shared" si="108"/>
        <v>3.2810866619759795</v>
      </c>
      <c r="AU94">
        <f t="shared" si="109"/>
        <v>14.024999999999999</v>
      </c>
      <c r="AV94" s="521">
        <f t="shared" si="124"/>
        <v>0.81040851545109782</v>
      </c>
      <c r="AW94" s="530">
        <f t="shared" si="110"/>
        <v>49.017128098530449</v>
      </c>
      <c r="AX94" s="530">
        <f t="shared" si="111"/>
        <v>12.858540093984185</v>
      </c>
      <c r="AY94" s="9"/>
      <c r="AZ94" s="4">
        <f t="shared" si="125"/>
        <v>81.040851545109788</v>
      </c>
      <c r="BA94" s="351">
        <f t="shared" si="112"/>
        <v>1.1526598311021001</v>
      </c>
      <c r="BB94" s="351">
        <f t="shared" si="126"/>
        <v>1.4950904608860438</v>
      </c>
      <c r="BC94" s="351">
        <f t="shared" si="127"/>
        <v>1.1670744785364393</v>
      </c>
      <c r="BD94" s="351">
        <f t="shared" si="128"/>
        <v>0.32146350234960464</v>
      </c>
      <c r="BE94" s="351">
        <f t="shared" si="129"/>
        <v>0.16567974797163429</v>
      </c>
      <c r="BK94" s="18"/>
      <c r="BL94" s="19"/>
    </row>
    <row r="95" spans="1:64" x14ac:dyDescent="0.25">
      <c r="G95">
        <v>86</v>
      </c>
      <c r="H95" s="527">
        <f t="shared" si="83"/>
        <v>24</v>
      </c>
      <c r="I95" s="4">
        <f t="shared" si="84"/>
        <v>1</v>
      </c>
      <c r="J95" s="351">
        <f t="shared" si="113"/>
        <v>4.3</v>
      </c>
      <c r="K95" s="351">
        <f t="shared" si="85"/>
        <v>4.3</v>
      </c>
      <c r="L95" s="4">
        <f t="shared" si="86"/>
        <v>0.65694444444444433</v>
      </c>
      <c r="M95" s="351">
        <f t="shared" si="87"/>
        <v>0.1441622534103445</v>
      </c>
      <c r="N95" s="4">
        <f t="shared" si="88"/>
        <v>2.0396228511855217</v>
      </c>
      <c r="O95" s="4">
        <f t="shared" si="114"/>
        <v>5.3198114255927607</v>
      </c>
      <c r="P95" s="4">
        <f t="shared" si="115"/>
        <v>3.280188574407239</v>
      </c>
      <c r="Q95" s="4">
        <f t="shared" si="89"/>
        <v>0</v>
      </c>
      <c r="R95" s="4">
        <f t="shared" si="116"/>
        <v>4.3401234753468145</v>
      </c>
      <c r="S95" s="351">
        <f t="shared" si="90"/>
        <v>0.47091679453141283</v>
      </c>
      <c r="T95" s="351">
        <f t="shared" si="91"/>
        <v>0.65</v>
      </c>
      <c r="U95" s="351">
        <f t="shared" si="92"/>
        <v>1.1647986544205513</v>
      </c>
      <c r="V95" s="4">
        <f t="shared" si="117"/>
        <v>0.5887884010886365</v>
      </c>
      <c r="W95" s="351">
        <f t="shared" si="118"/>
        <v>3.466717812565131E-4</v>
      </c>
      <c r="X95" s="351">
        <f t="shared" si="119"/>
        <v>3.466717812565131E-4</v>
      </c>
      <c r="Y95" s="4">
        <f t="shared" si="120"/>
        <v>1.52448650708475</v>
      </c>
      <c r="Z95" s="351">
        <f t="shared" si="121"/>
        <v>2.3240591102834615E-3</v>
      </c>
      <c r="AA95" s="520">
        <f t="shared" si="122"/>
        <v>2.3240591102834615E-3</v>
      </c>
      <c r="AB95" s="351">
        <f t="shared" si="123"/>
        <v>1.6478886645453286</v>
      </c>
      <c r="AC95" s="351">
        <f t="shared" si="93"/>
        <v>3.1228676083475345E-2</v>
      </c>
      <c r="AD95" s="351">
        <f t="shared" si="94"/>
        <v>0.16813122857142854</v>
      </c>
      <c r="AE95" s="351">
        <f t="shared" si="95"/>
        <v>0.53416704000000004</v>
      </c>
      <c r="AF95" s="351">
        <f t="shared" si="96"/>
        <v>0</v>
      </c>
      <c r="AG95" s="351">
        <f t="shared" si="97"/>
        <v>0.7373956300533232</v>
      </c>
      <c r="AH95" s="351">
        <f t="shared" si="98"/>
        <v>4.0151132898735904</v>
      </c>
      <c r="AI95" s="351">
        <f t="shared" si="99"/>
        <v>5.3199744610714431E-2</v>
      </c>
      <c r="AJ95" s="351">
        <f t="shared" si="100"/>
        <v>5.2975999999999995E-2</v>
      </c>
      <c r="AK95" s="351">
        <f t="shared" si="101"/>
        <v>0.10708726705203081</v>
      </c>
      <c r="AL95" s="351">
        <f t="shared" si="102"/>
        <v>5.2975999999999995E-2</v>
      </c>
      <c r="AM95" s="351">
        <f t="shared" si="103"/>
        <v>0.66295680000000012</v>
      </c>
      <c r="AN95" s="351">
        <f t="shared" si="104"/>
        <v>0.16953004603130861</v>
      </c>
      <c r="AO95" s="351">
        <f t="shared" si="105"/>
        <v>8.3999999999999993E-4</v>
      </c>
      <c r="AP95" s="351">
        <f>'Variable Management'!$B$346</f>
        <v>0.41183999999999998</v>
      </c>
      <c r="AQ95" s="351">
        <f t="shared" si="106"/>
        <v>0.36108727954971853</v>
      </c>
      <c r="AR95" s="351">
        <f t="shared" si="107"/>
        <v>0.35521199999999997</v>
      </c>
      <c r="AS95" s="351">
        <f t="shared" si="130"/>
        <v>0.41267999999999999</v>
      </c>
      <c r="AT95" s="351">
        <f t="shared" si="108"/>
        <v>3.3100951284487543</v>
      </c>
      <c r="AU95">
        <f t="shared" si="109"/>
        <v>14.19</v>
      </c>
      <c r="AV95" s="521">
        <f t="shared" si="124"/>
        <v>0.81085273513355072</v>
      </c>
      <c r="AW95" s="530">
        <f t="shared" si="110"/>
        <v>49.34777895823958</v>
      </c>
      <c r="AX95" s="530">
        <f t="shared" si="111"/>
        <v>13.034520442081234</v>
      </c>
      <c r="AY95" s="9"/>
      <c r="AZ95" s="4">
        <f t="shared" si="125"/>
        <v>81.085273513355077</v>
      </c>
      <c r="BA95" s="351">
        <f t="shared" si="112"/>
        <v>1.1647986544205513</v>
      </c>
      <c r="BB95" s="351">
        <f t="shared" si="126"/>
        <v>1.5074396971053541</v>
      </c>
      <c r="BC95" s="351">
        <f t="shared" si="127"/>
        <v>1.1749471180533233</v>
      </c>
      <c r="BD95" s="351">
        <f t="shared" si="128"/>
        <v>0.32586301105203086</v>
      </c>
      <c r="BE95" s="351">
        <f t="shared" si="129"/>
        <v>0.16953004603130861</v>
      </c>
      <c r="BK95" s="18"/>
      <c r="BL95" s="19"/>
    </row>
    <row r="96" spans="1:64" x14ac:dyDescent="0.25">
      <c r="G96">
        <v>87</v>
      </c>
      <c r="H96" s="527">
        <f t="shared" si="83"/>
        <v>24</v>
      </c>
      <c r="I96" s="4">
        <f t="shared" si="84"/>
        <v>1</v>
      </c>
      <c r="J96" s="351">
        <f t="shared" si="113"/>
        <v>4.3499999999999996</v>
      </c>
      <c r="K96" s="351">
        <f t="shared" si="85"/>
        <v>4.3499999999999996</v>
      </c>
      <c r="L96" s="4">
        <f t="shared" si="86"/>
        <v>0.66458333333333319</v>
      </c>
      <c r="M96" s="351">
        <f t="shared" si="87"/>
        <v>0.1442397102420149</v>
      </c>
      <c r="N96" s="4">
        <f t="shared" si="88"/>
        <v>2.0405374256308764</v>
      </c>
      <c r="O96" s="4">
        <f t="shared" si="114"/>
        <v>5.3702687128154381</v>
      </c>
      <c r="P96" s="4">
        <f t="shared" si="115"/>
        <v>3.3297312871845612</v>
      </c>
      <c r="Q96" s="4">
        <f t="shared" si="89"/>
        <v>0</v>
      </c>
      <c r="R96" s="4">
        <f t="shared" si="116"/>
        <v>4.3897018974849935</v>
      </c>
      <c r="S96" s="351">
        <f t="shared" si="90"/>
        <v>0.48173706871958388</v>
      </c>
      <c r="T96" s="351">
        <f t="shared" si="91"/>
        <v>0.65</v>
      </c>
      <c r="U96" s="351">
        <f t="shared" si="92"/>
        <v>1.1771013365146623</v>
      </c>
      <c r="V96" s="4">
        <f t="shared" si="117"/>
        <v>0.58905241598974623</v>
      </c>
      <c r="W96" s="351">
        <f t="shared" si="118"/>
        <v>3.4698274878335706E-4</v>
      </c>
      <c r="X96" s="351">
        <f t="shared" si="119"/>
        <v>3.4698274878335706E-4</v>
      </c>
      <c r="Y96" s="4">
        <f t="shared" si="120"/>
        <v>1.5422455083649971</v>
      </c>
      <c r="Z96" s="351">
        <f t="shared" si="121"/>
        <v>2.3785212080720082E-3</v>
      </c>
      <c r="AA96" s="520">
        <f t="shared" si="122"/>
        <v>2.3785212080720082E-3</v>
      </c>
      <c r="AB96" s="351">
        <f t="shared" si="123"/>
        <v>1.6671606425890744</v>
      </c>
      <c r="AC96" s="351">
        <f t="shared" si="93"/>
        <v>3.1963382994277173E-2</v>
      </c>
      <c r="AD96" s="351">
        <f t="shared" si="94"/>
        <v>0.17008624285714283</v>
      </c>
      <c r="AE96" s="351">
        <f t="shared" si="95"/>
        <v>0.53416704000000004</v>
      </c>
      <c r="AF96" s="351">
        <f t="shared" si="96"/>
        <v>0</v>
      </c>
      <c r="AG96" s="351">
        <f t="shared" si="97"/>
        <v>0.74019138131389983</v>
      </c>
      <c r="AH96" s="351">
        <f t="shared" si="98"/>
        <v>4.0607952596240722</v>
      </c>
      <c r="AI96" s="351">
        <f t="shared" si="99"/>
        <v>5.441719186393161E-2</v>
      </c>
      <c r="AJ96" s="351">
        <f t="shared" si="100"/>
        <v>5.3591999999999994E-2</v>
      </c>
      <c r="AK96" s="351">
        <f t="shared" si="101"/>
        <v>0.10895786079448148</v>
      </c>
      <c r="AL96" s="351">
        <f t="shared" si="102"/>
        <v>5.3591999999999994E-2</v>
      </c>
      <c r="AM96" s="351">
        <f t="shared" si="103"/>
        <v>0.67066559999999997</v>
      </c>
      <c r="AN96" s="351">
        <f t="shared" si="104"/>
        <v>0.17342534473905016</v>
      </c>
      <c r="AO96" s="351">
        <f t="shared" si="105"/>
        <v>8.3999999999999993E-4</v>
      </c>
      <c r="AP96" s="351">
        <f>'Variable Management'!$B$346</f>
        <v>0.41183999999999998</v>
      </c>
      <c r="AQ96" s="351">
        <f t="shared" si="106"/>
        <v>0.36108727954971853</v>
      </c>
      <c r="AR96" s="351">
        <f t="shared" si="107"/>
        <v>0.35521199999999997</v>
      </c>
      <c r="AS96" s="351">
        <f t="shared" si="130"/>
        <v>0.41267999999999999</v>
      </c>
      <c r="AT96" s="351">
        <f t="shared" si="108"/>
        <v>3.3393390273189492</v>
      </c>
      <c r="AU96">
        <f t="shared" si="109"/>
        <v>14.354999999999999</v>
      </c>
      <c r="AV96" s="521">
        <f t="shared" si="124"/>
        <v>0.8112764188499374</v>
      </c>
      <c r="AW96" s="530">
        <f t="shared" si="110"/>
        <v>49.678888447183795</v>
      </c>
      <c r="AX96" s="530">
        <f t="shared" si="111"/>
        <v>13.211100351779258</v>
      </c>
      <c r="AY96" s="9"/>
      <c r="AZ96" s="4">
        <f t="shared" si="125"/>
        <v>81.127641884993736</v>
      </c>
      <c r="BA96" s="351">
        <f t="shared" si="112"/>
        <v>1.1771013365146623</v>
      </c>
      <c r="BB96" s="351">
        <f t="shared" si="126"/>
        <v>1.5198148421083812</v>
      </c>
      <c r="BC96" s="351">
        <f t="shared" si="127"/>
        <v>1.1828306773138999</v>
      </c>
      <c r="BD96" s="351">
        <f t="shared" si="128"/>
        <v>0.33027750879448148</v>
      </c>
      <c r="BE96" s="351">
        <f t="shared" si="129"/>
        <v>0.17342534473905016</v>
      </c>
      <c r="BK96" s="18"/>
      <c r="BL96" s="19"/>
    </row>
    <row r="97" spans="7:64" x14ac:dyDescent="0.25">
      <c r="G97">
        <v>88</v>
      </c>
      <c r="H97" s="527">
        <f t="shared" si="83"/>
        <v>24</v>
      </c>
      <c r="I97" s="4">
        <f t="shared" si="84"/>
        <v>1</v>
      </c>
      <c r="J97" s="351">
        <f t="shared" si="113"/>
        <v>4.4000000000000004</v>
      </c>
      <c r="K97" s="351">
        <f t="shared" si="85"/>
        <v>4.4000000000000004</v>
      </c>
      <c r="L97" s="4">
        <f t="shared" si="86"/>
        <v>0.67222222222222217</v>
      </c>
      <c r="M97" s="351">
        <f t="shared" si="87"/>
        <v>0.14431716681553369</v>
      </c>
      <c r="N97" s="4">
        <f t="shared" si="88"/>
        <v>2.0414518017155459</v>
      </c>
      <c r="O97" s="4">
        <f t="shared" si="114"/>
        <v>5.4207259008577733</v>
      </c>
      <c r="P97" s="4">
        <f t="shared" si="115"/>
        <v>3.3792740991422274</v>
      </c>
      <c r="Q97" s="4">
        <f t="shared" si="89"/>
        <v>0</v>
      </c>
      <c r="R97" s="4">
        <f t="shared" si="116"/>
        <v>4.4392897842140595</v>
      </c>
      <c r="S97" s="351">
        <f t="shared" si="90"/>
        <v>0.49268234470568278</v>
      </c>
      <c r="T97" s="351">
        <f t="shared" si="91"/>
        <v>0.65</v>
      </c>
      <c r="U97" s="351">
        <f t="shared" si="92"/>
        <v>1.1895687045909944</v>
      </c>
      <c r="V97" s="4">
        <f t="shared" si="117"/>
        <v>0.58931637362905853</v>
      </c>
      <c r="W97" s="351">
        <f t="shared" si="118"/>
        <v>3.472937882273041E-4</v>
      </c>
      <c r="X97" s="351">
        <f t="shared" si="119"/>
        <v>3.472937882273041E-4</v>
      </c>
      <c r="Y97" s="4">
        <f t="shared" si="120"/>
        <v>1.5600154597906637</v>
      </c>
      <c r="Z97" s="351">
        <f t="shared" si="121"/>
        <v>2.4336482347858761E-3</v>
      </c>
      <c r="AA97" s="520">
        <f t="shared" si="122"/>
        <v>2.4336482347858761E-3</v>
      </c>
      <c r="AB97" s="351">
        <f t="shared" si="123"/>
        <v>1.6864462058181195</v>
      </c>
      <c r="AC97" s="351">
        <f t="shared" si="93"/>
        <v>3.2707159258860807E-2</v>
      </c>
      <c r="AD97" s="351">
        <f t="shared" si="94"/>
        <v>0.17204125714285717</v>
      </c>
      <c r="AE97" s="351">
        <f t="shared" si="95"/>
        <v>0.53416704000000004</v>
      </c>
      <c r="AF97" s="351">
        <f t="shared" si="96"/>
        <v>0</v>
      </c>
      <c r="AG97" s="351">
        <f t="shared" si="97"/>
        <v>0.74299808432277759</v>
      </c>
      <c r="AH97" s="351">
        <f t="shared" si="98"/>
        <v>4.1064818254935673</v>
      </c>
      <c r="AI97" s="351">
        <f t="shared" si="99"/>
        <v>5.5648536844259633E-2</v>
      </c>
      <c r="AJ97" s="351">
        <f t="shared" si="100"/>
        <v>5.4207999999999999E-2</v>
      </c>
      <c r="AK97" s="351">
        <f t="shared" si="101"/>
        <v>0.11084346107265111</v>
      </c>
      <c r="AL97" s="351">
        <f t="shared" si="102"/>
        <v>5.4207999999999999E-2</v>
      </c>
      <c r="AM97" s="351">
        <f t="shared" si="103"/>
        <v>0.67837440000000016</v>
      </c>
      <c r="AN97" s="351">
        <f t="shared" si="104"/>
        <v>0.17736564409404579</v>
      </c>
      <c r="AO97" s="351">
        <f t="shared" si="105"/>
        <v>8.3999999999999993E-4</v>
      </c>
      <c r="AP97" s="351">
        <f>'Variable Management'!$B$346</f>
        <v>0.41183999999999998</v>
      </c>
      <c r="AQ97" s="351">
        <f t="shared" si="106"/>
        <v>0.36108727954971853</v>
      </c>
      <c r="AR97" s="351">
        <f t="shared" si="107"/>
        <v>0.35521199999999997</v>
      </c>
      <c r="AS97" s="351">
        <f t="shared" si="130"/>
        <v>0.41267999999999999</v>
      </c>
      <c r="AT97" s="351">
        <f t="shared" si="108"/>
        <v>3.3688192361034823</v>
      </c>
      <c r="AU97">
        <f t="shared" si="109"/>
        <v>14.52</v>
      </c>
      <c r="AV97" s="521">
        <f t="shared" si="124"/>
        <v>0.81168017901905554</v>
      </c>
      <c r="AW97" s="530">
        <f t="shared" si="110"/>
        <v>50.010457909556663</v>
      </c>
      <c r="AX97" s="530">
        <f t="shared" si="111"/>
        <v>13.388280522906047</v>
      </c>
      <c r="AY97" s="9"/>
      <c r="AZ97" s="4">
        <f t="shared" si="125"/>
        <v>81.168017901905557</v>
      </c>
      <c r="BA97" s="351">
        <f t="shared" si="112"/>
        <v>1.1895687045909944</v>
      </c>
      <c r="BB97" s="351">
        <f t="shared" si="126"/>
        <v>1.5322159453954289</v>
      </c>
      <c r="BC97" s="351">
        <f t="shared" si="127"/>
        <v>1.1907251883227776</v>
      </c>
      <c r="BD97" s="351">
        <f t="shared" si="128"/>
        <v>0.33470701307265116</v>
      </c>
      <c r="BE97" s="351">
        <f t="shared" si="129"/>
        <v>0.17736564409404579</v>
      </c>
      <c r="BK97" s="18"/>
      <c r="BL97" s="19"/>
    </row>
    <row r="98" spans="7:64" x14ac:dyDescent="0.25">
      <c r="G98">
        <v>89</v>
      </c>
      <c r="H98" s="527">
        <f t="shared" si="83"/>
        <v>24</v>
      </c>
      <c r="I98" s="4">
        <f t="shared" si="84"/>
        <v>1</v>
      </c>
      <c r="J98" s="351">
        <f t="shared" si="113"/>
        <v>4.45</v>
      </c>
      <c r="K98" s="351">
        <f t="shared" si="85"/>
        <v>4.45</v>
      </c>
      <c r="L98" s="4">
        <f t="shared" si="86"/>
        <v>0.67986111111111114</v>
      </c>
      <c r="M98" s="351">
        <f t="shared" si="87"/>
        <v>0.14439462313090223</v>
      </c>
      <c r="N98" s="4">
        <f t="shared" si="88"/>
        <v>2.0423659794405231</v>
      </c>
      <c r="O98" s="4">
        <f t="shared" si="114"/>
        <v>5.471182989720262</v>
      </c>
      <c r="P98" s="4">
        <f t="shared" si="115"/>
        <v>3.4288170102797384</v>
      </c>
      <c r="Q98" s="4">
        <f t="shared" si="89"/>
        <v>0</v>
      </c>
      <c r="R98" s="4">
        <f t="shared" si="116"/>
        <v>4.4888868218633009</v>
      </c>
      <c r="S98" s="351">
        <f t="shared" si="90"/>
        <v>0.50375262248745023</v>
      </c>
      <c r="T98" s="351">
        <f t="shared" si="91"/>
        <v>0.65</v>
      </c>
      <c r="U98" s="351">
        <f t="shared" si="92"/>
        <v>1.2022015991540471</v>
      </c>
      <c r="V98" s="4">
        <f t="shared" si="117"/>
        <v>0.58958027400685986</v>
      </c>
      <c r="W98" s="351">
        <f t="shared" si="118"/>
        <v>3.4760489949800397E-4</v>
      </c>
      <c r="X98" s="351">
        <f t="shared" si="119"/>
        <v>3.4760489949800397E-4</v>
      </c>
      <c r="Y98" s="4">
        <f t="shared" si="120"/>
        <v>1.5777962482577337</v>
      </c>
      <c r="Z98" s="351">
        <f t="shared" si="121"/>
        <v>2.48944100101618E-3</v>
      </c>
      <c r="AA98" s="520">
        <f t="shared" si="122"/>
        <v>2.48944100101618E-3</v>
      </c>
      <c r="AB98" s="351">
        <f t="shared" si="123"/>
        <v>1.7057452339113135</v>
      </c>
      <c r="AC98" s="351">
        <f t="shared" si="93"/>
        <v>3.3460018234628353E-2</v>
      </c>
      <c r="AD98" s="351">
        <f t="shared" si="94"/>
        <v>0.17399627142857146</v>
      </c>
      <c r="AE98" s="351">
        <f t="shared" si="95"/>
        <v>0.53416704000000004</v>
      </c>
      <c r="AF98" s="351">
        <f t="shared" si="96"/>
        <v>0</v>
      </c>
      <c r="AG98" s="351">
        <f t="shared" si="97"/>
        <v>0.74581577122642462</v>
      </c>
      <c r="AH98" s="351">
        <f t="shared" si="98"/>
        <v>4.1521726958890861</v>
      </c>
      <c r="AI98" s="351">
        <f t="shared" si="99"/>
        <v>5.6893775718406571E-2</v>
      </c>
      <c r="AJ98" s="351">
        <f t="shared" si="100"/>
        <v>5.4823999999999998E-2</v>
      </c>
      <c r="AK98" s="351">
        <f t="shared" si="101"/>
        <v>0.11274408559349992</v>
      </c>
      <c r="AL98" s="351">
        <f t="shared" si="102"/>
        <v>5.4823999999999998E-2</v>
      </c>
      <c r="AM98" s="351">
        <f t="shared" si="103"/>
        <v>0.68608320000000012</v>
      </c>
      <c r="AN98" s="351">
        <f t="shared" si="104"/>
        <v>0.18135094409548205</v>
      </c>
      <c r="AO98" s="351">
        <f t="shared" si="105"/>
        <v>8.3999999999999993E-4</v>
      </c>
      <c r="AP98" s="351">
        <f>'Variable Management'!$B$346</f>
        <v>0.41183999999999998</v>
      </c>
      <c r="AQ98" s="351">
        <f t="shared" si="106"/>
        <v>0.36108727954971853</v>
      </c>
      <c r="AR98" s="351">
        <f t="shared" si="107"/>
        <v>0.35521199999999997</v>
      </c>
      <c r="AS98" s="351">
        <f t="shared" si="130"/>
        <v>0.41267999999999999</v>
      </c>
      <c r="AT98" s="351">
        <f t="shared" si="108"/>
        <v>3.3985366459699677</v>
      </c>
      <c r="AU98">
        <f t="shared" si="109"/>
        <v>14.685</v>
      </c>
      <c r="AV98" s="521">
        <f t="shared" si="124"/>
        <v>0.81206460259932878</v>
      </c>
      <c r="AW98" s="530">
        <f t="shared" si="110"/>
        <v>50.342488695509843</v>
      </c>
      <c r="AX98" s="530">
        <f t="shared" si="111"/>
        <v>13.566061663739999</v>
      </c>
      <c r="AY98" s="9"/>
      <c r="AZ98" s="4">
        <f t="shared" si="125"/>
        <v>81.206460259932882</v>
      </c>
      <c r="BA98" s="351">
        <f t="shared" si="112"/>
        <v>1.2022015991540471</v>
      </c>
      <c r="BB98" s="351">
        <f t="shared" si="126"/>
        <v>1.5446430568199245</v>
      </c>
      <c r="BC98" s="351">
        <f t="shared" si="127"/>
        <v>1.1986306832264249</v>
      </c>
      <c r="BD98" s="351">
        <f t="shared" si="128"/>
        <v>0.33915154159349997</v>
      </c>
      <c r="BE98" s="351">
        <f t="shared" si="129"/>
        <v>0.18135094409548205</v>
      </c>
      <c r="BK98" s="18"/>
      <c r="BL98" s="19"/>
    </row>
    <row r="99" spans="7:64" x14ac:dyDescent="0.25">
      <c r="G99">
        <v>90</v>
      </c>
      <c r="H99" s="527">
        <f t="shared" si="83"/>
        <v>24</v>
      </c>
      <c r="I99" s="4">
        <f t="shared" si="84"/>
        <v>1</v>
      </c>
      <c r="J99" s="351">
        <f t="shared" si="113"/>
        <v>4.5</v>
      </c>
      <c r="K99" s="351">
        <f t="shared" si="85"/>
        <v>4.5</v>
      </c>
      <c r="L99" s="4">
        <f t="shared" si="86"/>
        <v>0.68749999999999989</v>
      </c>
      <c r="M99" s="351">
        <f t="shared" si="87"/>
        <v>0.14447207918812177</v>
      </c>
      <c r="N99" s="4">
        <f t="shared" si="88"/>
        <v>2.0432799588067989</v>
      </c>
      <c r="O99" s="4">
        <f t="shared" si="114"/>
        <v>5.5216399794033997</v>
      </c>
      <c r="P99" s="4">
        <f t="shared" si="115"/>
        <v>3.4783600205966003</v>
      </c>
      <c r="Q99" s="4">
        <f t="shared" si="89"/>
        <v>0</v>
      </c>
      <c r="R99" s="4">
        <f t="shared" si="116"/>
        <v>4.5384927104166559</v>
      </c>
      <c r="S99" s="351">
        <f t="shared" si="90"/>
        <v>0.51494790206262808</v>
      </c>
      <c r="T99" s="351">
        <f t="shared" si="91"/>
        <v>0.65</v>
      </c>
      <c r="U99" s="351">
        <f t="shared" si="92"/>
        <v>1.2150008741546434</v>
      </c>
      <c r="V99" s="4">
        <f t="shared" si="117"/>
        <v>0.58984411712343643</v>
      </c>
      <c r="W99" s="351">
        <f t="shared" si="118"/>
        <v>3.4791608250512619E-4</v>
      </c>
      <c r="X99" s="351">
        <f t="shared" si="119"/>
        <v>3.4791608250512619E-4</v>
      </c>
      <c r="Y99" s="4">
        <f t="shared" si="120"/>
        <v>1.5955877653669677</v>
      </c>
      <c r="Z99" s="351">
        <f t="shared" si="121"/>
        <v>2.5459003169887536E-3</v>
      </c>
      <c r="AA99" s="520">
        <f t="shared" si="122"/>
        <v>2.5459003169887536E-3</v>
      </c>
      <c r="AB99" s="351">
        <f t="shared" si="123"/>
        <v>1.7250576116124261</v>
      </c>
      <c r="AC99" s="351">
        <f t="shared" si="93"/>
        <v>3.4221973278892634E-2</v>
      </c>
      <c r="AD99" s="351">
        <f t="shared" si="94"/>
        <v>0.17595128571428573</v>
      </c>
      <c r="AE99" s="351">
        <f t="shared" si="95"/>
        <v>0.53416704000000004</v>
      </c>
      <c r="AF99" s="351">
        <f t="shared" si="96"/>
        <v>0</v>
      </c>
      <c r="AG99" s="351">
        <f t="shared" si="97"/>
        <v>0.74864447431399972</v>
      </c>
      <c r="AH99" s="351">
        <f t="shared" si="98"/>
        <v>4.1978675918998629</v>
      </c>
      <c r="AI99" s="351">
        <f t="shared" si="99"/>
        <v>5.8152904653106408E-2</v>
      </c>
      <c r="AJ99" s="351">
        <f t="shared" si="100"/>
        <v>5.5439999999999996E-2</v>
      </c>
      <c r="AK99" s="351">
        <f t="shared" si="101"/>
        <v>0.11465975227576905</v>
      </c>
      <c r="AL99" s="351">
        <f t="shared" si="102"/>
        <v>5.5439999999999996E-2</v>
      </c>
      <c r="AM99" s="351">
        <f t="shared" si="103"/>
        <v>0.69379199999999996</v>
      </c>
      <c r="AN99" s="351">
        <f t="shared" si="104"/>
        <v>0.18538124474254608</v>
      </c>
      <c r="AO99" s="351">
        <f t="shared" si="105"/>
        <v>8.3999999999999993E-4</v>
      </c>
      <c r="AP99" s="351">
        <f>'Variable Management'!$B$346</f>
        <v>0.41183999999999998</v>
      </c>
      <c r="AQ99" s="351">
        <f t="shared" si="106"/>
        <v>0.36108727954971853</v>
      </c>
      <c r="AR99" s="351">
        <f t="shared" si="107"/>
        <v>0.35521199999999997</v>
      </c>
      <c r="AS99" s="351">
        <f t="shared" si="130"/>
        <v>0.41267999999999999</v>
      </c>
      <c r="AT99" s="351">
        <f t="shared" si="108"/>
        <v>3.4284921618864517</v>
      </c>
      <c r="AU99">
        <f t="shared" si="109"/>
        <v>14.85</v>
      </c>
      <c r="AV99" s="521">
        <f t="shared" si="124"/>
        <v>0.81243025236866095</v>
      </c>
      <c r="AW99" s="530">
        <f t="shared" si="110"/>
        <v>50.674982161187984</v>
      </c>
      <c r="AX99" s="530">
        <f t="shared" si="111"/>
        <v>13.744444491030761</v>
      </c>
      <c r="AY99" s="9"/>
      <c r="AZ99" s="4">
        <f t="shared" si="125"/>
        <v>81.243025236866089</v>
      </c>
      <c r="BA99" s="351">
        <f t="shared" si="112"/>
        <v>1.2150008741546434</v>
      </c>
      <c r="BB99" s="351">
        <f t="shared" si="126"/>
        <v>1.5570962265897688</v>
      </c>
      <c r="BC99" s="351">
        <f t="shared" si="127"/>
        <v>1.2065471943139996</v>
      </c>
      <c r="BD99" s="351">
        <f t="shared" si="128"/>
        <v>0.34361111227576902</v>
      </c>
      <c r="BE99" s="351">
        <f t="shared" si="129"/>
        <v>0.18538124474254608</v>
      </c>
      <c r="BK99" s="18"/>
      <c r="BL99" s="19"/>
    </row>
    <row r="100" spans="7:64" x14ac:dyDescent="0.25">
      <c r="G100">
        <v>91</v>
      </c>
      <c r="H100" s="527">
        <f t="shared" si="83"/>
        <v>24</v>
      </c>
      <c r="I100" s="4">
        <f t="shared" si="84"/>
        <v>1</v>
      </c>
      <c r="J100" s="351">
        <f t="shared" si="113"/>
        <v>4.55</v>
      </c>
      <c r="K100" s="351">
        <f t="shared" si="85"/>
        <v>4.55</v>
      </c>
      <c r="L100" s="4">
        <f t="shared" si="86"/>
        <v>0.69513888888888875</v>
      </c>
      <c r="M100" s="351">
        <f t="shared" si="87"/>
        <v>0.14454953498719361</v>
      </c>
      <c r="N100" s="4">
        <f t="shared" si="88"/>
        <v>2.0441937398153649</v>
      </c>
      <c r="O100" s="4">
        <f t="shared" si="114"/>
        <v>5.572096869907682</v>
      </c>
      <c r="P100" s="4">
        <f t="shared" si="115"/>
        <v>3.5279031300923176</v>
      </c>
      <c r="Q100" s="4">
        <f t="shared" si="89"/>
        <v>0</v>
      </c>
      <c r="R100" s="4">
        <f t="shared" si="116"/>
        <v>4.5881071627805685</v>
      </c>
      <c r="S100" s="351">
        <f t="shared" si="90"/>
        <v>0.52626818342895898</v>
      </c>
      <c r="T100" s="351">
        <f t="shared" si="91"/>
        <v>0.65</v>
      </c>
      <c r="U100" s="351">
        <f t="shared" si="92"/>
        <v>1.2279673971412395</v>
      </c>
      <c r="V100" s="4">
        <f t="shared" si="117"/>
        <v>0.59010790297907445</v>
      </c>
      <c r="W100" s="351">
        <f t="shared" si="118"/>
        <v>3.4822733715836074E-4</v>
      </c>
      <c r="X100" s="351">
        <f t="shared" si="119"/>
        <v>3.4822733715836074E-4</v>
      </c>
      <c r="Y100" s="4">
        <f t="shared" si="120"/>
        <v>1.6133899071718965</v>
      </c>
      <c r="Z100" s="351">
        <f t="shared" si="121"/>
        <v>2.6030269925641407E-3</v>
      </c>
      <c r="AA100" s="520">
        <f t="shared" si="122"/>
        <v>2.6030269925641407E-3</v>
      </c>
      <c r="AB100" s="351">
        <f t="shared" si="123"/>
        <v>1.7443832284588283</v>
      </c>
      <c r="AC100" s="351">
        <f t="shared" si="93"/>
        <v>3.4993037748877118E-2</v>
      </c>
      <c r="AD100" s="351">
        <f t="shared" si="94"/>
        <v>0.17790629999999996</v>
      </c>
      <c r="AE100" s="351">
        <f t="shared" si="95"/>
        <v>0.53416704000000004</v>
      </c>
      <c r="AF100" s="351">
        <f t="shared" si="96"/>
        <v>0</v>
      </c>
      <c r="AG100" s="351">
        <f t="shared" si="97"/>
        <v>0.75148422601818543</v>
      </c>
      <c r="AH100" s="351">
        <f t="shared" si="98"/>
        <v>4.2435662466173323</v>
      </c>
      <c r="AI100" s="351">
        <f t="shared" si="99"/>
        <v>5.9425919815118716E-2</v>
      </c>
      <c r="AJ100" s="351">
        <f t="shared" si="100"/>
        <v>5.6055999999999995E-2</v>
      </c>
      <c r="AK100" s="351">
        <f t="shared" si="101"/>
        <v>0.11659047925050217</v>
      </c>
      <c r="AL100" s="351">
        <f t="shared" si="102"/>
        <v>5.6055999999999995E-2</v>
      </c>
      <c r="AM100" s="351">
        <f t="shared" si="103"/>
        <v>0.70150080000000004</v>
      </c>
      <c r="AN100" s="351">
        <f t="shared" si="104"/>
        <v>0.18945654603442519</v>
      </c>
      <c r="AO100" s="351">
        <f t="shared" si="105"/>
        <v>8.3999999999999993E-4</v>
      </c>
      <c r="AP100" s="351">
        <f>'Variable Management'!$B$346</f>
        <v>0.41183999999999998</v>
      </c>
      <c r="AQ100" s="351">
        <f t="shared" si="106"/>
        <v>0.36108727954971853</v>
      </c>
      <c r="AR100" s="351">
        <f t="shared" si="107"/>
        <v>0.35521199999999997</v>
      </c>
      <c r="AS100" s="351">
        <f t="shared" si="130"/>
        <v>0.41267999999999999</v>
      </c>
      <c r="AT100" s="351">
        <f t="shared" si="108"/>
        <v>3.4586867027740751</v>
      </c>
      <c r="AU100">
        <f t="shared" si="109"/>
        <v>15.014999999999999</v>
      </c>
      <c r="AV100" s="521">
        <f t="shared" si="124"/>
        <v>0.81277766812756946</v>
      </c>
      <c r="AW100" s="530">
        <f t="shared" si="110"/>
        <v>51.00793966876379</v>
      </c>
      <c r="AX100" s="530">
        <f t="shared" si="111"/>
        <v>13.923429730020089</v>
      </c>
      <c r="AY100" s="9"/>
      <c r="AZ100" s="4">
        <f t="shared" si="125"/>
        <v>81.277766812756951</v>
      </c>
      <c r="BA100" s="351">
        <f t="shared" si="112"/>
        <v>1.2279673971412395</v>
      </c>
      <c r="BB100" s="351">
        <f t="shared" si="126"/>
        <v>1.5695755052686877</v>
      </c>
      <c r="BC100" s="351">
        <f t="shared" si="127"/>
        <v>1.2144747540181855</v>
      </c>
      <c r="BD100" s="351">
        <f t="shared" si="128"/>
        <v>0.34808574325050223</v>
      </c>
      <c r="BE100" s="351">
        <f t="shared" si="129"/>
        <v>0.18945654603442519</v>
      </c>
      <c r="BK100" s="18"/>
      <c r="BL100" s="19"/>
    </row>
    <row r="101" spans="7:64" x14ac:dyDescent="0.25">
      <c r="G101">
        <v>92</v>
      </c>
      <c r="H101" s="527">
        <f t="shared" si="83"/>
        <v>24</v>
      </c>
      <c r="I101" s="4">
        <f t="shared" si="84"/>
        <v>1</v>
      </c>
      <c r="J101" s="351">
        <f t="shared" si="113"/>
        <v>4.5999999999999996</v>
      </c>
      <c r="K101" s="351">
        <f t="shared" si="85"/>
        <v>4.5999999999999996</v>
      </c>
      <c r="L101" s="4">
        <f t="shared" si="86"/>
        <v>0.70277777777777761</v>
      </c>
      <c r="M101" s="351">
        <f t="shared" si="87"/>
        <v>0.14462699052811903</v>
      </c>
      <c r="N101" s="4">
        <f t="shared" si="88"/>
        <v>2.0451073224672127</v>
      </c>
      <c r="O101" s="4">
        <f t="shared" si="114"/>
        <v>5.6225536612336064</v>
      </c>
      <c r="P101" s="4">
        <f t="shared" si="115"/>
        <v>3.5774463387663933</v>
      </c>
      <c r="Q101" s="4">
        <f t="shared" si="89"/>
        <v>0</v>
      </c>
      <c r="R101" s="4">
        <f t="shared" si="116"/>
        <v>4.6377299040982773</v>
      </c>
      <c r="S101" s="351">
        <f t="shared" si="90"/>
        <v>0.53771346658418551</v>
      </c>
      <c r="T101" s="351">
        <f t="shared" si="91"/>
        <v>0.65</v>
      </c>
      <c r="U101" s="351">
        <f t="shared" si="92"/>
        <v>1.2411020494142055</v>
      </c>
      <c r="V101" s="4">
        <f t="shared" si="117"/>
        <v>0.59037163157406003</v>
      </c>
      <c r="W101" s="351">
        <f t="shared" si="118"/>
        <v>3.4853866336741771E-4</v>
      </c>
      <c r="X101" s="351">
        <f t="shared" si="119"/>
        <v>3.4853866336741771E-4</v>
      </c>
      <c r="Y101" s="4">
        <f t="shared" si="120"/>
        <v>1.6312025739427991</v>
      </c>
      <c r="Z101" s="351">
        <f t="shared" si="121"/>
        <v>2.6608218372376129E-3</v>
      </c>
      <c r="AA101" s="520">
        <f t="shared" si="122"/>
        <v>2.6608218372376129E-3</v>
      </c>
      <c r="AB101" s="351">
        <f t="shared" si="123"/>
        <v>1.7637219785273759</v>
      </c>
      <c r="AC101" s="351">
        <f t="shared" si="93"/>
        <v>3.5773225001715994E-2</v>
      </c>
      <c r="AD101" s="351">
        <f t="shared" si="94"/>
        <v>0.17986131428571425</v>
      </c>
      <c r="AE101" s="351">
        <f t="shared" si="95"/>
        <v>0.53416704000000004</v>
      </c>
      <c r="AF101" s="351">
        <f t="shared" si="96"/>
        <v>0</v>
      </c>
      <c r="AG101" s="351">
        <f t="shared" si="97"/>
        <v>0.75433505891603025</v>
      </c>
      <c r="AH101" s="351">
        <f t="shared" si="98"/>
        <v>4.2892684044982419</v>
      </c>
      <c r="AI101" s="351">
        <f t="shared" si="99"/>
        <v>6.0712817371228751E-2</v>
      </c>
      <c r="AJ101" s="351">
        <f t="shared" si="100"/>
        <v>5.6671999999999993E-2</v>
      </c>
      <c r="AK101" s="351">
        <f t="shared" si="101"/>
        <v>0.11853628486157511</v>
      </c>
      <c r="AL101" s="351">
        <f t="shared" si="102"/>
        <v>5.6671999999999993E-2</v>
      </c>
      <c r="AM101" s="351">
        <f t="shared" si="103"/>
        <v>0.7092096</v>
      </c>
      <c r="AN101" s="351">
        <f t="shared" si="104"/>
        <v>0.19357684797030675</v>
      </c>
      <c r="AO101" s="351">
        <f t="shared" si="105"/>
        <v>8.3999999999999993E-4</v>
      </c>
      <c r="AP101" s="351">
        <f>'Variable Management'!$B$346</f>
        <v>0.41183999999999998</v>
      </c>
      <c r="AQ101" s="351">
        <f t="shared" si="106"/>
        <v>0.36108727954971853</v>
      </c>
      <c r="AR101" s="351">
        <f t="shared" si="107"/>
        <v>0.35521199999999997</v>
      </c>
      <c r="AS101" s="351">
        <f t="shared" si="130"/>
        <v>0.41267999999999999</v>
      </c>
      <c r="AT101" s="351">
        <f t="shared" si="108"/>
        <v>3.4891212016627224</v>
      </c>
      <c r="AU101">
        <f t="shared" si="109"/>
        <v>15.179999999999998</v>
      </c>
      <c r="AV101" s="521">
        <f t="shared" si="124"/>
        <v>0.81310736783089865</v>
      </c>
      <c r="AW101" s="530">
        <f t="shared" si="110"/>
        <v>51.341362586473274</v>
      </c>
      <c r="AX101" s="530">
        <f t="shared" si="111"/>
        <v>14.103018114463005</v>
      </c>
      <c r="AY101" s="9"/>
      <c r="AZ101" s="4">
        <f t="shared" si="125"/>
        <v>81.310736783089865</v>
      </c>
      <c r="BA101" s="351">
        <f t="shared" si="112"/>
        <v>1.2411020494142055</v>
      </c>
      <c r="BB101" s="351">
        <f t="shared" si="126"/>
        <v>1.5820809437776053</v>
      </c>
      <c r="BC101" s="351">
        <f t="shared" si="127"/>
        <v>1.2224133949160303</v>
      </c>
      <c r="BD101" s="351">
        <f t="shared" si="128"/>
        <v>0.3525754528615751</v>
      </c>
      <c r="BE101" s="351">
        <f t="shared" si="129"/>
        <v>0.19357684797030675</v>
      </c>
      <c r="BK101" s="18"/>
      <c r="BL101" s="19"/>
    </row>
    <row r="102" spans="7:64" x14ac:dyDescent="0.25">
      <c r="G102">
        <v>93</v>
      </c>
      <c r="H102" s="527">
        <f t="shared" si="83"/>
        <v>24</v>
      </c>
      <c r="I102" s="4">
        <f t="shared" si="84"/>
        <v>1</v>
      </c>
      <c r="J102" s="351">
        <f t="shared" si="113"/>
        <v>4.6500000000000004</v>
      </c>
      <c r="K102" s="351">
        <f t="shared" si="85"/>
        <v>4.6500000000000004</v>
      </c>
      <c r="L102" s="4">
        <f t="shared" si="86"/>
        <v>0.7104166666666667</v>
      </c>
      <c r="M102" s="351">
        <f t="shared" si="87"/>
        <v>0.14470444581089931</v>
      </c>
      <c r="N102" s="4">
        <f t="shared" si="88"/>
        <v>2.046020706763334</v>
      </c>
      <c r="O102" s="4">
        <f t="shared" si="114"/>
        <v>5.6730103533816676</v>
      </c>
      <c r="P102" s="4">
        <f t="shared" si="115"/>
        <v>3.6269896466183331</v>
      </c>
      <c r="Q102" s="4">
        <f t="shared" si="89"/>
        <v>0</v>
      </c>
      <c r="R102" s="4">
        <f t="shared" si="116"/>
        <v>4.6873606711071458</v>
      </c>
      <c r="S102" s="351">
        <f t="shared" si="90"/>
        <v>0.5492837515260508</v>
      </c>
      <c r="T102" s="351">
        <f t="shared" si="91"/>
        <v>0.65</v>
      </c>
      <c r="U102" s="351">
        <f t="shared" si="92"/>
        <v>1.2544057261831416</v>
      </c>
      <c r="V102" s="4">
        <f t="shared" si="117"/>
        <v>0.59063530290867972</v>
      </c>
      <c r="W102" s="351">
        <f t="shared" si="118"/>
        <v>3.4885006104202782E-4</v>
      </c>
      <c r="X102" s="351">
        <f t="shared" si="119"/>
        <v>3.4885006104202782E-4</v>
      </c>
      <c r="Y102" s="4">
        <f t="shared" si="120"/>
        <v>1.6490256699454888</v>
      </c>
      <c r="Z102" s="351">
        <f t="shared" si="121"/>
        <v>2.7192856601391683E-3</v>
      </c>
      <c r="AA102" s="520">
        <f t="shared" si="122"/>
        <v>2.7192856601391683E-3</v>
      </c>
      <c r="AB102" s="351">
        <f t="shared" si="123"/>
        <v>1.7830737601962392</v>
      </c>
      <c r="AC102" s="351">
        <f t="shared" si="93"/>
        <v>3.6562548394454088E-2</v>
      </c>
      <c r="AD102" s="351">
        <f t="shared" si="94"/>
        <v>0.1818163285714286</v>
      </c>
      <c r="AE102" s="351">
        <f t="shared" si="95"/>
        <v>0.53416704000000004</v>
      </c>
      <c r="AF102" s="351">
        <f t="shared" si="96"/>
        <v>0</v>
      </c>
      <c r="AG102" s="351">
        <f t="shared" si="97"/>
        <v>0.75719700572979276</v>
      </c>
      <c r="AH102" s="351">
        <f t="shared" si="98"/>
        <v>4.3349738207677424</v>
      </c>
      <c r="AI102" s="351">
        <f t="shared" si="99"/>
        <v>6.2013593488247545E-2</v>
      </c>
      <c r="AJ102" s="351">
        <f t="shared" si="100"/>
        <v>5.7287999999999999E-2</v>
      </c>
      <c r="AK102" s="351">
        <f t="shared" si="101"/>
        <v>0.12049718766623328</v>
      </c>
      <c r="AL102" s="351">
        <f t="shared" si="102"/>
        <v>5.7287999999999999E-2</v>
      </c>
      <c r="AM102" s="351">
        <f t="shared" si="103"/>
        <v>0.71691840000000018</v>
      </c>
      <c r="AN102" s="351">
        <f t="shared" si="104"/>
        <v>0.19774215054937827</v>
      </c>
      <c r="AO102" s="351">
        <f t="shared" si="105"/>
        <v>8.3999999999999993E-4</v>
      </c>
      <c r="AP102" s="351">
        <f>'Variable Management'!$B$346</f>
        <v>0.41183999999999998</v>
      </c>
      <c r="AQ102" s="351">
        <f t="shared" si="106"/>
        <v>0.36108727954971853</v>
      </c>
      <c r="AR102" s="351">
        <f t="shared" si="107"/>
        <v>0.35521199999999997</v>
      </c>
      <c r="AS102" s="351">
        <f t="shared" si="130"/>
        <v>0.41267999999999999</v>
      </c>
      <c r="AT102" s="351">
        <f t="shared" si="108"/>
        <v>3.5197966058497263</v>
      </c>
      <c r="AU102">
        <f t="shared" si="109"/>
        <v>15.345000000000001</v>
      </c>
      <c r="AV102" s="521">
        <f t="shared" si="124"/>
        <v>0.81341984865300465</v>
      </c>
      <c r="AW102" s="530">
        <f t="shared" si="110"/>
        <v>51.675252288651301</v>
      </c>
      <c r="AX102" s="530">
        <f t="shared" si="111"/>
        <v>14.283210386649333</v>
      </c>
      <c r="AY102" s="9"/>
      <c r="AZ102" s="4">
        <f t="shared" si="125"/>
        <v>81.341984865300461</v>
      </c>
      <c r="BA102" s="351">
        <f t="shared" si="112"/>
        <v>1.2544057261831416</v>
      </c>
      <c r="BB102" s="351">
        <f t="shared" si="126"/>
        <v>1.5946125933960262</v>
      </c>
      <c r="BC102" s="351">
        <f t="shared" si="127"/>
        <v>1.2303631497297929</v>
      </c>
      <c r="BD102" s="351">
        <f t="shared" si="128"/>
        <v>0.35708025966623336</v>
      </c>
      <c r="BE102" s="351">
        <f t="shared" si="129"/>
        <v>0.19774215054937827</v>
      </c>
      <c r="BK102" s="18"/>
      <c r="BL102" s="19"/>
    </row>
    <row r="103" spans="7:64" x14ac:dyDescent="0.25">
      <c r="G103">
        <v>94</v>
      </c>
      <c r="H103" s="527">
        <f t="shared" si="83"/>
        <v>24</v>
      </c>
      <c r="I103" s="4">
        <f t="shared" si="84"/>
        <v>1</v>
      </c>
      <c r="J103" s="351">
        <f t="shared" si="113"/>
        <v>4.7</v>
      </c>
      <c r="K103" s="351">
        <f t="shared" si="85"/>
        <v>4.7</v>
      </c>
      <c r="L103" s="4">
        <f t="shared" si="86"/>
        <v>0.71805555555555545</v>
      </c>
      <c r="M103" s="351">
        <f t="shared" si="87"/>
        <v>0.14478190083553577</v>
      </c>
      <c r="N103" s="4">
        <f t="shared" si="88"/>
        <v>2.0469338927047205</v>
      </c>
      <c r="O103" s="4">
        <f t="shared" si="114"/>
        <v>5.7234669463523602</v>
      </c>
      <c r="P103" s="4">
        <f t="shared" si="115"/>
        <v>3.6765330536476402</v>
      </c>
      <c r="Q103" s="4">
        <f t="shared" si="89"/>
        <v>0</v>
      </c>
      <c r="R103" s="4">
        <f t="shared" si="116"/>
        <v>4.7369992115359221</v>
      </c>
      <c r="S103" s="351">
        <f t="shared" si="90"/>
        <v>0.56097903825229867</v>
      </c>
      <c r="T103" s="351">
        <f t="shared" si="91"/>
        <v>0.65</v>
      </c>
      <c r="U103" s="351">
        <f t="shared" si="92"/>
        <v>1.2678793367272772</v>
      </c>
      <c r="V103" s="4">
        <f t="shared" si="117"/>
        <v>0.5908989169832195</v>
      </c>
      <c r="W103" s="351">
        <f t="shared" si="118"/>
        <v>3.4916153009194176E-4</v>
      </c>
      <c r="X103" s="351">
        <f t="shared" si="119"/>
        <v>3.4916153009194176E-4</v>
      </c>
      <c r="Y103" s="4">
        <f t="shared" si="120"/>
        <v>1.6668591032338456</v>
      </c>
      <c r="Z103" s="351">
        <f t="shared" si="121"/>
        <v>2.7784192700335401E-3</v>
      </c>
      <c r="AA103" s="520">
        <f t="shared" si="122"/>
        <v>2.7784192700335401E-3</v>
      </c>
      <c r="AB103" s="351">
        <f t="shared" si="123"/>
        <v>1.8024384759215337</v>
      </c>
      <c r="AC103" s="351">
        <f t="shared" si="93"/>
        <v>3.7361021284046926E-2</v>
      </c>
      <c r="AD103" s="351">
        <f t="shared" si="94"/>
        <v>0.18377134285714289</v>
      </c>
      <c r="AE103" s="351">
        <f t="shared" si="95"/>
        <v>0.53416704000000004</v>
      </c>
      <c r="AF103" s="351">
        <f t="shared" si="96"/>
        <v>0</v>
      </c>
      <c r="AG103" s="351">
        <f t="shared" si="97"/>
        <v>0.76007009932779324</v>
      </c>
      <c r="AH103" s="351">
        <f t="shared" si="98"/>
        <v>4.3806822608595581</v>
      </c>
      <c r="AI103" s="351">
        <f t="shared" si="99"/>
        <v>6.3328244333011707E-2</v>
      </c>
      <c r="AJ103" s="351">
        <f t="shared" si="100"/>
        <v>5.7903999999999997E-2</v>
      </c>
      <c r="AK103" s="351">
        <f t="shared" si="101"/>
        <v>0.12247320643563624</v>
      </c>
      <c r="AL103" s="351">
        <f t="shared" si="102"/>
        <v>5.7903999999999997E-2</v>
      </c>
      <c r="AM103" s="351">
        <f t="shared" si="103"/>
        <v>0.72462720000000014</v>
      </c>
      <c r="AN103" s="351">
        <f t="shared" si="104"/>
        <v>0.20195245377082752</v>
      </c>
      <c r="AO103" s="351">
        <f t="shared" si="105"/>
        <v>8.3999999999999993E-4</v>
      </c>
      <c r="AP103" s="351">
        <f>'Variable Management'!$B$346</f>
        <v>0.41183999999999998</v>
      </c>
      <c r="AQ103" s="351">
        <f t="shared" si="106"/>
        <v>0.36108727954971853</v>
      </c>
      <c r="AR103" s="351">
        <f t="shared" si="107"/>
        <v>0.35521199999999997</v>
      </c>
      <c r="AS103" s="351">
        <f t="shared" si="130"/>
        <v>0.41267999999999999</v>
      </c>
      <c r="AT103" s="351">
        <f t="shared" si="108"/>
        <v>3.5507138770616598</v>
      </c>
      <c r="AU103">
        <f t="shared" si="109"/>
        <v>15.51</v>
      </c>
      <c r="AV103" s="521">
        <f t="shared" si="124"/>
        <v>0.81371558799092436</v>
      </c>
      <c r="AW103" s="530">
        <f t="shared" si="110"/>
        <v>52.009610155767319</v>
      </c>
      <c r="AX103" s="530">
        <f t="shared" si="111"/>
        <v>14.464007297425452</v>
      </c>
      <c r="AY103" s="9"/>
      <c r="AZ103" s="4">
        <f t="shared" si="125"/>
        <v>81.37155879909244</v>
      </c>
      <c r="BA103" s="351">
        <f t="shared" si="112"/>
        <v>1.2678793367272772</v>
      </c>
      <c r="BB103" s="351">
        <f t="shared" si="126"/>
        <v>1.6071705057634296</v>
      </c>
      <c r="BC103" s="351">
        <f t="shared" si="127"/>
        <v>1.2383240513277933</v>
      </c>
      <c r="BD103" s="351">
        <f t="shared" si="128"/>
        <v>0.3616001824356363</v>
      </c>
      <c r="BE103" s="351">
        <f t="shared" si="129"/>
        <v>0.20195245377082752</v>
      </c>
      <c r="BK103" s="18"/>
      <c r="BL103" s="19"/>
    </row>
    <row r="104" spans="7:64" x14ac:dyDescent="0.25">
      <c r="G104">
        <v>95</v>
      </c>
      <c r="H104" s="527">
        <f t="shared" si="83"/>
        <v>24</v>
      </c>
      <c r="I104" s="4">
        <f t="shared" si="84"/>
        <v>1</v>
      </c>
      <c r="J104" s="351">
        <f t="shared" si="113"/>
        <v>4.75</v>
      </c>
      <c r="K104" s="351">
        <f t="shared" si="85"/>
        <v>4.75</v>
      </c>
      <c r="L104" s="4">
        <f t="shared" si="86"/>
        <v>0.72569444444444431</v>
      </c>
      <c r="M104" s="351">
        <f t="shared" si="87"/>
        <v>0.1448593556020297</v>
      </c>
      <c r="N104" s="4">
        <f t="shared" si="88"/>
        <v>2.0478468802923642</v>
      </c>
      <c r="O104" s="4">
        <f t="shared" si="114"/>
        <v>5.7739234401461825</v>
      </c>
      <c r="P104" s="4">
        <f t="shared" si="115"/>
        <v>3.7260765598538179</v>
      </c>
      <c r="Q104" s="4">
        <f t="shared" si="89"/>
        <v>0</v>
      </c>
      <c r="R104" s="4">
        <f t="shared" si="116"/>
        <v>4.7866452835390811</v>
      </c>
      <c r="S104" s="351">
        <f t="shared" si="90"/>
        <v>0.57279932676067336</v>
      </c>
      <c r="T104" s="351">
        <f t="shared" si="91"/>
        <v>0.65</v>
      </c>
      <c r="U104" s="351">
        <f t="shared" si="92"/>
        <v>1.2815238045590074</v>
      </c>
      <c r="V104" s="4">
        <f t="shared" si="117"/>
        <v>0.59116247379796594</v>
      </c>
      <c r="W104" s="351">
        <f t="shared" si="118"/>
        <v>3.4947307042693077E-4</v>
      </c>
      <c r="X104" s="351">
        <f t="shared" si="119"/>
        <v>3.4947307042693077E-4</v>
      </c>
      <c r="Y104" s="4">
        <f t="shared" si="120"/>
        <v>1.6847027854551091</v>
      </c>
      <c r="Z104" s="351">
        <f t="shared" si="121"/>
        <v>2.8382234753202033E-3</v>
      </c>
      <c r="AA104" s="520">
        <f t="shared" si="122"/>
        <v>2.8382234753202033E-3</v>
      </c>
      <c r="AB104" s="351">
        <f t="shared" si="123"/>
        <v>1.8218160320276862</v>
      </c>
      <c r="AC104" s="351">
        <f t="shared" si="93"/>
        <v>3.8168657027360685E-2</v>
      </c>
      <c r="AD104" s="351">
        <f t="shared" si="94"/>
        <v>0.18572635714285715</v>
      </c>
      <c r="AE104" s="351">
        <f t="shared" si="95"/>
        <v>0.53416704000000004</v>
      </c>
      <c r="AF104" s="351">
        <f t="shared" si="96"/>
        <v>0</v>
      </c>
      <c r="AG104" s="351">
        <f t="shared" si="97"/>
        <v>0.76295437272527067</v>
      </c>
      <c r="AH104" s="351">
        <f t="shared" si="98"/>
        <v>4.426393499890608</v>
      </c>
      <c r="AI104" s="351">
        <f t="shared" si="99"/>
        <v>6.4656766072383617E-2</v>
      </c>
      <c r="AJ104" s="351">
        <f t="shared" si="100"/>
        <v>5.8519999999999996E-2</v>
      </c>
      <c r="AK104" s="351">
        <f t="shared" si="101"/>
        <v>0.12446436015541039</v>
      </c>
      <c r="AL104" s="351">
        <f t="shared" si="102"/>
        <v>5.8519999999999996E-2</v>
      </c>
      <c r="AM104" s="351">
        <f t="shared" si="103"/>
        <v>0.73233599999999999</v>
      </c>
      <c r="AN104" s="351">
        <f t="shared" si="104"/>
        <v>0.20620775763384236</v>
      </c>
      <c r="AO104" s="351">
        <f t="shared" si="105"/>
        <v>8.3999999999999993E-4</v>
      </c>
      <c r="AP104" s="351">
        <f>'Variable Management'!$B$346</f>
        <v>0.41183999999999998</v>
      </c>
      <c r="AQ104" s="351">
        <f t="shared" si="106"/>
        <v>0.36108727954971853</v>
      </c>
      <c r="AR104" s="351">
        <f t="shared" si="107"/>
        <v>0.35521199999999997</v>
      </c>
      <c r="AS104" s="351">
        <f t="shared" si="130"/>
        <v>0.41267999999999999</v>
      </c>
      <c r="AT104" s="351">
        <f t="shared" si="108"/>
        <v>3.5818739916192781</v>
      </c>
      <c r="AU104">
        <f t="shared" si="109"/>
        <v>15.674999999999999</v>
      </c>
      <c r="AV104" s="521">
        <f t="shared" si="124"/>
        <v>0.81399504440969317</v>
      </c>
      <c r="AW104" s="530">
        <f t="shared" si="110"/>
        <v>52.344437574461367</v>
      </c>
      <c r="AX104" s="530">
        <f t="shared" si="111"/>
        <v>14.645409606216415</v>
      </c>
      <c r="AY104" s="9"/>
      <c r="AZ104" s="4">
        <f t="shared" si="125"/>
        <v>81.399504440969324</v>
      </c>
      <c r="BA104" s="351">
        <f t="shared" si="112"/>
        <v>1.2815238045590074</v>
      </c>
      <c r="BB104" s="351">
        <f t="shared" si="126"/>
        <v>1.6197547328806809</v>
      </c>
      <c r="BC104" s="351">
        <f t="shared" si="127"/>
        <v>1.2462961327252706</v>
      </c>
      <c r="BD104" s="351">
        <f t="shared" si="128"/>
        <v>0.36613524015541038</v>
      </c>
      <c r="BE104" s="351">
        <f t="shared" si="129"/>
        <v>0.20620775763384236</v>
      </c>
      <c r="BK104" s="18"/>
      <c r="BL104" s="19"/>
    </row>
    <row r="105" spans="7:64" x14ac:dyDescent="0.25">
      <c r="G105">
        <v>96</v>
      </c>
      <c r="H105" s="527">
        <f t="shared" si="83"/>
        <v>24</v>
      </c>
      <c r="I105" s="4">
        <f t="shared" si="84"/>
        <v>1</v>
      </c>
      <c r="J105" s="351">
        <f t="shared" si="113"/>
        <v>4.8</v>
      </c>
      <c r="K105" s="351">
        <f t="shared" si="85"/>
        <v>4.8</v>
      </c>
      <c r="L105" s="4">
        <f t="shared" ref="L105:L109" si="131">Vout*K105/(Vin*Efficiency)</f>
        <v>0.73333333333333317</v>
      </c>
      <c r="M105" s="351">
        <f t="shared" si="87"/>
        <v>0.14493681011038234</v>
      </c>
      <c r="N105" s="4">
        <f t="shared" ref="N105:N109" si="132">(Vin-(Rdson1+Rdcr)*K105-Vout)*M105/(Fsw*Lf)</f>
        <v>2.0487596695272559</v>
      </c>
      <c r="O105" s="4">
        <f t="shared" si="114"/>
        <v>5.8243798347636275</v>
      </c>
      <c r="P105" s="4">
        <f t="shared" si="115"/>
        <v>3.7756201652363721</v>
      </c>
      <c r="Q105" s="4">
        <f t="shared" ref="Q105:Q109" si="133">IF(MIN(Vin, -P105/(Coss_Q1+Coss_Q2)*0.00000002)&lt;0, 0, MIN(Vin, -P105/(Coss_Q1+Coss_Q2)*0.00000002))</f>
        <v>0</v>
      </c>
      <c r="R105" s="4">
        <f t="shared" si="116"/>
        <v>4.8362986551656206</v>
      </c>
      <c r="S105" s="351">
        <f t="shared" ref="S105:S109" si="134">R105^2*Rdcr</f>
        <v>0.58474461704891978</v>
      </c>
      <c r="T105" s="351">
        <f t="shared" si="91"/>
        <v>0.65</v>
      </c>
      <c r="U105" s="351">
        <f t="shared" ref="U105:U109" si="135">(T105+S105*(1+Ltc*(Ta-25)))/(1-S105*Ltc*ThetaCa)</f>
        <v>1.2953400675906324</v>
      </c>
      <c r="V105" s="4">
        <f t="shared" si="117"/>
        <v>0.59142597335320501</v>
      </c>
      <c r="W105" s="351">
        <f t="shared" si="118"/>
        <v>3.4978468195678597E-4</v>
      </c>
      <c r="X105" s="351">
        <f t="shared" si="119"/>
        <v>3.4978468195678597E-4</v>
      </c>
      <c r="Y105" s="4">
        <f t="shared" si="120"/>
        <v>1.70255663166703</v>
      </c>
      <c r="Z105" s="351">
        <f t="shared" si="121"/>
        <v>2.8986990840333825E-3</v>
      </c>
      <c r="AA105" s="520">
        <f t="shared" si="122"/>
        <v>2.8986990840333825E-3</v>
      </c>
      <c r="AB105" s="351">
        <f t="shared" si="123"/>
        <v>1.8412063385105704</v>
      </c>
      <c r="AC105" s="351">
        <f t="shared" ref="AC105:AC109" si="136">Rdson1*AB105^2</f>
        <v>3.8985468981172264E-2</v>
      </c>
      <c r="AD105" s="351">
        <f t="shared" si="94"/>
        <v>0.18768137142857141</v>
      </c>
      <c r="AE105" s="351">
        <f t="shared" si="95"/>
        <v>0.53416704000000004</v>
      </c>
      <c r="AF105" s="351">
        <f t="shared" si="96"/>
        <v>0</v>
      </c>
      <c r="AG105" s="351">
        <f t="shared" ref="AG105:AG109" si="137">(AF105+AE105+AD105+AC105*(1+RdsonTopTc*Ta-RdsonTopTc*25))/(1-AC105*RdsonTopTc*ThetaJA_Q1)</f>
        <v>0.76584985908524505</v>
      </c>
      <c r="AH105" s="351">
        <f t="shared" si="98"/>
        <v>4.4721073221676253</v>
      </c>
      <c r="AI105" s="351">
        <f t="shared" ref="AI105:AI109" si="138">Rdson2*AH105^2</f>
        <v>6.5999154873251448E-2</v>
      </c>
      <c r="AJ105" s="351">
        <f t="shared" si="100"/>
        <v>5.9135999999999994E-2</v>
      </c>
      <c r="AK105" s="351">
        <f t="shared" ref="AK105:AK109" si="139">(AJ105+AI105*(1+RdsonBotTc*Ta-RdsonBotTc*25))/(1-AI105*RdsonBotTc*ThetaJA_Q2)</f>
        <v>0.1264706680262091</v>
      </c>
      <c r="AL105" s="351">
        <f t="shared" si="102"/>
        <v>5.9135999999999994E-2</v>
      </c>
      <c r="AM105" s="351">
        <f t="shared" si="103"/>
        <v>0.74004479999999995</v>
      </c>
      <c r="AN105" s="351">
        <f t="shared" si="104"/>
        <v>0.21050806213761108</v>
      </c>
      <c r="AO105" s="351">
        <f t="shared" si="105"/>
        <v>8.3999999999999993E-4</v>
      </c>
      <c r="AP105" s="351">
        <f>'Variable Management'!$B$346</f>
        <v>0.41183999999999998</v>
      </c>
      <c r="AQ105" s="351">
        <f t="shared" si="106"/>
        <v>0.36108727954971853</v>
      </c>
      <c r="AR105" s="351">
        <f t="shared" si="107"/>
        <v>0.35521199999999997</v>
      </c>
      <c r="AS105" s="351">
        <f t="shared" si="130"/>
        <v>0.41267999999999999</v>
      </c>
      <c r="AT105" s="351">
        <f t="shared" ref="AT105:AT109" si="140" xml:space="preserve"> SUM(U105,X105,AA105,AG105,AK105,AL105,AM105,AS105,AN105)</f>
        <v>3.6132779406056881</v>
      </c>
      <c r="AU105">
        <f t="shared" si="109"/>
        <v>15.839999999999998</v>
      </c>
      <c r="AV105" s="521">
        <f t="shared" si="124"/>
        <v>0.81425865853365853</v>
      </c>
      <c r="AW105" s="530">
        <f t="shared" si="110"/>
        <v>52.679735937580297</v>
      </c>
      <c r="AX105" s="530">
        <f t="shared" si="111"/>
        <v>14.827418081048362</v>
      </c>
      <c r="AY105" s="9"/>
      <c r="AZ105" s="4">
        <f t="shared" si="125"/>
        <v>81.425865853365849</v>
      </c>
      <c r="BA105" s="351">
        <f t="shared" si="112"/>
        <v>1.2953400675906324</v>
      </c>
      <c r="BB105" s="351">
        <f t="shared" si="126"/>
        <v>1.632365327111454</v>
      </c>
      <c r="BC105" s="351">
        <f t="shared" si="127"/>
        <v>1.2542794270852451</v>
      </c>
      <c r="BD105" s="351">
        <f t="shared" si="128"/>
        <v>0.37068545202620906</v>
      </c>
      <c r="BE105" s="351">
        <f t="shared" si="129"/>
        <v>0.21050806213761108</v>
      </c>
      <c r="BK105" s="18"/>
      <c r="BL105" s="19"/>
    </row>
    <row r="106" spans="7:64" x14ac:dyDescent="0.25">
      <c r="G106">
        <v>97</v>
      </c>
      <c r="H106" s="527">
        <f t="shared" si="83"/>
        <v>24</v>
      </c>
      <c r="I106" s="4">
        <f t="shared" si="84"/>
        <v>1</v>
      </c>
      <c r="J106" s="351">
        <f t="shared" si="113"/>
        <v>4.8499999999999996</v>
      </c>
      <c r="K106" s="351">
        <f t="shared" si="85"/>
        <v>4.8499999999999996</v>
      </c>
      <c r="L106" s="4">
        <f t="shared" si="131"/>
        <v>0.74097222222222214</v>
      </c>
      <c r="M106" s="351">
        <f t="shared" si="87"/>
        <v>0.14501426436059503</v>
      </c>
      <c r="N106" s="4">
        <f t="shared" si="132"/>
        <v>2.0496722604103876</v>
      </c>
      <c r="O106" s="4">
        <f t="shared" si="114"/>
        <v>5.8748361302051935</v>
      </c>
      <c r="P106" s="4">
        <f t="shared" si="115"/>
        <v>3.8251638697948058</v>
      </c>
      <c r="Q106" s="4">
        <f t="shared" si="133"/>
        <v>0</v>
      </c>
      <c r="R106" s="4">
        <f t="shared" si="116"/>
        <v>4.8859591038598875</v>
      </c>
      <c r="S106" s="351">
        <f t="shared" si="134"/>
        <v>0.59681490911478297</v>
      </c>
      <c r="T106" s="351">
        <f t="shared" si="91"/>
        <v>0.65</v>
      </c>
      <c r="U106" s="351">
        <f t="shared" si="135"/>
        <v>1.3093290783043472</v>
      </c>
      <c r="V106" s="4">
        <f t="shared" si="117"/>
        <v>0.59168941564922306</v>
      </c>
      <c r="W106" s="351">
        <f t="shared" si="118"/>
        <v>3.5009636459131904E-4</v>
      </c>
      <c r="X106" s="351">
        <f t="shared" si="119"/>
        <v>3.5009636459131904E-4</v>
      </c>
      <c r="Y106" s="4">
        <f t="shared" si="120"/>
        <v>1.7204205601660461</v>
      </c>
      <c r="Z106" s="351">
        <f t="shared" si="121"/>
        <v>2.9598469038420519E-3</v>
      </c>
      <c r="AA106" s="520">
        <f t="shared" si="122"/>
        <v>2.9598469038420519E-3</v>
      </c>
      <c r="AB106" s="351">
        <f t="shared" si="123"/>
        <v>1.8606093088525129</v>
      </c>
      <c r="AC106" s="351">
        <f t="shared" si="136"/>
        <v>3.981147050216919E-2</v>
      </c>
      <c r="AD106" s="351">
        <f t="shared" si="94"/>
        <v>0.18963638571428568</v>
      </c>
      <c r="AE106" s="351">
        <f t="shared" si="95"/>
        <v>0.53416704000000004</v>
      </c>
      <c r="AF106" s="351">
        <f t="shared" si="96"/>
        <v>0</v>
      </c>
      <c r="AG106" s="351">
        <f t="shared" si="137"/>
        <v>0.76875659171938504</v>
      </c>
      <c r="AH106" s="351">
        <f t="shared" si="98"/>
        <v>4.5178235207235229</v>
      </c>
      <c r="AI106" s="351">
        <f t="shared" si="138"/>
        <v>6.7355406902528864E-2</v>
      </c>
      <c r="AJ106" s="351">
        <f t="shared" si="100"/>
        <v>5.9751999999999993E-2</v>
      </c>
      <c r="AK106" s="351">
        <f t="shared" si="139"/>
        <v>0.12849214946428039</v>
      </c>
      <c r="AL106" s="351">
        <f t="shared" si="102"/>
        <v>5.9751999999999993E-2</v>
      </c>
      <c r="AM106" s="351">
        <f t="shared" si="103"/>
        <v>0.74775360000000013</v>
      </c>
      <c r="AN106" s="351">
        <f t="shared" si="104"/>
        <v>0.21485336728132184</v>
      </c>
      <c r="AO106" s="351">
        <f t="shared" si="105"/>
        <v>8.3999999999999993E-4</v>
      </c>
      <c r="AP106" s="351">
        <f>'Variable Management'!$B$346</f>
        <v>0.41183999999999998</v>
      </c>
      <c r="AQ106" s="351">
        <f t="shared" si="106"/>
        <v>0.36108727954971853</v>
      </c>
      <c r="AR106" s="351">
        <f t="shared" si="107"/>
        <v>0.35521199999999997</v>
      </c>
      <c r="AS106" s="351">
        <f t="shared" si="130"/>
        <v>0.41267999999999999</v>
      </c>
      <c r="AT106" s="351">
        <f t="shared" si="140"/>
        <v>3.6449267300377683</v>
      </c>
      <c r="AU106">
        <f t="shared" si="109"/>
        <v>16.004999999999999</v>
      </c>
      <c r="AV106" s="521">
        <f t="shared" si="124"/>
        <v>0.81450685388734978</v>
      </c>
      <c r="AW106" s="530">
        <f t="shared" si="110"/>
        <v>53.01550664421417</v>
      </c>
      <c r="AX106" s="530">
        <f t="shared" si="111"/>
        <v>15.010033498571218</v>
      </c>
      <c r="AY106" s="9"/>
      <c r="AZ106" s="4">
        <f t="shared" si="125"/>
        <v>81.450685388734982</v>
      </c>
      <c r="BA106" s="351">
        <f t="shared" si="112"/>
        <v>1.3093290783043472</v>
      </c>
      <c r="BB106" s="351">
        <f t="shared" si="126"/>
        <v>1.6450023411836656</v>
      </c>
      <c r="BC106" s="351">
        <f t="shared" si="127"/>
        <v>1.262273967719385</v>
      </c>
      <c r="BD106" s="351">
        <f t="shared" si="128"/>
        <v>0.37525083746428045</v>
      </c>
      <c r="BE106" s="351">
        <f t="shared" si="129"/>
        <v>0.21485336728132184</v>
      </c>
      <c r="BK106" s="18"/>
      <c r="BL106" s="19"/>
    </row>
    <row r="107" spans="7:64" x14ac:dyDescent="0.25">
      <c r="G107">
        <v>98</v>
      </c>
      <c r="H107" s="527">
        <f t="shared" si="83"/>
        <v>24</v>
      </c>
      <c r="I107" s="4">
        <f t="shared" si="84"/>
        <v>1</v>
      </c>
      <c r="J107" s="351">
        <f t="shared" si="113"/>
        <v>4.9000000000000004</v>
      </c>
      <c r="K107" s="351">
        <f t="shared" si="85"/>
        <v>4.9000000000000004</v>
      </c>
      <c r="L107" s="4">
        <f t="shared" si="131"/>
        <v>0.74861111111111112</v>
      </c>
      <c r="M107" s="351">
        <f t="shared" si="87"/>
        <v>0.14509171835266907</v>
      </c>
      <c r="N107" s="4">
        <f t="shared" si="132"/>
        <v>2.0505846529427512</v>
      </c>
      <c r="O107" s="4">
        <f t="shared" si="114"/>
        <v>5.9252923264713759</v>
      </c>
      <c r="P107" s="4">
        <f t="shared" si="115"/>
        <v>3.8747076735286248</v>
      </c>
      <c r="Q107" s="4">
        <f t="shared" si="133"/>
        <v>0</v>
      </c>
      <c r="R107" s="4">
        <f t="shared" si="116"/>
        <v>4.9356264159922363</v>
      </c>
      <c r="S107" s="351">
        <f t="shared" si="134"/>
        <v>0.60901020295600927</v>
      </c>
      <c r="T107" s="351">
        <f t="shared" si="91"/>
        <v>0.65</v>
      </c>
      <c r="U107" s="351">
        <f t="shared" si="135"/>
        <v>1.3234918039255545</v>
      </c>
      <c r="V107" s="4">
        <f t="shared" si="117"/>
        <v>0.5919528006863064</v>
      </c>
      <c r="W107" s="351">
        <f t="shared" si="118"/>
        <v>3.5040811824036202E-4</v>
      </c>
      <c r="X107" s="351">
        <f t="shared" si="119"/>
        <v>3.5040811824036202E-4</v>
      </c>
      <c r="Y107" s="4">
        <f t="shared" si="120"/>
        <v>1.7382944923257249</v>
      </c>
      <c r="Z107" s="351">
        <f t="shared" si="121"/>
        <v>3.0216677420499493E-3</v>
      </c>
      <c r="AA107" s="520">
        <f t="shared" si="122"/>
        <v>3.0216677420499493E-3</v>
      </c>
      <c r="AB107" s="351">
        <f t="shared" si="123"/>
        <v>1.8800248598483489</v>
      </c>
      <c r="AC107" s="351">
        <f t="shared" si="136"/>
        <v>4.0646674946949748E-2</v>
      </c>
      <c r="AD107" s="351">
        <f t="shared" si="94"/>
        <v>0.19159140000000002</v>
      </c>
      <c r="AE107" s="351">
        <f t="shared" si="95"/>
        <v>0.53416704000000004</v>
      </c>
      <c r="AF107" s="351">
        <f t="shared" si="96"/>
        <v>0</v>
      </c>
      <c r="AG107" s="351">
        <f t="shared" si="137"/>
        <v>0.77167460408888222</v>
      </c>
      <c r="AH107" s="351">
        <f t="shared" si="98"/>
        <v>4.5635418968814738</v>
      </c>
      <c r="AI107" s="351">
        <f t="shared" si="138"/>
        <v>6.8725518327155455E-2</v>
      </c>
      <c r="AJ107" s="351">
        <f t="shared" si="100"/>
        <v>6.0367999999999998E-2</v>
      </c>
      <c r="AK107" s="351">
        <f t="shared" si="139"/>
        <v>0.13052882410204297</v>
      </c>
      <c r="AL107" s="351">
        <f t="shared" si="102"/>
        <v>6.0367999999999998E-2</v>
      </c>
      <c r="AM107" s="351">
        <f t="shared" si="103"/>
        <v>0.75546240000000009</v>
      </c>
      <c r="AN107" s="351">
        <f t="shared" si="104"/>
        <v>0.21924367306416329</v>
      </c>
      <c r="AO107" s="351">
        <f t="shared" si="105"/>
        <v>8.3999999999999993E-4</v>
      </c>
      <c r="AP107" s="351">
        <f>'Variable Management'!$B$346</f>
        <v>0.41183999999999998</v>
      </c>
      <c r="AQ107" s="351">
        <f t="shared" si="106"/>
        <v>0.36108727954971853</v>
      </c>
      <c r="AR107" s="351">
        <f t="shared" si="107"/>
        <v>0.35521199999999997</v>
      </c>
      <c r="AS107" s="351">
        <f t="shared" si="130"/>
        <v>0.41267999999999999</v>
      </c>
      <c r="AT107" s="351">
        <f t="shared" si="140"/>
        <v>3.6768213810409334</v>
      </c>
      <c r="AU107">
        <f t="shared" si="109"/>
        <v>16.170000000000002</v>
      </c>
      <c r="AV107" s="521">
        <f t="shared" si="124"/>
        <v>0.81474003768919445</v>
      </c>
      <c r="AW107" s="530">
        <f t="shared" si="110"/>
        <v>53.351751099733058</v>
      </c>
      <c r="AX107" s="530">
        <f t="shared" si="111"/>
        <v>15.193256644081721</v>
      </c>
      <c r="AY107" s="9"/>
      <c r="AZ107" s="4">
        <f t="shared" si="125"/>
        <v>81.474003768919445</v>
      </c>
      <c r="BA107" s="351">
        <f t="shared" si="112"/>
        <v>1.3234918039255545</v>
      </c>
      <c r="BB107" s="351">
        <f t="shared" si="126"/>
        <v>1.6576658281909253</v>
      </c>
      <c r="BC107" s="351">
        <f t="shared" si="127"/>
        <v>1.2702797880888823</v>
      </c>
      <c r="BD107" s="351">
        <f t="shared" si="128"/>
        <v>0.37983141610204302</v>
      </c>
      <c r="BE107" s="351">
        <f t="shared" si="129"/>
        <v>0.21924367306416329</v>
      </c>
      <c r="BK107" s="18"/>
      <c r="BL107" s="19"/>
    </row>
    <row r="108" spans="7:64" x14ac:dyDescent="0.25">
      <c r="G108">
        <v>99</v>
      </c>
      <c r="H108" s="527">
        <f t="shared" si="83"/>
        <v>24</v>
      </c>
      <c r="I108" s="4">
        <f t="shared" si="84"/>
        <v>1</v>
      </c>
      <c r="J108" s="351">
        <f t="shared" si="113"/>
        <v>4.95</v>
      </c>
      <c r="K108" s="351">
        <f t="shared" si="85"/>
        <v>4.95</v>
      </c>
      <c r="L108" s="4">
        <f t="shared" si="131"/>
        <v>0.75624999999999998</v>
      </c>
      <c r="M108" s="351">
        <f t="shared" si="87"/>
        <v>0.14516917208660571</v>
      </c>
      <c r="N108" s="4">
        <f t="shared" si="132"/>
        <v>2.0514968471253381</v>
      </c>
      <c r="O108" s="4">
        <f t="shared" si="114"/>
        <v>5.9757484235626688</v>
      </c>
      <c r="P108" s="4">
        <f t="shared" si="115"/>
        <v>3.9242515764373311</v>
      </c>
      <c r="Q108" s="4">
        <f t="shared" si="133"/>
        <v>0</v>
      </c>
      <c r="R108" s="4">
        <f t="shared" si="116"/>
        <v>4.9853003864174292</v>
      </c>
      <c r="S108" s="351">
        <f t="shared" si="134"/>
        <v>0.62133049857034428</v>
      </c>
      <c r="T108" s="351">
        <f t="shared" si="91"/>
        <v>0.65</v>
      </c>
      <c r="U108" s="351">
        <f t="shared" si="135"/>
        <v>1.3378292265995506</v>
      </c>
      <c r="V108" s="4">
        <f t="shared" si="117"/>
        <v>0.59221612846474125</v>
      </c>
      <c r="W108" s="351">
        <f t="shared" si="118"/>
        <v>3.5071994281376688E-4</v>
      </c>
      <c r="X108" s="351">
        <f t="shared" si="119"/>
        <v>3.5071994281376688E-4</v>
      </c>
      <c r="Y108" s="4">
        <f t="shared" si="120"/>
        <v>1.7561783524447554</v>
      </c>
      <c r="Z108" s="351">
        <f t="shared" si="121"/>
        <v>3.0841624055955755E-3</v>
      </c>
      <c r="AA108" s="520">
        <f t="shared" si="122"/>
        <v>3.0841624055955755E-3</v>
      </c>
      <c r="AB108" s="351">
        <f t="shared" si="123"/>
        <v>1.899452911441764</v>
      </c>
      <c r="AC108" s="351">
        <f t="shared" si="136"/>
        <v>4.1491095672022825E-2</v>
      </c>
      <c r="AD108" s="351">
        <f t="shared" si="94"/>
        <v>0.19354641428571431</v>
      </c>
      <c r="AE108" s="351">
        <f t="shared" si="95"/>
        <v>0.53416704000000004</v>
      </c>
      <c r="AF108" s="351">
        <f t="shared" si="96"/>
        <v>0</v>
      </c>
      <c r="AG108" s="351">
        <f t="shared" si="137"/>
        <v>0.77460392980532933</v>
      </c>
      <c r="AH108" s="351">
        <f t="shared" si="98"/>
        <v>4.6092622598447548</v>
      </c>
      <c r="AI108" s="351">
        <f t="shared" si="138"/>
        <v>7.0109485314096276E-2</v>
      </c>
      <c r="AJ108" s="351">
        <f t="shared" si="100"/>
        <v>6.0983999999999997E-2</v>
      </c>
      <c r="AK108" s="351">
        <f t="shared" si="139"/>
        <v>0.13258071178866906</v>
      </c>
      <c r="AL108" s="351">
        <f t="shared" si="102"/>
        <v>6.0983999999999997E-2</v>
      </c>
      <c r="AM108" s="351">
        <f t="shared" si="103"/>
        <v>0.76317120000000005</v>
      </c>
      <c r="AN108" s="351">
        <f t="shared" si="104"/>
        <v>0.22367897948532392</v>
      </c>
      <c r="AO108" s="351">
        <f t="shared" si="105"/>
        <v>8.3999999999999993E-4</v>
      </c>
      <c r="AP108" s="351">
        <f>'Variable Management'!$B$346</f>
        <v>0.41183999999999998</v>
      </c>
      <c r="AQ108" s="351">
        <f t="shared" si="106"/>
        <v>0.36108727954971853</v>
      </c>
      <c r="AR108" s="351">
        <f t="shared" si="107"/>
        <v>0.35521199999999997</v>
      </c>
      <c r="AS108" s="351">
        <f t="shared" si="130"/>
        <v>0.41267999999999999</v>
      </c>
      <c r="AT108" s="351">
        <f t="shared" si="140"/>
        <v>3.7089629300272824</v>
      </c>
      <c r="AU108">
        <f t="shared" si="109"/>
        <v>16.335000000000001</v>
      </c>
      <c r="AV108" s="521">
        <f t="shared" si="124"/>
        <v>0.81495860160113387</v>
      </c>
      <c r="AW108" s="530">
        <f t="shared" si="110"/>
        <v>53.68847071582384</v>
      </c>
      <c r="AX108" s="530">
        <f t="shared" si="111"/>
        <v>15.377088311546764</v>
      </c>
      <c r="AY108" s="9"/>
      <c r="AZ108" s="4">
        <f t="shared" si="125"/>
        <v>81.495860160113381</v>
      </c>
      <c r="BA108" s="351">
        <f t="shared" si="112"/>
        <v>1.3378292265995506</v>
      </c>
      <c r="BB108" s="351">
        <f t="shared" si="126"/>
        <v>1.6703558415939983</v>
      </c>
      <c r="BC108" s="351">
        <f t="shared" si="127"/>
        <v>1.2782969218053295</v>
      </c>
      <c r="BD108" s="351">
        <f t="shared" si="128"/>
        <v>0.38442720778866912</v>
      </c>
      <c r="BE108" s="351">
        <f t="shared" si="129"/>
        <v>0.22367897948532392</v>
      </c>
      <c r="BK108" s="18"/>
      <c r="BL108" s="19"/>
    </row>
    <row r="109" spans="7:64" x14ac:dyDescent="0.25">
      <c r="G109">
        <v>100</v>
      </c>
      <c r="H109" s="527">
        <f t="shared" si="83"/>
        <v>24</v>
      </c>
      <c r="I109" s="4">
        <f t="shared" si="84"/>
        <v>1</v>
      </c>
      <c r="J109" s="351">
        <f t="shared" si="113"/>
        <v>5</v>
      </c>
      <c r="K109" s="351">
        <f t="shared" si="85"/>
        <v>5</v>
      </c>
      <c r="L109" s="4">
        <f t="shared" si="131"/>
        <v>0.76388888888888884</v>
      </c>
      <c r="M109" s="351">
        <f t="shared" si="87"/>
        <v>0.14524662556240625</v>
      </c>
      <c r="N109" s="4">
        <f t="shared" si="132"/>
        <v>2.0524088429591392</v>
      </c>
      <c r="O109" s="4">
        <f t="shared" si="114"/>
        <v>6.0262044214795694</v>
      </c>
      <c r="P109" s="4">
        <f t="shared" si="115"/>
        <v>3.9737955785204306</v>
      </c>
      <c r="Q109" s="4">
        <f t="shared" si="133"/>
        <v>0</v>
      </c>
      <c r="R109" s="4">
        <f t="shared" si="116"/>
        <v>5.0349808180589335</v>
      </c>
      <c r="S109" s="351">
        <f t="shared" si="134"/>
        <v>0.63377579595553524</v>
      </c>
      <c r="T109" s="351">
        <f t="shared" si="91"/>
        <v>0.65</v>
      </c>
      <c r="U109" s="351">
        <f t="shared" si="135"/>
        <v>1.3523423435716551</v>
      </c>
      <c r="V109" s="4">
        <f t="shared" si="117"/>
        <v>0.59247939898481372</v>
      </c>
      <c r="W109" s="351">
        <f t="shared" si="118"/>
        <v>3.510318382214061E-4</v>
      </c>
      <c r="X109" s="351">
        <f t="shared" si="119"/>
        <v>3.510318382214061E-4</v>
      </c>
      <c r="Y109" s="4">
        <f t="shared" si="120"/>
        <v>1.7740720676038506</v>
      </c>
      <c r="Z109" s="351">
        <f t="shared" si="121"/>
        <v>3.1473317010522017E-3</v>
      </c>
      <c r="AA109" s="520">
        <f t="shared" si="122"/>
        <v>3.1473317010522017E-3</v>
      </c>
      <c r="AB109" s="351">
        <f t="shared" si="123"/>
        <v>1.918893386571225</v>
      </c>
      <c r="AC109" s="351">
        <f t="shared" si="136"/>
        <v>4.2344746033808021E-2</v>
      </c>
      <c r="AD109" s="351">
        <f t="shared" si="94"/>
        <v>0.19550142857142858</v>
      </c>
      <c r="AE109" s="351">
        <f t="shared" si="95"/>
        <v>0.53416704000000004</v>
      </c>
      <c r="AF109" s="351">
        <f t="shared" si="96"/>
        <v>0</v>
      </c>
      <c r="AG109" s="351">
        <f t="shared" si="137"/>
        <v>0.77754460263160674</v>
      </c>
      <c r="AH109" s="351">
        <f t="shared" si="98"/>
        <v>4.6549844263106426</v>
      </c>
      <c r="AI109" s="351">
        <f t="shared" si="138"/>
        <v>7.150730403034225E-2</v>
      </c>
      <c r="AJ109" s="351">
        <f t="shared" si="100"/>
        <v>6.1599999999999995E-2</v>
      </c>
      <c r="AK109" s="351">
        <f t="shared" si="139"/>
        <v>0.13464783259067634</v>
      </c>
      <c r="AL109" s="351">
        <f t="shared" si="102"/>
        <v>6.1599999999999995E-2</v>
      </c>
      <c r="AM109" s="351">
        <f t="shared" si="103"/>
        <v>0.77088000000000001</v>
      </c>
      <c r="AN109" s="351">
        <f t="shared" si="104"/>
        <v>0.22815928654399265</v>
      </c>
      <c r="AO109" s="351">
        <f t="shared" si="105"/>
        <v>8.3999999999999993E-4</v>
      </c>
      <c r="AP109" s="351">
        <f>'Variable Management'!$B$346</f>
        <v>0.41183999999999998</v>
      </c>
      <c r="AQ109" s="351">
        <f t="shared" si="106"/>
        <v>0.36108727954971853</v>
      </c>
      <c r="AR109" s="351">
        <f t="shared" si="107"/>
        <v>0.35521199999999997</v>
      </c>
      <c r="AS109" s="351">
        <f t="shared" si="130"/>
        <v>0.41267999999999999</v>
      </c>
      <c r="AT109" s="351">
        <f t="shared" si="140"/>
        <v>3.741352428877204</v>
      </c>
      <c r="AU109">
        <f t="shared" si="109"/>
        <v>16.5</v>
      </c>
      <c r="AV109" s="521">
        <f t="shared" si="124"/>
        <v>0.81516292243695998</v>
      </c>
      <c r="AW109" s="530">
        <f t="shared" si="110"/>
        <v>54.025666910527491</v>
      </c>
      <c r="AX109" s="530">
        <f t="shared" si="111"/>
        <v>15.561529303627054</v>
      </c>
      <c r="AY109" s="9"/>
      <c r="AZ109" s="4">
        <f t="shared" si="125"/>
        <v>81.516292243696</v>
      </c>
      <c r="BA109" s="351">
        <f t="shared" si="112"/>
        <v>1.3523423435716551</v>
      </c>
      <c r="BB109" s="351">
        <f t="shared" si="126"/>
        <v>1.6830724352222832</v>
      </c>
      <c r="BC109" s="351">
        <f t="shared" si="127"/>
        <v>1.2863254026316069</v>
      </c>
      <c r="BD109" s="351">
        <f t="shared" si="128"/>
        <v>0.38903823259067638</v>
      </c>
      <c r="BE109" s="351">
        <f t="shared" si="129"/>
        <v>0.22815928654399265</v>
      </c>
      <c r="BK109" s="18"/>
      <c r="BL109" s="19"/>
    </row>
    <row r="110" spans="7:64" x14ac:dyDescent="0.25">
      <c r="H110" s="527"/>
      <c r="I110" s="4"/>
      <c r="J110" s="4"/>
      <c r="L110" s="4"/>
      <c r="R110" s="351"/>
      <c r="S110" s="351"/>
      <c r="T110" s="351"/>
      <c r="U110" s="351"/>
      <c r="W110" s="351"/>
      <c r="X110" s="351"/>
      <c r="Y110" s="351"/>
      <c r="Z110" s="351"/>
      <c r="AA110" s="520"/>
      <c r="AB110" s="351"/>
      <c r="AC110" s="351"/>
      <c r="AD110" s="351"/>
      <c r="AE110" s="351"/>
      <c r="AG110" s="351"/>
      <c r="AH110" s="351"/>
      <c r="AI110" s="351"/>
      <c r="AJ110" s="351"/>
      <c r="AK110" s="351"/>
      <c r="AL110" s="351"/>
      <c r="AM110" s="351"/>
      <c r="AN110" s="351"/>
      <c r="AO110" s="351"/>
      <c r="AP110" s="351"/>
      <c r="AQ110" s="351"/>
      <c r="AR110" s="351"/>
      <c r="AS110" s="351"/>
      <c r="AT110" s="351"/>
      <c r="AV110" s="521"/>
      <c r="AW110" s="530"/>
      <c r="AX110" s="530"/>
      <c r="AY110" s="9"/>
      <c r="AZ110" s="48"/>
      <c r="BA110" s="351"/>
      <c r="BB110" s="351"/>
      <c r="BC110" s="351"/>
      <c r="BD110" s="351"/>
      <c r="BE110" s="351"/>
    </row>
    <row r="111" spans="7:64" x14ac:dyDescent="0.25">
      <c r="H111" s="527"/>
      <c r="I111" s="4"/>
      <c r="J111" s="4"/>
      <c r="L111" s="4"/>
      <c r="R111" s="351"/>
      <c r="S111" s="351"/>
      <c r="T111" s="351"/>
      <c r="U111" s="351"/>
      <c r="W111" s="351"/>
      <c r="X111" s="351"/>
      <c r="Y111" s="351"/>
      <c r="Z111" s="351"/>
      <c r="AA111" s="520"/>
      <c r="AB111" s="351"/>
      <c r="AC111" s="351"/>
      <c r="AD111" s="351"/>
      <c r="AE111" s="351"/>
      <c r="AG111" s="351"/>
      <c r="AH111" s="351"/>
      <c r="AI111" s="351"/>
      <c r="AJ111" s="351"/>
      <c r="AK111" s="351"/>
      <c r="AL111" s="351"/>
      <c r="AM111" s="351"/>
      <c r="AN111" s="351"/>
      <c r="AO111" s="351"/>
      <c r="AP111" s="351"/>
      <c r="AQ111" s="351"/>
      <c r="AR111" s="351"/>
      <c r="AS111" s="351"/>
      <c r="AT111" s="351"/>
      <c r="AV111" s="521"/>
      <c r="AW111" s="530"/>
      <c r="AX111" s="530"/>
      <c r="AY111" s="9"/>
      <c r="AZ111" s="48"/>
      <c r="BA111" s="351"/>
      <c r="BB111" s="351"/>
      <c r="BC111" s="351"/>
      <c r="BD111" s="351"/>
      <c r="BE111" s="351"/>
    </row>
    <row r="112" spans="7:64" x14ac:dyDescent="0.25">
      <c r="H112" s="527"/>
      <c r="I112" s="4"/>
      <c r="J112" s="4"/>
      <c r="L112" s="4"/>
      <c r="R112" s="351"/>
      <c r="S112" s="351"/>
      <c r="T112" s="351"/>
      <c r="U112" s="351"/>
      <c r="W112" s="351"/>
      <c r="X112" s="351"/>
      <c r="Y112" s="351"/>
      <c r="Z112" s="351"/>
      <c r="AA112" s="520"/>
      <c r="AB112" s="351"/>
      <c r="AC112" s="351"/>
      <c r="AD112" s="351"/>
      <c r="AE112" s="351"/>
      <c r="AG112" s="351"/>
      <c r="AH112" s="351"/>
      <c r="AI112" s="351"/>
      <c r="AJ112" s="351"/>
      <c r="AK112" s="351"/>
      <c r="AL112" s="351"/>
      <c r="AM112" s="351"/>
      <c r="AN112" s="351"/>
      <c r="AO112" s="351"/>
      <c r="AP112" s="351"/>
      <c r="AQ112" s="351"/>
      <c r="AR112" s="351"/>
      <c r="AS112" s="351"/>
      <c r="AT112" s="351"/>
      <c r="AV112" s="521"/>
      <c r="AW112" s="530"/>
      <c r="AX112" s="530"/>
      <c r="AY112" s="9"/>
      <c r="AZ112" s="48"/>
      <c r="BA112" s="351"/>
      <c r="BB112" s="351"/>
      <c r="BC112" s="351"/>
      <c r="BD112" s="351"/>
      <c r="BE112" s="351"/>
    </row>
    <row r="113" spans="8:57" x14ac:dyDescent="0.25">
      <c r="H113" s="527"/>
      <c r="I113" s="4"/>
      <c r="J113" s="4"/>
      <c r="L113" s="4"/>
      <c r="R113" s="351"/>
      <c r="S113" s="351"/>
      <c r="T113" s="351"/>
      <c r="U113" s="351"/>
      <c r="W113" s="351"/>
      <c r="X113" s="351"/>
      <c r="Y113" s="351"/>
      <c r="Z113" s="351"/>
      <c r="AA113" s="520"/>
      <c r="AB113" s="351"/>
      <c r="AC113" s="351"/>
      <c r="AD113" s="351"/>
      <c r="AE113" s="351"/>
      <c r="AG113" s="351"/>
      <c r="AH113" s="351"/>
      <c r="AI113" s="351"/>
      <c r="AJ113" s="351"/>
      <c r="AK113" s="351"/>
      <c r="AL113" s="351"/>
      <c r="AM113" s="351"/>
      <c r="AN113" s="351"/>
      <c r="AO113" s="351"/>
      <c r="AP113" s="351"/>
      <c r="AQ113" s="351"/>
      <c r="AR113" s="351"/>
      <c r="AS113" s="351"/>
      <c r="AT113" s="351"/>
      <c r="AV113" s="521"/>
      <c r="AW113" s="530"/>
      <c r="AX113" s="530"/>
      <c r="AY113" s="9"/>
      <c r="AZ113" s="48"/>
      <c r="BA113" s="351"/>
      <c r="BB113" s="351"/>
      <c r="BC113" s="351"/>
      <c r="BD113" s="351"/>
      <c r="BE113" s="351"/>
    </row>
    <row r="114" spans="8:57" x14ac:dyDescent="0.25">
      <c r="H114" s="527"/>
      <c r="I114" s="4"/>
      <c r="J114" s="4"/>
      <c r="L114" s="4"/>
      <c r="R114" s="351"/>
      <c r="S114" s="351"/>
      <c r="T114" s="351"/>
      <c r="U114" s="351"/>
      <c r="W114" s="351"/>
      <c r="X114" s="351"/>
      <c r="Y114" s="351"/>
      <c r="Z114" s="351"/>
      <c r="AA114" s="520"/>
      <c r="AB114" s="351"/>
      <c r="AC114" s="351"/>
      <c r="AD114" s="351"/>
      <c r="AE114" s="351"/>
      <c r="AG114" s="351"/>
      <c r="AH114" s="351"/>
      <c r="AI114" s="351"/>
      <c r="AJ114" s="351"/>
      <c r="AK114" s="351"/>
      <c r="AL114" s="351"/>
      <c r="AM114" s="351"/>
      <c r="AN114" s="351"/>
      <c r="AO114" s="351"/>
      <c r="AP114" s="351"/>
      <c r="AQ114" s="351"/>
      <c r="AR114" s="351"/>
      <c r="AS114" s="351"/>
      <c r="AT114" s="351"/>
      <c r="AV114" s="521"/>
      <c r="AW114" s="530"/>
      <c r="AX114" s="530"/>
      <c r="AY114" s="9"/>
      <c r="AZ114" s="48"/>
      <c r="BA114" s="351"/>
      <c r="BB114" s="351"/>
      <c r="BC114" s="351"/>
      <c r="BD114" s="351"/>
      <c r="BE114" s="351"/>
    </row>
    <row r="115" spans="8:57" x14ac:dyDescent="0.25">
      <c r="H115" s="527"/>
      <c r="I115" s="4"/>
      <c r="J115" s="4"/>
      <c r="L115" s="4"/>
      <c r="R115" s="351"/>
      <c r="S115" s="351"/>
      <c r="T115" s="351"/>
      <c r="U115" s="351"/>
      <c r="W115" s="351"/>
      <c r="X115" s="351"/>
      <c r="Y115" s="351"/>
      <c r="Z115" s="351"/>
      <c r="AA115" s="520"/>
      <c r="AB115" s="351"/>
      <c r="AC115" s="351"/>
      <c r="AD115" s="351"/>
      <c r="AE115" s="351"/>
      <c r="AG115" s="351"/>
      <c r="AH115" s="351"/>
      <c r="AI115" s="351"/>
      <c r="AJ115" s="351"/>
      <c r="AK115" s="351"/>
      <c r="AL115" s="351"/>
      <c r="AM115" s="351"/>
      <c r="AN115" s="351"/>
      <c r="AO115" s="351"/>
      <c r="AP115" s="351"/>
      <c r="AQ115" s="351"/>
      <c r="AR115" s="351"/>
      <c r="AS115" s="351"/>
      <c r="AT115" s="351"/>
      <c r="AV115" s="521"/>
      <c r="AW115" s="530"/>
      <c r="AX115" s="530"/>
      <c r="AY115" s="9"/>
      <c r="AZ115" s="48"/>
      <c r="BA115" s="351"/>
      <c r="BB115" s="351"/>
      <c r="BC115" s="351"/>
      <c r="BD115" s="351"/>
      <c r="BE115" s="351"/>
    </row>
    <row r="116" spans="8:57" x14ac:dyDescent="0.25">
      <c r="H116" s="527"/>
      <c r="I116" s="4"/>
      <c r="J116" s="4"/>
      <c r="L116" s="4"/>
      <c r="R116" s="351"/>
      <c r="S116" s="351"/>
      <c r="T116" s="351"/>
      <c r="U116" s="351"/>
      <c r="W116" s="351"/>
      <c r="X116" s="351"/>
      <c r="Y116" s="351"/>
      <c r="Z116" s="351"/>
      <c r="AA116" s="520"/>
      <c r="AB116" s="351"/>
      <c r="AC116" s="351"/>
      <c r="AD116" s="351"/>
      <c r="AE116" s="351"/>
      <c r="AG116" s="351"/>
      <c r="AH116" s="351"/>
      <c r="AI116" s="351"/>
      <c r="AJ116" s="351"/>
      <c r="AK116" s="351"/>
      <c r="AL116" s="351"/>
      <c r="AM116" s="351"/>
      <c r="AN116" s="351"/>
      <c r="AO116" s="351"/>
      <c r="AP116" s="351"/>
      <c r="AQ116" s="351"/>
      <c r="AR116" s="351"/>
      <c r="AS116" s="351"/>
      <c r="AT116" s="351"/>
      <c r="AV116" s="521"/>
      <c r="AW116" s="530"/>
      <c r="AX116" s="530"/>
      <c r="AY116" s="9"/>
      <c r="AZ116" s="48"/>
      <c r="BA116" s="351"/>
      <c r="BB116" s="351"/>
      <c r="BC116" s="351"/>
      <c r="BD116" s="351"/>
      <c r="BE116" s="351"/>
    </row>
    <row r="117" spans="8:57" x14ac:dyDescent="0.25">
      <c r="H117" s="527"/>
      <c r="I117" s="4"/>
      <c r="J117" s="4"/>
      <c r="L117" s="4"/>
      <c r="R117" s="351"/>
      <c r="S117" s="351"/>
      <c r="T117" s="351"/>
      <c r="U117" s="351"/>
      <c r="W117" s="351"/>
      <c r="X117" s="351"/>
      <c r="Y117" s="351"/>
      <c r="Z117" s="351"/>
      <c r="AA117" s="520"/>
      <c r="AB117" s="351"/>
      <c r="AC117" s="351"/>
      <c r="AD117" s="351"/>
      <c r="AE117" s="351"/>
      <c r="AG117" s="351"/>
      <c r="AH117" s="351"/>
      <c r="AI117" s="351"/>
      <c r="AJ117" s="351"/>
      <c r="AK117" s="351"/>
      <c r="AL117" s="351"/>
      <c r="AM117" s="351"/>
      <c r="AN117" s="351"/>
      <c r="AO117" s="351"/>
      <c r="AP117" s="351"/>
      <c r="AQ117" s="351"/>
      <c r="AR117" s="351"/>
      <c r="AS117" s="351"/>
      <c r="AT117" s="351"/>
      <c r="AV117" s="521"/>
      <c r="AW117" s="530"/>
      <c r="AX117" s="530"/>
      <c r="AY117" s="9"/>
      <c r="AZ117" s="48"/>
      <c r="BA117" s="351"/>
      <c r="BB117" s="351"/>
      <c r="BC117" s="351"/>
      <c r="BD117" s="351"/>
      <c r="BE117" s="351"/>
    </row>
    <row r="118" spans="8:57" x14ac:dyDescent="0.25">
      <c r="H118" s="527"/>
      <c r="I118" s="4"/>
      <c r="J118" s="4"/>
      <c r="L118" s="4"/>
      <c r="R118" s="351"/>
      <c r="S118" s="351"/>
      <c r="T118" s="351"/>
      <c r="U118" s="351"/>
      <c r="W118" s="351"/>
      <c r="X118" s="351"/>
      <c r="Y118" s="351"/>
      <c r="Z118" s="351"/>
      <c r="AA118" s="520"/>
      <c r="AB118" s="351"/>
      <c r="AC118" s="351"/>
      <c r="AD118" s="351"/>
      <c r="AE118" s="351"/>
      <c r="AG118" s="351"/>
      <c r="AH118" s="351"/>
      <c r="AI118" s="351"/>
      <c r="AJ118" s="351"/>
      <c r="AK118" s="351"/>
      <c r="AL118" s="351"/>
      <c r="AM118" s="351"/>
      <c r="AN118" s="351"/>
      <c r="AO118" s="351"/>
      <c r="AP118" s="351"/>
      <c r="AQ118" s="351"/>
      <c r="AR118" s="351"/>
      <c r="AS118" s="351"/>
      <c r="AT118" s="351"/>
      <c r="AV118" s="521"/>
      <c r="AW118" s="530"/>
      <c r="AX118" s="530"/>
      <c r="AY118" s="9"/>
      <c r="AZ118" s="48"/>
      <c r="BA118" s="351"/>
      <c r="BB118" s="351"/>
      <c r="BC118" s="351"/>
      <c r="BD118" s="351"/>
      <c r="BE118" s="351"/>
    </row>
    <row r="119" spans="8:57" x14ac:dyDescent="0.25">
      <c r="H119" s="527"/>
      <c r="I119" s="4"/>
      <c r="J119" s="4"/>
      <c r="L119" s="4"/>
      <c r="R119" s="351"/>
      <c r="S119" s="351"/>
      <c r="T119" s="351"/>
      <c r="U119" s="351"/>
      <c r="W119" s="351"/>
      <c r="X119" s="351"/>
      <c r="Y119" s="351"/>
      <c r="Z119" s="351"/>
      <c r="AA119" s="520"/>
      <c r="AB119" s="351"/>
      <c r="AC119" s="351"/>
      <c r="AD119" s="351"/>
      <c r="AE119" s="351"/>
      <c r="AG119" s="351"/>
      <c r="AH119" s="351"/>
      <c r="AI119" s="351"/>
      <c r="AJ119" s="351"/>
      <c r="AK119" s="351"/>
      <c r="AL119" s="351"/>
      <c r="AM119" s="351"/>
      <c r="AN119" s="351"/>
      <c r="AO119" s="351"/>
      <c r="AP119" s="351"/>
      <c r="AQ119" s="351"/>
      <c r="AR119" s="351"/>
      <c r="AS119" s="351"/>
      <c r="AT119" s="351"/>
      <c r="AV119" s="521"/>
      <c r="AW119" s="530"/>
      <c r="AX119" s="530"/>
      <c r="AY119" s="9"/>
      <c r="AZ119" s="48"/>
      <c r="BA119" s="351"/>
      <c r="BB119" s="351"/>
      <c r="BC119" s="351"/>
      <c r="BD119" s="351"/>
      <c r="BE119" s="351"/>
    </row>
    <row r="120" spans="8:57" x14ac:dyDescent="0.25">
      <c r="H120" s="527"/>
      <c r="I120" s="4"/>
      <c r="J120" s="4"/>
      <c r="L120" s="4"/>
      <c r="R120" s="351"/>
      <c r="S120" s="351"/>
      <c r="T120" s="351"/>
      <c r="U120" s="351"/>
      <c r="W120" s="351"/>
      <c r="X120" s="351"/>
      <c r="Y120" s="351"/>
      <c r="Z120" s="351"/>
      <c r="AA120" s="520"/>
      <c r="AB120" s="351"/>
      <c r="AC120" s="351"/>
      <c r="AD120" s="351"/>
      <c r="AE120" s="351"/>
      <c r="AG120" s="351"/>
      <c r="AH120" s="351"/>
      <c r="AI120" s="351"/>
      <c r="AJ120" s="351"/>
      <c r="AK120" s="351"/>
      <c r="AL120" s="351"/>
      <c r="AM120" s="351"/>
      <c r="AN120" s="351"/>
      <c r="AO120" s="351"/>
      <c r="AP120" s="351"/>
      <c r="AQ120" s="351"/>
      <c r="AR120" s="351"/>
      <c r="AS120" s="351"/>
      <c r="AT120" s="351"/>
      <c r="AV120" s="521"/>
      <c r="AW120" s="530"/>
      <c r="AX120" s="530"/>
      <c r="AY120" s="9"/>
      <c r="AZ120" s="48"/>
      <c r="BA120" s="351"/>
      <c r="BB120" s="351"/>
      <c r="BC120" s="351"/>
      <c r="BD120" s="351"/>
      <c r="BE120" s="351"/>
    </row>
    <row r="121" spans="8:57" x14ac:dyDescent="0.25">
      <c r="H121" s="527"/>
      <c r="I121" s="4"/>
      <c r="J121" s="4"/>
      <c r="L121" s="4"/>
      <c r="R121" s="351"/>
      <c r="S121" s="351"/>
      <c r="T121" s="351"/>
      <c r="U121" s="351"/>
      <c r="W121" s="351"/>
      <c r="X121" s="351"/>
      <c r="Y121" s="351"/>
      <c r="Z121" s="351"/>
      <c r="AA121" s="520"/>
      <c r="AB121" s="351"/>
      <c r="AC121" s="351"/>
      <c r="AD121" s="351"/>
      <c r="AE121" s="351"/>
      <c r="AG121" s="351"/>
      <c r="AH121" s="351"/>
      <c r="AI121" s="351"/>
      <c r="AJ121" s="351"/>
      <c r="AK121" s="351"/>
      <c r="AL121" s="351"/>
      <c r="AM121" s="351"/>
      <c r="AN121" s="351"/>
      <c r="AO121" s="351"/>
      <c r="AP121" s="351"/>
      <c r="AQ121" s="351"/>
      <c r="AR121" s="351"/>
      <c r="AS121" s="351"/>
      <c r="AT121" s="351"/>
      <c r="AV121" s="521"/>
      <c r="AW121" s="530"/>
      <c r="AX121" s="530"/>
      <c r="AY121" s="9"/>
      <c r="AZ121" s="48"/>
      <c r="BA121" s="351"/>
      <c r="BB121" s="351"/>
      <c r="BC121" s="351"/>
      <c r="BD121" s="351"/>
      <c r="BE121" s="351"/>
    </row>
    <row r="122" spans="8:57" x14ac:dyDescent="0.25">
      <c r="H122" s="527"/>
      <c r="I122" s="4"/>
      <c r="J122" s="4"/>
      <c r="L122" s="4"/>
      <c r="R122" s="351"/>
      <c r="S122" s="351"/>
      <c r="T122" s="351"/>
      <c r="U122" s="351"/>
      <c r="W122" s="351"/>
      <c r="X122" s="351"/>
      <c r="Y122" s="351"/>
      <c r="Z122" s="351"/>
      <c r="AA122" s="520"/>
      <c r="AB122" s="351"/>
      <c r="AC122" s="351"/>
      <c r="AD122" s="351"/>
      <c r="AE122" s="351"/>
      <c r="AG122" s="351"/>
      <c r="AH122" s="351"/>
      <c r="AI122" s="351"/>
      <c r="AJ122" s="351"/>
      <c r="AK122" s="351"/>
      <c r="AL122" s="351"/>
      <c r="AM122" s="351"/>
      <c r="AN122" s="351"/>
      <c r="AO122" s="351"/>
      <c r="AP122" s="351"/>
      <c r="AQ122" s="351"/>
      <c r="AR122" s="351"/>
      <c r="AS122" s="351"/>
      <c r="AT122" s="351"/>
      <c r="AV122" s="521"/>
      <c r="AW122" s="530"/>
      <c r="AX122" s="530"/>
      <c r="AY122" s="9"/>
      <c r="AZ122" s="48"/>
      <c r="BA122" s="351"/>
      <c r="BB122" s="351"/>
      <c r="BC122" s="351"/>
      <c r="BD122" s="351"/>
      <c r="BE122" s="351"/>
    </row>
    <row r="123" spans="8:57" x14ac:dyDescent="0.25">
      <c r="H123" s="527"/>
      <c r="I123" s="4"/>
      <c r="J123" s="4"/>
      <c r="L123" s="4"/>
      <c r="R123" s="351"/>
      <c r="S123" s="351"/>
      <c r="T123" s="351"/>
      <c r="U123" s="351"/>
      <c r="W123" s="351"/>
      <c r="X123" s="351"/>
      <c r="Y123" s="351"/>
      <c r="Z123" s="351"/>
      <c r="AA123" s="520"/>
      <c r="AB123" s="351"/>
      <c r="AC123" s="351"/>
      <c r="AD123" s="351"/>
      <c r="AE123" s="351"/>
      <c r="AG123" s="351"/>
      <c r="AH123" s="351"/>
      <c r="AI123" s="351"/>
      <c r="AJ123" s="351"/>
      <c r="AK123" s="351"/>
      <c r="AL123" s="351"/>
      <c r="AM123" s="351"/>
      <c r="AN123" s="351"/>
      <c r="AO123" s="351"/>
      <c r="AP123" s="351"/>
      <c r="AQ123" s="351"/>
      <c r="AR123" s="351"/>
      <c r="AS123" s="351"/>
      <c r="AT123" s="351"/>
      <c r="AV123" s="521"/>
      <c r="AW123" s="530"/>
      <c r="AX123" s="530"/>
      <c r="AY123" s="9"/>
      <c r="AZ123" s="48"/>
      <c r="BA123" s="351"/>
      <c r="BB123" s="351"/>
      <c r="BC123" s="351"/>
      <c r="BD123" s="351"/>
      <c r="BE123" s="351"/>
    </row>
    <row r="124" spans="8:57" x14ac:dyDescent="0.25">
      <c r="H124" s="527"/>
      <c r="I124" s="4"/>
      <c r="J124" s="4"/>
      <c r="L124" s="4"/>
      <c r="R124" s="351"/>
      <c r="S124" s="351"/>
      <c r="T124" s="351"/>
      <c r="U124" s="351"/>
      <c r="W124" s="351"/>
      <c r="X124" s="351"/>
      <c r="Y124" s="351"/>
      <c r="Z124" s="351"/>
      <c r="AA124" s="520"/>
      <c r="AB124" s="351"/>
      <c r="AC124" s="351"/>
      <c r="AD124" s="351"/>
      <c r="AE124" s="351"/>
      <c r="AG124" s="351"/>
      <c r="AH124" s="351"/>
      <c r="AI124" s="351"/>
      <c r="AJ124" s="351"/>
      <c r="AK124" s="351"/>
      <c r="AL124" s="351"/>
      <c r="AM124" s="351"/>
      <c r="AN124" s="351"/>
      <c r="AO124" s="351"/>
      <c r="AP124" s="351"/>
      <c r="AQ124" s="351"/>
      <c r="AR124" s="351"/>
      <c r="AS124" s="351"/>
      <c r="AT124" s="351"/>
      <c r="AV124" s="521"/>
      <c r="AW124" s="530"/>
      <c r="AX124" s="530"/>
      <c r="AY124" s="9"/>
      <c r="AZ124" s="48"/>
      <c r="BA124" s="351"/>
      <c r="BB124" s="351"/>
      <c r="BC124" s="351"/>
      <c r="BD124" s="351"/>
      <c r="BE124" s="351"/>
    </row>
    <row r="125" spans="8:57" x14ac:dyDescent="0.25">
      <c r="H125" s="527"/>
      <c r="I125" s="4"/>
      <c r="J125" s="4"/>
      <c r="L125" s="4"/>
      <c r="R125" s="351"/>
      <c r="S125" s="351"/>
      <c r="T125" s="351"/>
      <c r="U125" s="351"/>
      <c r="W125" s="351"/>
      <c r="X125" s="351"/>
      <c r="Y125" s="351"/>
      <c r="Z125" s="351"/>
      <c r="AA125" s="520"/>
      <c r="AB125" s="351"/>
      <c r="AC125" s="351"/>
      <c r="AD125" s="351"/>
      <c r="AE125" s="351"/>
      <c r="AG125" s="351"/>
      <c r="AH125" s="351"/>
      <c r="AI125" s="351"/>
      <c r="AJ125" s="351"/>
      <c r="AK125" s="351"/>
      <c r="AL125" s="351"/>
      <c r="AM125" s="351"/>
      <c r="AN125" s="351"/>
      <c r="AO125" s="351"/>
      <c r="AP125" s="351"/>
      <c r="AQ125" s="351"/>
      <c r="AR125" s="351"/>
      <c r="AS125" s="351"/>
      <c r="AT125" s="351"/>
      <c r="AV125" s="521"/>
      <c r="AW125" s="530"/>
      <c r="AX125" s="530"/>
      <c r="AY125" s="9"/>
      <c r="AZ125" s="48"/>
      <c r="BA125" s="351"/>
      <c r="BB125" s="351"/>
      <c r="BC125" s="351"/>
      <c r="BD125" s="351"/>
      <c r="BE125" s="351"/>
    </row>
    <row r="126" spans="8:57" x14ac:dyDescent="0.25">
      <c r="H126" s="527"/>
      <c r="I126" s="4"/>
      <c r="J126" s="4"/>
      <c r="L126" s="4"/>
      <c r="R126" s="351"/>
      <c r="S126" s="351"/>
      <c r="T126" s="351"/>
      <c r="U126" s="351"/>
      <c r="W126" s="351"/>
      <c r="X126" s="351"/>
      <c r="Y126" s="351"/>
      <c r="Z126" s="351"/>
      <c r="AA126" s="520"/>
      <c r="AB126" s="351"/>
      <c r="AC126" s="351"/>
      <c r="AD126" s="351"/>
      <c r="AE126" s="351"/>
      <c r="AG126" s="351"/>
      <c r="AH126" s="351"/>
      <c r="AI126" s="351"/>
      <c r="AJ126" s="351"/>
      <c r="AK126" s="351"/>
      <c r="AL126" s="351"/>
      <c r="AM126" s="351"/>
      <c r="AN126" s="351"/>
      <c r="AO126" s="351"/>
      <c r="AP126" s="351"/>
      <c r="AQ126" s="351"/>
      <c r="AR126" s="351"/>
      <c r="AS126" s="351"/>
      <c r="AT126" s="351"/>
      <c r="AV126" s="521"/>
      <c r="AW126" s="530"/>
      <c r="AX126" s="530"/>
      <c r="AY126" s="9"/>
      <c r="AZ126" s="48"/>
      <c r="BA126" s="351"/>
      <c r="BB126" s="351"/>
      <c r="BC126" s="351"/>
      <c r="BD126" s="351"/>
      <c r="BE126" s="351"/>
    </row>
    <row r="127" spans="8:57" x14ac:dyDescent="0.25">
      <c r="H127" s="527"/>
      <c r="I127" s="4"/>
      <c r="J127" s="4"/>
      <c r="L127" s="4"/>
      <c r="R127" s="351"/>
      <c r="S127" s="351"/>
      <c r="T127" s="351"/>
      <c r="U127" s="351"/>
      <c r="W127" s="351"/>
      <c r="X127" s="351"/>
      <c r="Y127" s="351"/>
      <c r="Z127" s="351"/>
      <c r="AA127" s="520"/>
      <c r="AB127" s="351"/>
      <c r="AC127" s="351"/>
      <c r="AD127" s="351"/>
      <c r="AE127" s="351"/>
      <c r="AG127" s="351"/>
      <c r="AH127" s="351"/>
      <c r="AI127" s="351"/>
      <c r="AJ127" s="351"/>
      <c r="AK127" s="351"/>
      <c r="AL127" s="351"/>
      <c r="AM127" s="351"/>
      <c r="AN127" s="351"/>
      <c r="AO127" s="351"/>
      <c r="AP127" s="351"/>
      <c r="AQ127" s="351"/>
      <c r="AR127" s="351"/>
      <c r="AS127" s="351"/>
      <c r="AT127" s="351"/>
      <c r="AV127" s="521"/>
      <c r="AW127" s="530"/>
      <c r="AX127" s="530"/>
      <c r="AY127" s="9"/>
      <c r="AZ127" s="48"/>
      <c r="BA127" s="351"/>
      <c r="BB127" s="351"/>
      <c r="BC127" s="351"/>
      <c r="BD127" s="351"/>
      <c r="BE127" s="351"/>
    </row>
    <row r="128" spans="8:57" x14ac:dyDescent="0.25">
      <c r="H128" s="527"/>
      <c r="I128" s="4"/>
      <c r="J128" s="4"/>
      <c r="L128" s="4"/>
      <c r="R128" s="351"/>
      <c r="S128" s="351"/>
      <c r="T128" s="351"/>
      <c r="U128" s="351"/>
      <c r="W128" s="351"/>
      <c r="X128" s="351"/>
      <c r="Y128" s="351"/>
      <c r="Z128" s="351"/>
      <c r="AA128" s="520"/>
      <c r="AB128" s="351"/>
      <c r="AC128" s="351"/>
      <c r="AD128" s="351"/>
      <c r="AE128" s="351"/>
      <c r="AG128" s="351"/>
      <c r="AH128" s="351"/>
      <c r="AI128" s="351"/>
      <c r="AJ128" s="351"/>
      <c r="AK128" s="351"/>
      <c r="AL128" s="351"/>
      <c r="AM128" s="351"/>
      <c r="AN128" s="351"/>
      <c r="AO128" s="351"/>
      <c r="AP128" s="351"/>
      <c r="AQ128" s="351"/>
      <c r="AR128" s="351"/>
      <c r="AS128" s="351"/>
      <c r="AT128" s="351"/>
      <c r="AV128" s="521"/>
      <c r="AW128" s="530"/>
      <c r="AX128" s="530"/>
      <c r="AY128" s="9"/>
      <c r="AZ128" s="48"/>
      <c r="BA128" s="351"/>
      <c r="BB128" s="351"/>
      <c r="BC128" s="351"/>
      <c r="BD128" s="351"/>
      <c r="BE128" s="351"/>
    </row>
    <row r="129" spans="8:57" x14ac:dyDescent="0.25">
      <c r="H129" s="527"/>
      <c r="I129" s="4"/>
      <c r="J129" s="4"/>
      <c r="L129" s="4"/>
      <c r="R129" s="351"/>
      <c r="S129" s="351"/>
      <c r="T129" s="351"/>
      <c r="U129" s="351"/>
      <c r="W129" s="351"/>
      <c r="X129" s="351"/>
      <c r="Y129" s="351"/>
      <c r="Z129" s="351"/>
      <c r="AA129" s="520"/>
      <c r="AB129" s="351"/>
      <c r="AC129" s="351"/>
      <c r="AD129" s="351"/>
      <c r="AE129" s="351"/>
      <c r="AG129" s="351"/>
      <c r="AH129" s="351"/>
      <c r="AI129" s="351"/>
      <c r="AJ129" s="351"/>
      <c r="AK129" s="351"/>
      <c r="AL129" s="351"/>
      <c r="AM129" s="351"/>
      <c r="AN129" s="351"/>
      <c r="AO129" s="351"/>
      <c r="AP129" s="351"/>
      <c r="AQ129" s="351"/>
      <c r="AR129" s="351"/>
      <c r="AS129" s="351"/>
      <c r="AT129" s="351"/>
      <c r="AV129" s="521"/>
      <c r="AW129" s="530"/>
      <c r="AX129" s="530"/>
      <c r="AY129" s="9"/>
      <c r="AZ129" s="48"/>
      <c r="BA129" s="351"/>
      <c r="BB129" s="351"/>
      <c r="BC129" s="351"/>
      <c r="BD129" s="351"/>
      <c r="BE129" s="351"/>
    </row>
    <row r="130" spans="8:57" x14ac:dyDescent="0.25">
      <c r="H130" s="527"/>
      <c r="I130" s="4"/>
      <c r="J130" s="4"/>
      <c r="L130" s="4"/>
      <c r="R130" s="351"/>
      <c r="S130" s="351"/>
      <c r="T130" s="351"/>
      <c r="U130" s="351"/>
      <c r="W130" s="351"/>
      <c r="X130" s="351"/>
      <c r="Y130" s="351"/>
      <c r="Z130" s="351"/>
      <c r="AA130" s="520"/>
      <c r="AB130" s="351"/>
      <c r="AC130" s="351"/>
      <c r="AD130" s="351"/>
      <c r="AE130" s="351"/>
      <c r="AG130" s="351"/>
      <c r="AH130" s="351"/>
      <c r="AI130" s="351"/>
      <c r="AJ130" s="351"/>
      <c r="AK130" s="351"/>
      <c r="AL130" s="351"/>
      <c r="AM130" s="351"/>
      <c r="AN130" s="351"/>
      <c r="AO130" s="351"/>
      <c r="AP130" s="351"/>
      <c r="AQ130" s="351"/>
      <c r="AR130" s="351"/>
      <c r="AS130" s="351"/>
      <c r="AT130" s="351"/>
      <c r="AV130" s="521"/>
      <c r="AW130" s="530"/>
      <c r="AX130" s="530"/>
      <c r="AY130" s="9"/>
      <c r="AZ130" s="48"/>
      <c r="BA130" s="351"/>
      <c r="BB130" s="351"/>
      <c r="BC130" s="351"/>
      <c r="BD130" s="351"/>
      <c r="BE130" s="351"/>
    </row>
    <row r="131" spans="8:57" x14ac:dyDescent="0.25">
      <c r="H131" s="527"/>
      <c r="I131" s="4"/>
      <c r="J131" s="4"/>
      <c r="L131" s="4"/>
      <c r="R131" s="351"/>
      <c r="S131" s="351"/>
      <c r="T131" s="351"/>
      <c r="U131" s="351"/>
      <c r="W131" s="351"/>
      <c r="X131" s="351"/>
      <c r="Y131" s="351"/>
      <c r="Z131" s="351"/>
      <c r="AA131" s="520"/>
      <c r="AB131" s="351"/>
      <c r="AC131" s="351"/>
      <c r="AD131" s="351"/>
      <c r="AE131" s="351"/>
      <c r="AG131" s="351"/>
      <c r="AH131" s="351"/>
      <c r="AI131" s="351"/>
      <c r="AJ131" s="351"/>
      <c r="AK131" s="351"/>
      <c r="AL131" s="351"/>
      <c r="AM131" s="351"/>
      <c r="AN131" s="351"/>
      <c r="AO131" s="351"/>
      <c r="AP131" s="351"/>
      <c r="AQ131" s="351"/>
      <c r="AR131" s="351"/>
      <c r="AS131" s="351"/>
      <c r="AT131" s="351"/>
      <c r="AV131" s="521"/>
      <c r="AW131" s="530"/>
      <c r="AX131" s="530"/>
      <c r="AY131" s="9"/>
      <c r="AZ131" s="48"/>
      <c r="BA131" s="351"/>
      <c r="BB131" s="351"/>
      <c r="BC131" s="351"/>
      <c r="BD131" s="351"/>
      <c r="BE131" s="351"/>
    </row>
    <row r="132" spans="8:57" x14ac:dyDescent="0.25">
      <c r="H132" s="527"/>
      <c r="I132" s="4"/>
      <c r="J132" s="4"/>
      <c r="L132" s="4"/>
      <c r="R132" s="351"/>
      <c r="S132" s="351"/>
      <c r="T132" s="351"/>
      <c r="U132" s="351"/>
      <c r="W132" s="351"/>
      <c r="X132" s="351"/>
      <c r="Y132" s="351"/>
      <c r="Z132" s="351"/>
      <c r="AA132" s="520"/>
      <c r="AB132" s="351"/>
      <c r="AC132" s="351"/>
      <c r="AD132" s="351"/>
      <c r="AE132" s="351"/>
      <c r="AG132" s="351"/>
      <c r="AH132" s="351"/>
      <c r="AI132" s="351"/>
      <c r="AJ132" s="351"/>
      <c r="AK132" s="351"/>
      <c r="AL132" s="351"/>
      <c r="AM132" s="351"/>
      <c r="AN132" s="351"/>
      <c r="AO132" s="351"/>
      <c r="AP132" s="351"/>
      <c r="AQ132" s="351"/>
      <c r="AR132" s="351"/>
      <c r="AS132" s="351"/>
      <c r="AT132" s="351"/>
      <c r="AV132" s="521"/>
      <c r="AW132" s="530"/>
      <c r="AX132" s="530"/>
      <c r="AY132" s="9"/>
      <c r="AZ132" s="48"/>
      <c r="BA132" s="351"/>
      <c r="BB132" s="351"/>
      <c r="BC132" s="351"/>
      <c r="BD132" s="351"/>
      <c r="BE132" s="351"/>
    </row>
    <row r="133" spans="8:57" x14ac:dyDescent="0.25">
      <c r="H133" s="527"/>
      <c r="I133" s="4"/>
      <c r="J133" s="4"/>
      <c r="L133" s="4"/>
      <c r="R133" s="351"/>
      <c r="S133" s="351"/>
      <c r="T133" s="351"/>
      <c r="U133" s="351"/>
      <c r="W133" s="351"/>
      <c r="X133" s="351"/>
      <c r="Y133" s="351"/>
      <c r="Z133" s="351"/>
      <c r="AA133" s="520"/>
      <c r="AB133" s="351"/>
      <c r="AC133" s="351"/>
      <c r="AD133" s="351"/>
      <c r="AE133" s="351"/>
      <c r="AG133" s="351"/>
      <c r="AH133" s="351"/>
      <c r="AI133" s="351"/>
      <c r="AJ133" s="351"/>
      <c r="AK133" s="351"/>
      <c r="AL133" s="351"/>
      <c r="AM133" s="351"/>
      <c r="AN133" s="351"/>
      <c r="AO133" s="351"/>
      <c r="AP133" s="351"/>
      <c r="AQ133" s="351"/>
      <c r="AR133" s="351"/>
      <c r="AS133" s="351"/>
      <c r="AT133" s="351"/>
      <c r="AV133" s="521"/>
      <c r="AW133" s="530"/>
      <c r="AX133" s="530"/>
      <c r="AY133" s="9"/>
      <c r="AZ133" s="48"/>
      <c r="BA133" s="351"/>
      <c r="BB133" s="351"/>
      <c r="BC133" s="351"/>
      <c r="BD133" s="351"/>
      <c r="BE133" s="351"/>
    </row>
    <row r="134" spans="8:57" x14ac:dyDescent="0.25">
      <c r="H134" s="527"/>
      <c r="I134" s="4"/>
      <c r="J134" s="4"/>
      <c r="L134" s="4"/>
      <c r="R134" s="351"/>
      <c r="S134" s="351"/>
      <c r="T134" s="351"/>
      <c r="U134" s="351"/>
      <c r="W134" s="351"/>
      <c r="X134" s="351"/>
      <c r="Y134" s="351"/>
      <c r="Z134" s="351"/>
      <c r="AA134" s="520"/>
      <c r="AB134" s="351"/>
      <c r="AC134" s="351"/>
      <c r="AD134" s="351"/>
      <c r="AE134" s="351"/>
      <c r="AG134" s="351"/>
      <c r="AH134" s="351"/>
      <c r="AI134" s="351"/>
      <c r="AJ134" s="351"/>
      <c r="AK134" s="351"/>
      <c r="AL134" s="351"/>
      <c r="AM134" s="351"/>
      <c r="AN134" s="351"/>
      <c r="AO134" s="351"/>
      <c r="AP134" s="351"/>
      <c r="AQ134" s="351"/>
      <c r="AR134" s="351"/>
      <c r="AS134" s="351"/>
      <c r="AT134" s="351"/>
      <c r="AV134" s="521"/>
      <c r="AW134" s="530"/>
      <c r="AX134" s="530"/>
      <c r="AY134" s="9"/>
      <c r="AZ134" s="48"/>
      <c r="BA134" s="351"/>
      <c r="BB134" s="351"/>
      <c r="BC134" s="351"/>
      <c r="BD134" s="351"/>
      <c r="BE134" s="351"/>
    </row>
    <row r="135" spans="8:57" x14ac:dyDescent="0.25">
      <c r="H135" s="527"/>
      <c r="I135" s="4"/>
      <c r="J135" s="4"/>
      <c r="L135" s="4"/>
      <c r="R135" s="351"/>
      <c r="S135" s="351"/>
      <c r="T135" s="351"/>
      <c r="U135" s="351"/>
      <c r="W135" s="351"/>
      <c r="X135" s="351"/>
      <c r="Y135" s="351"/>
      <c r="Z135" s="351"/>
      <c r="AA135" s="520"/>
      <c r="AB135" s="351"/>
      <c r="AC135" s="351"/>
      <c r="AD135" s="351"/>
      <c r="AE135" s="351"/>
      <c r="AG135" s="351"/>
      <c r="AH135" s="351"/>
      <c r="AI135" s="351"/>
      <c r="AJ135" s="351"/>
      <c r="AK135" s="351"/>
      <c r="AL135" s="351"/>
      <c r="AM135" s="351"/>
      <c r="AN135" s="351"/>
      <c r="AO135" s="351"/>
      <c r="AP135" s="351"/>
      <c r="AQ135" s="351"/>
      <c r="AR135" s="351"/>
      <c r="AS135" s="351"/>
      <c r="AT135" s="351"/>
      <c r="AV135" s="521"/>
      <c r="AW135" s="530"/>
      <c r="AX135" s="530"/>
      <c r="AY135" s="9"/>
      <c r="AZ135" s="48"/>
      <c r="BA135" s="351"/>
      <c r="BB135" s="351"/>
      <c r="BC135" s="351"/>
      <c r="BD135" s="351"/>
      <c r="BE135" s="351"/>
    </row>
    <row r="136" spans="8:57" x14ac:dyDescent="0.25">
      <c r="H136" s="527"/>
      <c r="I136" s="4"/>
      <c r="J136" s="4"/>
      <c r="L136" s="4"/>
      <c r="R136" s="351"/>
      <c r="S136" s="351"/>
      <c r="T136" s="351"/>
      <c r="U136" s="351"/>
      <c r="W136" s="351"/>
      <c r="X136" s="351"/>
      <c r="Y136" s="351"/>
      <c r="Z136" s="351"/>
      <c r="AA136" s="520"/>
      <c r="AB136" s="351"/>
      <c r="AC136" s="351"/>
      <c r="AD136" s="351"/>
      <c r="AE136" s="351"/>
      <c r="AG136" s="351"/>
      <c r="AH136" s="351"/>
      <c r="AI136" s="351"/>
      <c r="AJ136" s="351"/>
      <c r="AK136" s="351"/>
      <c r="AL136" s="351"/>
      <c r="AM136" s="351"/>
      <c r="AN136" s="351"/>
      <c r="AO136" s="351"/>
      <c r="AP136" s="351"/>
      <c r="AQ136" s="351"/>
      <c r="AR136" s="351"/>
      <c r="AS136" s="351"/>
      <c r="AT136" s="351"/>
      <c r="AV136" s="521"/>
      <c r="AW136" s="530"/>
      <c r="AX136" s="530"/>
      <c r="AY136" s="9"/>
      <c r="AZ136" s="48"/>
      <c r="BA136" s="351"/>
      <c r="BB136" s="351"/>
      <c r="BC136" s="351"/>
      <c r="BD136" s="351"/>
      <c r="BE136" s="351"/>
    </row>
    <row r="137" spans="8:57" x14ac:dyDescent="0.25">
      <c r="H137" s="527"/>
      <c r="I137" s="4"/>
      <c r="J137" s="4"/>
      <c r="L137" s="4"/>
      <c r="R137" s="351"/>
      <c r="S137" s="351"/>
      <c r="T137" s="351"/>
      <c r="U137" s="351"/>
      <c r="W137" s="351"/>
      <c r="X137" s="351"/>
      <c r="Y137" s="351"/>
      <c r="Z137" s="351"/>
      <c r="AA137" s="520"/>
      <c r="AB137" s="351"/>
      <c r="AC137" s="351"/>
      <c r="AD137" s="351"/>
      <c r="AE137" s="351"/>
      <c r="AG137" s="351"/>
      <c r="AH137" s="351"/>
      <c r="AI137" s="351"/>
      <c r="AJ137" s="351"/>
      <c r="AK137" s="351"/>
      <c r="AL137" s="351"/>
      <c r="AM137" s="351"/>
      <c r="AN137" s="351"/>
      <c r="AO137" s="351"/>
      <c r="AP137" s="351"/>
      <c r="AQ137" s="351"/>
      <c r="AR137" s="351"/>
      <c r="AS137" s="351"/>
      <c r="AT137" s="351"/>
      <c r="AV137" s="521"/>
      <c r="AW137" s="530"/>
      <c r="AX137" s="530"/>
      <c r="AY137" s="9"/>
      <c r="AZ137" s="48"/>
      <c r="BA137" s="351"/>
      <c r="BB137" s="351"/>
      <c r="BC137" s="351"/>
      <c r="BD137" s="351"/>
      <c r="BE137" s="351"/>
    </row>
    <row r="138" spans="8:57" x14ac:dyDescent="0.25">
      <c r="H138" s="527"/>
      <c r="I138" s="4"/>
      <c r="J138" s="4"/>
      <c r="L138" s="4"/>
      <c r="R138" s="351"/>
      <c r="S138" s="351"/>
      <c r="T138" s="351"/>
      <c r="U138" s="351"/>
      <c r="W138" s="351"/>
      <c r="X138" s="351"/>
      <c r="Y138" s="351"/>
      <c r="Z138" s="351"/>
      <c r="AA138" s="520"/>
      <c r="AB138" s="351"/>
      <c r="AC138" s="351"/>
      <c r="AD138" s="351"/>
      <c r="AE138" s="351"/>
      <c r="AG138" s="351"/>
      <c r="AH138" s="351"/>
      <c r="AI138" s="351"/>
      <c r="AJ138" s="351"/>
      <c r="AK138" s="351"/>
      <c r="AL138" s="351"/>
      <c r="AM138" s="351"/>
      <c r="AN138" s="351"/>
      <c r="AO138" s="351"/>
      <c r="AP138" s="351"/>
      <c r="AQ138" s="351"/>
      <c r="AR138" s="351"/>
      <c r="AS138" s="351"/>
      <c r="AT138" s="351"/>
      <c r="AV138" s="521"/>
      <c r="AW138" s="530"/>
      <c r="AX138" s="530"/>
      <c r="AY138" s="9"/>
      <c r="AZ138" s="48"/>
      <c r="BA138" s="351"/>
      <c r="BB138" s="351"/>
      <c r="BC138" s="351"/>
      <c r="BD138" s="351"/>
      <c r="BE138" s="351"/>
    </row>
    <row r="139" spans="8:57" x14ac:dyDescent="0.25">
      <c r="H139" s="527"/>
      <c r="I139" s="4"/>
      <c r="J139" s="4"/>
      <c r="L139" s="4"/>
      <c r="R139" s="351"/>
      <c r="S139" s="351"/>
      <c r="T139" s="351"/>
      <c r="U139" s="351"/>
      <c r="W139" s="351"/>
      <c r="X139" s="351"/>
      <c r="Y139" s="351"/>
      <c r="Z139" s="351"/>
      <c r="AA139" s="520"/>
      <c r="AB139" s="351"/>
      <c r="AC139" s="351"/>
      <c r="AD139" s="351"/>
      <c r="AE139" s="351"/>
      <c r="AG139" s="351"/>
      <c r="AH139" s="351"/>
      <c r="AI139" s="351"/>
      <c r="AJ139" s="351"/>
      <c r="AK139" s="351"/>
      <c r="AL139" s="351"/>
      <c r="AM139" s="351"/>
      <c r="AN139" s="351"/>
      <c r="AO139" s="351"/>
      <c r="AP139" s="351"/>
      <c r="AQ139" s="351"/>
      <c r="AR139" s="351"/>
      <c r="AS139" s="351"/>
      <c r="AT139" s="351"/>
      <c r="AV139" s="521"/>
      <c r="AW139" s="530"/>
      <c r="AX139" s="530"/>
      <c r="AY139" s="9"/>
      <c r="AZ139" s="48"/>
      <c r="BA139" s="351"/>
      <c r="BB139" s="351"/>
      <c r="BC139" s="351"/>
      <c r="BD139" s="351"/>
      <c r="BE139" s="351"/>
    </row>
    <row r="140" spans="8:57" x14ac:dyDescent="0.25">
      <c r="H140" s="527"/>
      <c r="I140" s="4"/>
      <c r="J140" s="4"/>
      <c r="L140" s="4"/>
      <c r="R140" s="351"/>
      <c r="S140" s="351"/>
      <c r="T140" s="351"/>
      <c r="U140" s="351"/>
      <c r="W140" s="351"/>
      <c r="X140" s="351"/>
      <c r="Y140" s="351"/>
      <c r="Z140" s="351"/>
      <c r="AA140" s="520"/>
      <c r="AB140" s="351"/>
      <c r="AC140" s="351"/>
      <c r="AD140" s="351"/>
      <c r="AE140" s="351"/>
      <c r="AG140" s="351"/>
      <c r="AH140" s="351"/>
      <c r="AI140" s="351"/>
      <c r="AJ140" s="351"/>
      <c r="AK140" s="351"/>
      <c r="AL140" s="351"/>
      <c r="AM140" s="351"/>
      <c r="AN140" s="351"/>
      <c r="AO140" s="351"/>
      <c r="AP140" s="351"/>
      <c r="AQ140" s="351"/>
      <c r="AR140" s="351"/>
      <c r="AS140" s="351"/>
      <c r="AT140" s="351"/>
      <c r="AV140" s="521"/>
      <c r="AW140" s="530"/>
      <c r="AX140" s="530"/>
      <c r="AY140" s="9"/>
      <c r="AZ140" s="48"/>
      <c r="BA140" s="351"/>
      <c r="BB140" s="351"/>
      <c r="BC140" s="351"/>
      <c r="BD140" s="351"/>
      <c r="BE140" s="351"/>
    </row>
    <row r="141" spans="8:57" x14ac:dyDescent="0.25">
      <c r="H141" s="527"/>
      <c r="I141" s="4"/>
      <c r="J141" s="4"/>
      <c r="L141" s="4"/>
      <c r="R141" s="351"/>
      <c r="S141" s="351"/>
      <c r="T141" s="351"/>
      <c r="U141" s="351"/>
      <c r="W141" s="351"/>
      <c r="X141" s="351"/>
      <c r="Y141" s="351"/>
      <c r="Z141" s="351"/>
      <c r="AA141" s="520"/>
      <c r="AB141" s="351"/>
      <c r="AC141" s="351"/>
      <c r="AD141" s="351"/>
      <c r="AE141" s="351"/>
      <c r="AG141" s="351"/>
      <c r="AH141" s="351"/>
      <c r="AI141" s="351"/>
      <c r="AJ141" s="351"/>
      <c r="AK141" s="351"/>
      <c r="AL141" s="351"/>
      <c r="AM141" s="351"/>
      <c r="AN141" s="351"/>
      <c r="AO141" s="351"/>
      <c r="AP141" s="351"/>
      <c r="AQ141" s="351"/>
      <c r="AR141" s="351"/>
      <c r="AS141" s="351"/>
      <c r="AT141" s="351"/>
      <c r="AV141" s="521"/>
      <c r="AW141" s="530"/>
      <c r="AX141" s="530"/>
      <c r="AY141" s="9"/>
      <c r="AZ141" s="48"/>
      <c r="BA141" s="351"/>
      <c r="BB141" s="351"/>
      <c r="BC141" s="351"/>
      <c r="BD141" s="351"/>
      <c r="BE141" s="351"/>
    </row>
    <row r="142" spans="8:57" x14ac:dyDescent="0.25">
      <c r="H142" s="527"/>
      <c r="I142" s="4"/>
      <c r="J142" s="4"/>
      <c r="L142" s="4"/>
      <c r="R142" s="351"/>
      <c r="S142" s="351"/>
      <c r="T142" s="351"/>
      <c r="U142" s="351"/>
      <c r="W142" s="351"/>
      <c r="X142" s="351"/>
      <c r="Y142" s="351"/>
      <c r="Z142" s="351"/>
      <c r="AA142" s="520"/>
      <c r="AB142" s="351"/>
      <c r="AC142" s="351"/>
      <c r="AD142" s="351"/>
      <c r="AE142" s="351"/>
      <c r="AG142" s="351"/>
      <c r="AH142" s="351"/>
      <c r="AI142" s="351"/>
      <c r="AJ142" s="351"/>
      <c r="AK142" s="351"/>
      <c r="AL142" s="351"/>
      <c r="AM142" s="351"/>
      <c r="AN142" s="351"/>
      <c r="AO142" s="351"/>
      <c r="AP142" s="351"/>
      <c r="AQ142" s="351"/>
      <c r="AR142" s="351"/>
      <c r="AS142" s="351"/>
      <c r="AT142" s="351"/>
      <c r="AV142" s="521"/>
      <c r="AW142" s="530"/>
      <c r="AX142" s="530"/>
      <c r="AY142" s="9"/>
      <c r="AZ142" s="48"/>
      <c r="BA142" s="351"/>
      <c r="BB142" s="351"/>
      <c r="BC142" s="351"/>
      <c r="BD142" s="351"/>
      <c r="BE142" s="351"/>
    </row>
    <row r="143" spans="8:57" x14ac:dyDescent="0.25">
      <c r="H143" s="527"/>
      <c r="I143" s="4"/>
      <c r="J143" s="4"/>
      <c r="L143" s="4"/>
      <c r="R143" s="351"/>
      <c r="S143" s="351"/>
      <c r="T143" s="351"/>
      <c r="U143" s="351"/>
      <c r="W143" s="351"/>
      <c r="X143" s="351"/>
      <c r="Y143" s="351"/>
      <c r="Z143" s="351"/>
      <c r="AA143" s="520"/>
      <c r="AB143" s="351"/>
      <c r="AC143" s="351"/>
      <c r="AD143" s="351"/>
      <c r="AE143" s="351"/>
      <c r="AG143" s="351"/>
      <c r="AH143" s="351"/>
      <c r="AI143" s="351"/>
      <c r="AJ143" s="351"/>
      <c r="AK143" s="351"/>
      <c r="AL143" s="351"/>
      <c r="AM143" s="351"/>
      <c r="AN143" s="351"/>
      <c r="AO143" s="351"/>
      <c r="AP143" s="351"/>
      <c r="AQ143" s="351"/>
      <c r="AR143" s="351"/>
      <c r="AS143" s="351"/>
      <c r="AT143" s="351"/>
      <c r="AV143" s="521"/>
      <c r="AW143" s="530"/>
      <c r="AX143" s="530"/>
      <c r="AY143" s="9"/>
      <c r="AZ143" s="48"/>
      <c r="BA143" s="351"/>
      <c r="BB143" s="351"/>
      <c r="BC143" s="351"/>
      <c r="BD143" s="351"/>
      <c r="BE143" s="351"/>
    </row>
    <row r="144" spans="8:57" x14ac:dyDescent="0.25">
      <c r="H144" s="527"/>
      <c r="I144" s="4"/>
      <c r="J144" s="4"/>
      <c r="L144" s="4"/>
      <c r="R144" s="351"/>
      <c r="S144" s="351"/>
      <c r="T144" s="351"/>
      <c r="U144" s="351"/>
      <c r="W144" s="351"/>
      <c r="X144" s="351"/>
      <c r="Y144" s="351"/>
      <c r="Z144" s="351"/>
      <c r="AA144" s="520"/>
      <c r="AB144" s="351"/>
      <c r="AC144" s="351"/>
      <c r="AD144" s="351"/>
      <c r="AE144" s="351"/>
      <c r="AG144" s="351"/>
      <c r="AH144" s="351"/>
      <c r="AI144" s="351"/>
      <c r="AJ144" s="351"/>
      <c r="AK144" s="351"/>
      <c r="AL144" s="351"/>
      <c r="AM144" s="351"/>
      <c r="AN144" s="351"/>
      <c r="AO144" s="351"/>
      <c r="AP144" s="351"/>
      <c r="AQ144" s="351"/>
      <c r="AR144" s="351"/>
      <c r="AS144" s="351"/>
      <c r="AT144" s="351"/>
      <c r="AV144" s="521"/>
      <c r="AW144" s="530"/>
      <c r="AX144" s="530"/>
      <c r="AY144" s="9"/>
      <c r="AZ144" s="48"/>
      <c r="BA144" s="351"/>
      <c r="BB144" s="351"/>
      <c r="BC144" s="351"/>
      <c r="BD144" s="351"/>
      <c r="BE144" s="351"/>
    </row>
    <row r="145" spans="8:57" x14ac:dyDescent="0.25">
      <c r="H145" s="527"/>
      <c r="I145" s="4"/>
      <c r="J145" s="4"/>
      <c r="L145" s="4"/>
      <c r="R145" s="351"/>
      <c r="S145" s="351"/>
      <c r="T145" s="351"/>
      <c r="U145" s="351"/>
      <c r="W145" s="351"/>
      <c r="X145" s="351"/>
      <c r="Y145" s="351"/>
      <c r="Z145" s="351"/>
      <c r="AA145" s="520"/>
      <c r="AB145" s="351"/>
      <c r="AC145" s="351"/>
      <c r="AD145" s="351"/>
      <c r="AE145" s="351"/>
      <c r="AG145" s="351"/>
      <c r="AH145" s="351"/>
      <c r="AI145" s="351"/>
      <c r="AJ145" s="351"/>
      <c r="AK145" s="351"/>
      <c r="AL145" s="351"/>
      <c r="AM145" s="351"/>
      <c r="AN145" s="351"/>
      <c r="AO145" s="351"/>
      <c r="AP145" s="351"/>
      <c r="AQ145" s="351"/>
      <c r="AR145" s="351"/>
      <c r="AS145" s="351"/>
      <c r="AT145" s="351"/>
      <c r="AV145" s="521"/>
      <c r="AW145" s="530"/>
      <c r="AX145" s="530"/>
      <c r="AY145" s="9"/>
      <c r="AZ145" s="48"/>
      <c r="BA145" s="351"/>
      <c r="BB145" s="351"/>
      <c r="BC145" s="351"/>
      <c r="BD145" s="351"/>
      <c r="BE145" s="351"/>
    </row>
    <row r="146" spans="8:57" x14ac:dyDescent="0.25">
      <c r="H146" s="527"/>
      <c r="I146" s="4"/>
      <c r="J146" s="4"/>
      <c r="L146" s="4"/>
      <c r="R146" s="351"/>
      <c r="S146" s="351"/>
      <c r="T146" s="351"/>
      <c r="U146" s="351"/>
      <c r="W146" s="351"/>
      <c r="X146" s="351"/>
      <c r="Y146" s="351"/>
      <c r="Z146" s="351"/>
      <c r="AA146" s="520"/>
      <c r="AB146" s="351"/>
      <c r="AC146" s="351"/>
      <c r="AD146" s="351"/>
      <c r="AE146" s="351"/>
      <c r="AG146" s="351"/>
      <c r="AH146" s="351"/>
      <c r="AI146" s="351"/>
      <c r="AJ146" s="351"/>
      <c r="AK146" s="351"/>
      <c r="AL146" s="351"/>
      <c r="AM146" s="351"/>
      <c r="AN146" s="351"/>
      <c r="AO146" s="351"/>
      <c r="AP146" s="351"/>
      <c r="AQ146" s="351"/>
      <c r="AR146" s="351"/>
      <c r="AS146" s="351"/>
      <c r="AT146" s="351"/>
      <c r="AV146" s="521"/>
      <c r="AW146" s="530"/>
      <c r="AX146" s="530"/>
      <c r="AY146" s="9"/>
      <c r="AZ146" s="48"/>
      <c r="BA146" s="351"/>
      <c r="BB146" s="351"/>
      <c r="BC146" s="351"/>
      <c r="BD146" s="351"/>
      <c r="BE146" s="351"/>
    </row>
    <row r="147" spans="8:57" x14ac:dyDescent="0.25">
      <c r="H147" s="527"/>
      <c r="I147" s="4"/>
      <c r="J147" s="4"/>
      <c r="L147" s="4"/>
      <c r="R147" s="351"/>
      <c r="S147" s="351"/>
      <c r="T147" s="351"/>
      <c r="U147" s="351"/>
      <c r="W147" s="351"/>
      <c r="X147" s="351"/>
      <c r="Y147" s="351"/>
      <c r="Z147" s="351"/>
      <c r="AA147" s="520"/>
      <c r="AB147" s="351"/>
      <c r="AC147" s="351"/>
      <c r="AD147" s="351"/>
      <c r="AE147" s="351"/>
      <c r="AG147" s="351"/>
      <c r="AH147" s="351"/>
      <c r="AI147" s="351"/>
      <c r="AJ147" s="351"/>
      <c r="AK147" s="351"/>
      <c r="AL147" s="351"/>
      <c r="AM147" s="351"/>
      <c r="AN147" s="351"/>
      <c r="AO147" s="351"/>
      <c r="AP147" s="351"/>
      <c r="AQ147" s="351"/>
      <c r="AR147" s="351"/>
      <c r="AS147" s="351"/>
      <c r="AT147" s="351"/>
      <c r="AV147" s="521"/>
      <c r="AW147" s="530"/>
      <c r="AX147" s="530"/>
      <c r="AY147" s="9"/>
      <c r="AZ147" s="48"/>
      <c r="BA147" s="351"/>
      <c r="BB147" s="351"/>
      <c r="BC147" s="351"/>
      <c r="BD147" s="351"/>
      <c r="BE147" s="351"/>
    </row>
    <row r="148" spans="8:57" x14ac:dyDescent="0.25">
      <c r="H148" s="527"/>
      <c r="I148" s="4"/>
      <c r="J148" s="4"/>
      <c r="L148" s="4"/>
      <c r="R148" s="351"/>
      <c r="S148" s="351"/>
      <c r="T148" s="351"/>
      <c r="U148" s="351"/>
      <c r="W148" s="351"/>
      <c r="X148" s="351"/>
      <c r="Y148" s="351"/>
      <c r="Z148" s="351"/>
      <c r="AA148" s="520"/>
      <c r="AB148" s="351"/>
      <c r="AC148" s="351"/>
      <c r="AD148" s="351"/>
      <c r="AE148" s="351"/>
      <c r="AG148" s="351"/>
      <c r="AH148" s="351"/>
      <c r="AI148" s="351"/>
      <c r="AJ148" s="351"/>
      <c r="AK148" s="351"/>
      <c r="AL148" s="351"/>
      <c r="AM148" s="351"/>
      <c r="AN148" s="351"/>
      <c r="AO148" s="351"/>
      <c r="AP148" s="351"/>
      <c r="AQ148" s="351"/>
      <c r="AR148" s="351"/>
      <c r="AS148" s="351"/>
      <c r="AT148" s="351"/>
      <c r="AV148" s="521"/>
      <c r="AW148" s="530"/>
      <c r="AX148" s="530"/>
      <c r="AY148" s="9"/>
      <c r="AZ148" s="48"/>
      <c r="BA148" s="351"/>
      <c r="BB148" s="351"/>
      <c r="BC148" s="351"/>
      <c r="BD148" s="351"/>
      <c r="BE148" s="351"/>
    </row>
    <row r="149" spans="8:57" x14ac:dyDescent="0.25">
      <c r="H149" s="527"/>
      <c r="I149" s="4"/>
      <c r="J149" s="4"/>
      <c r="L149" s="4"/>
      <c r="R149" s="351"/>
      <c r="S149" s="351"/>
      <c r="T149" s="351"/>
      <c r="U149" s="351"/>
      <c r="W149" s="351"/>
      <c r="X149" s="351"/>
      <c r="Y149" s="351"/>
      <c r="Z149" s="351"/>
      <c r="AA149" s="520"/>
      <c r="AB149" s="351"/>
      <c r="AC149" s="351"/>
      <c r="AD149" s="351"/>
      <c r="AE149" s="351"/>
      <c r="AG149" s="351"/>
      <c r="AH149" s="351"/>
      <c r="AI149" s="351"/>
      <c r="AJ149" s="351"/>
      <c r="AK149" s="351"/>
      <c r="AL149" s="351"/>
      <c r="AM149" s="351"/>
      <c r="AN149" s="351"/>
      <c r="AO149" s="351"/>
      <c r="AP149" s="351"/>
      <c r="AQ149" s="351"/>
      <c r="AR149" s="351"/>
      <c r="AS149" s="351"/>
      <c r="AT149" s="351"/>
      <c r="AV149" s="521"/>
      <c r="AW149" s="530"/>
      <c r="AX149" s="530"/>
      <c r="AY149" s="9"/>
      <c r="AZ149" s="48"/>
      <c r="BA149" s="351"/>
      <c r="BB149" s="351"/>
      <c r="BC149" s="351"/>
      <c r="BD149" s="351"/>
      <c r="BE149" s="351"/>
    </row>
    <row r="150" spans="8:57" x14ac:dyDescent="0.25">
      <c r="H150" s="527"/>
      <c r="I150" s="4"/>
      <c r="J150" s="4"/>
      <c r="L150" s="4"/>
      <c r="R150" s="351"/>
      <c r="S150" s="351"/>
      <c r="T150" s="351"/>
      <c r="U150" s="351"/>
      <c r="W150" s="351"/>
      <c r="X150" s="351"/>
      <c r="Y150" s="351"/>
      <c r="Z150" s="351"/>
      <c r="AA150" s="520"/>
      <c r="AB150" s="351"/>
      <c r="AC150" s="351"/>
      <c r="AD150" s="351"/>
      <c r="AE150" s="351"/>
      <c r="AG150" s="351"/>
      <c r="AH150" s="351"/>
      <c r="AI150" s="351"/>
      <c r="AJ150" s="351"/>
      <c r="AK150" s="351"/>
      <c r="AL150" s="351"/>
      <c r="AM150" s="351"/>
      <c r="AN150" s="351"/>
      <c r="AO150" s="351"/>
      <c r="AP150" s="351"/>
      <c r="AQ150" s="351"/>
      <c r="AR150" s="351"/>
      <c r="AS150" s="351"/>
      <c r="AT150" s="351"/>
      <c r="AV150" s="521"/>
      <c r="AW150" s="530"/>
      <c r="AX150" s="530"/>
      <c r="AY150" s="9"/>
      <c r="AZ150" s="48"/>
      <c r="BA150" s="351"/>
      <c r="BB150" s="351"/>
      <c r="BC150" s="351"/>
      <c r="BD150" s="351"/>
      <c r="BE150" s="351"/>
    </row>
    <row r="151" spans="8:57" x14ac:dyDescent="0.25">
      <c r="H151" s="527"/>
      <c r="I151" s="4"/>
      <c r="J151" s="4"/>
      <c r="L151" s="4"/>
      <c r="R151" s="351"/>
      <c r="S151" s="351"/>
      <c r="T151" s="351"/>
      <c r="U151" s="351"/>
      <c r="W151" s="351"/>
      <c r="X151" s="351"/>
      <c r="Y151" s="351"/>
      <c r="Z151" s="351"/>
      <c r="AA151" s="520"/>
      <c r="AB151" s="351"/>
      <c r="AC151" s="351"/>
      <c r="AD151" s="351"/>
      <c r="AE151" s="351"/>
      <c r="AG151" s="351"/>
      <c r="AH151" s="351"/>
      <c r="AI151" s="351"/>
      <c r="AJ151" s="351"/>
      <c r="AK151" s="351"/>
      <c r="AL151" s="351"/>
      <c r="AM151" s="351"/>
      <c r="AN151" s="351"/>
      <c r="AO151" s="351"/>
      <c r="AP151" s="351"/>
      <c r="AQ151" s="351"/>
      <c r="AR151" s="351"/>
      <c r="AS151" s="351"/>
      <c r="AT151" s="351"/>
      <c r="AV151" s="521"/>
      <c r="AW151" s="530"/>
      <c r="AX151" s="530"/>
      <c r="AY151" s="9"/>
      <c r="AZ151" s="48"/>
      <c r="BA151" s="351"/>
      <c r="BB151" s="351"/>
      <c r="BC151" s="351"/>
      <c r="BD151" s="351"/>
      <c r="BE151" s="351"/>
    </row>
    <row r="152" spans="8:57" x14ac:dyDescent="0.25">
      <c r="H152" s="527"/>
      <c r="I152" s="4"/>
      <c r="J152" s="4"/>
      <c r="L152" s="4"/>
      <c r="R152" s="351"/>
      <c r="S152" s="351"/>
      <c r="T152" s="351"/>
      <c r="U152" s="351"/>
      <c r="W152" s="351"/>
      <c r="X152" s="351"/>
      <c r="Y152" s="351"/>
      <c r="Z152" s="351"/>
      <c r="AA152" s="520"/>
      <c r="AB152" s="351"/>
      <c r="AC152" s="351"/>
      <c r="AD152" s="351"/>
      <c r="AE152" s="351"/>
      <c r="AG152" s="351"/>
      <c r="AH152" s="351"/>
      <c r="AI152" s="351"/>
      <c r="AJ152" s="351"/>
      <c r="AK152" s="351"/>
      <c r="AL152" s="351"/>
      <c r="AM152" s="351"/>
      <c r="AN152" s="351"/>
      <c r="AO152" s="351"/>
      <c r="AP152" s="351"/>
      <c r="AQ152" s="351"/>
      <c r="AR152" s="351"/>
      <c r="AS152" s="351"/>
      <c r="AT152" s="351"/>
      <c r="AV152" s="521"/>
      <c r="AW152" s="530"/>
      <c r="AX152" s="530"/>
      <c r="AY152" s="9"/>
      <c r="AZ152" s="48"/>
      <c r="BA152" s="351"/>
      <c r="BB152" s="351"/>
      <c r="BC152" s="351"/>
      <c r="BD152" s="351"/>
      <c r="BE152" s="351"/>
    </row>
    <row r="153" spans="8:57" x14ac:dyDescent="0.25">
      <c r="H153" s="527"/>
      <c r="I153" s="4"/>
      <c r="J153" s="4"/>
      <c r="L153" s="4"/>
      <c r="R153" s="351"/>
      <c r="S153" s="351"/>
      <c r="T153" s="351"/>
      <c r="U153" s="351"/>
      <c r="W153" s="351"/>
      <c r="X153" s="351"/>
      <c r="Y153" s="351"/>
      <c r="Z153" s="351"/>
      <c r="AA153" s="520"/>
      <c r="AB153" s="351"/>
      <c r="AC153" s="351"/>
      <c r="AD153" s="351"/>
      <c r="AE153" s="351"/>
      <c r="AG153" s="351"/>
      <c r="AH153" s="351"/>
      <c r="AI153" s="351"/>
      <c r="AJ153" s="351"/>
      <c r="AK153" s="351"/>
      <c r="AL153" s="351"/>
      <c r="AM153" s="351"/>
      <c r="AN153" s="351"/>
      <c r="AO153" s="351"/>
      <c r="AP153" s="351"/>
      <c r="AQ153" s="351"/>
      <c r="AR153" s="351"/>
      <c r="AS153" s="351"/>
      <c r="AT153" s="351"/>
      <c r="AV153" s="521"/>
      <c r="AW153" s="530"/>
      <c r="AX153" s="530"/>
      <c r="AY153" s="9"/>
      <c r="AZ153" s="48"/>
      <c r="BA153" s="351"/>
      <c r="BB153" s="351"/>
      <c r="BC153" s="351"/>
      <c r="BD153" s="351"/>
      <c r="BE153" s="351"/>
    </row>
    <row r="154" spans="8:57" x14ac:dyDescent="0.25">
      <c r="H154" s="527"/>
      <c r="I154" s="4"/>
      <c r="J154" s="4"/>
      <c r="L154" s="4"/>
      <c r="R154" s="351"/>
      <c r="S154" s="351"/>
      <c r="T154" s="351"/>
      <c r="U154" s="351"/>
      <c r="W154" s="351"/>
      <c r="X154" s="351"/>
      <c r="Y154" s="351"/>
      <c r="Z154" s="351"/>
      <c r="AA154" s="520"/>
      <c r="AB154" s="351"/>
      <c r="AC154" s="351"/>
      <c r="AD154" s="351"/>
      <c r="AE154" s="351"/>
      <c r="AG154" s="351"/>
      <c r="AH154" s="351"/>
      <c r="AI154" s="351"/>
      <c r="AJ154" s="351"/>
      <c r="AK154" s="351"/>
      <c r="AL154" s="351"/>
      <c r="AM154" s="351"/>
      <c r="AN154" s="351"/>
      <c r="AO154" s="351"/>
      <c r="AP154" s="351"/>
      <c r="AQ154" s="351"/>
      <c r="AR154" s="351"/>
      <c r="AS154" s="351"/>
      <c r="AT154" s="351"/>
      <c r="AV154" s="521"/>
      <c r="AW154" s="530"/>
      <c r="AX154" s="530"/>
      <c r="AY154" s="9"/>
      <c r="AZ154" s="48"/>
      <c r="BA154" s="351"/>
      <c r="BB154" s="351"/>
      <c r="BC154" s="351"/>
      <c r="BD154" s="351"/>
      <c r="BE154" s="351"/>
    </row>
    <row r="155" spans="8:57" x14ac:dyDescent="0.25">
      <c r="H155" s="527"/>
      <c r="I155" s="4"/>
      <c r="J155" s="4"/>
      <c r="L155" s="4"/>
      <c r="R155" s="351"/>
      <c r="S155" s="351"/>
      <c r="T155" s="351"/>
      <c r="U155" s="351"/>
      <c r="W155" s="351"/>
      <c r="X155" s="351"/>
      <c r="Y155" s="351"/>
      <c r="Z155" s="351"/>
      <c r="AA155" s="520"/>
      <c r="AB155" s="351"/>
      <c r="AC155" s="351"/>
      <c r="AD155" s="351"/>
      <c r="AE155" s="351"/>
      <c r="AG155" s="351"/>
      <c r="AH155" s="351"/>
      <c r="AI155" s="351"/>
      <c r="AJ155" s="351"/>
      <c r="AK155" s="351"/>
      <c r="AL155" s="351"/>
      <c r="AM155" s="351"/>
      <c r="AN155" s="351"/>
      <c r="AO155" s="351"/>
      <c r="AP155" s="351"/>
      <c r="AQ155" s="351"/>
      <c r="AR155" s="351"/>
      <c r="AS155" s="351"/>
      <c r="AT155" s="351"/>
      <c r="AV155" s="521"/>
      <c r="AW155" s="530"/>
      <c r="AX155" s="530"/>
      <c r="AY155" s="9"/>
      <c r="AZ155" s="48"/>
      <c r="BA155" s="351"/>
      <c r="BB155" s="351"/>
      <c r="BC155" s="351"/>
      <c r="BD155" s="351"/>
      <c r="BE155" s="351"/>
    </row>
    <row r="156" spans="8:57" x14ac:dyDescent="0.25">
      <c r="H156" s="527"/>
      <c r="I156" s="4"/>
      <c r="J156" s="4"/>
      <c r="L156" s="4"/>
      <c r="R156" s="351"/>
      <c r="S156" s="351"/>
      <c r="T156" s="351"/>
      <c r="U156" s="351"/>
      <c r="W156" s="351"/>
      <c r="X156" s="351"/>
      <c r="Y156" s="351"/>
      <c r="Z156" s="351"/>
      <c r="AA156" s="520"/>
      <c r="AB156" s="351"/>
      <c r="AC156" s="351"/>
      <c r="AD156" s="351"/>
      <c r="AE156" s="351"/>
      <c r="AG156" s="351"/>
      <c r="AH156" s="351"/>
      <c r="AI156" s="351"/>
      <c r="AJ156" s="351"/>
      <c r="AK156" s="351"/>
      <c r="AL156" s="351"/>
      <c r="AM156" s="351"/>
      <c r="AN156" s="351"/>
      <c r="AO156" s="351"/>
      <c r="AP156" s="351"/>
      <c r="AQ156" s="351"/>
      <c r="AR156" s="351"/>
      <c r="AS156" s="351"/>
      <c r="AT156" s="351"/>
      <c r="AV156" s="521"/>
      <c r="AW156" s="530"/>
      <c r="AX156" s="530"/>
      <c r="AY156" s="9"/>
      <c r="AZ156" s="48"/>
      <c r="BA156" s="351"/>
      <c r="BB156" s="351"/>
      <c r="BC156" s="351"/>
      <c r="BD156" s="351"/>
      <c r="BE156" s="351"/>
    </row>
    <row r="157" spans="8:57" x14ac:dyDescent="0.25">
      <c r="H157" s="527"/>
      <c r="I157" s="4"/>
      <c r="J157" s="4"/>
      <c r="L157" s="4"/>
      <c r="R157" s="351"/>
      <c r="S157" s="351"/>
      <c r="T157" s="351"/>
      <c r="U157" s="351"/>
      <c r="W157" s="351"/>
      <c r="X157" s="351"/>
      <c r="Y157" s="351"/>
      <c r="Z157" s="351"/>
      <c r="AA157" s="520"/>
      <c r="AB157" s="351"/>
      <c r="AC157" s="351"/>
      <c r="AD157" s="351"/>
      <c r="AE157" s="351"/>
      <c r="AG157" s="351"/>
      <c r="AH157" s="351"/>
      <c r="AI157" s="351"/>
      <c r="AJ157" s="351"/>
      <c r="AK157" s="351"/>
      <c r="AL157" s="351"/>
      <c r="AM157" s="351"/>
      <c r="AN157" s="351"/>
      <c r="AO157" s="351"/>
      <c r="AP157" s="351"/>
      <c r="AQ157" s="351"/>
      <c r="AR157" s="351"/>
      <c r="AS157" s="351"/>
      <c r="AT157" s="351"/>
      <c r="AV157" s="521"/>
      <c r="AW157" s="530"/>
      <c r="AX157" s="530"/>
      <c r="AY157" s="9"/>
      <c r="AZ157" s="48"/>
      <c r="BA157" s="351"/>
      <c r="BB157" s="351"/>
      <c r="BC157" s="351"/>
      <c r="BD157" s="351"/>
      <c r="BE157" s="351"/>
    </row>
    <row r="158" spans="8:57" x14ac:dyDescent="0.25">
      <c r="H158" s="527"/>
      <c r="I158" s="4"/>
      <c r="J158" s="4"/>
      <c r="L158" s="4"/>
      <c r="R158" s="351"/>
      <c r="S158" s="351"/>
      <c r="T158" s="351"/>
      <c r="U158" s="351"/>
      <c r="W158" s="351"/>
      <c r="X158" s="351"/>
      <c r="Y158" s="351"/>
      <c r="Z158" s="351"/>
      <c r="AA158" s="520"/>
      <c r="AB158" s="351"/>
      <c r="AC158" s="351"/>
      <c r="AD158" s="351"/>
      <c r="AE158" s="351"/>
      <c r="AG158" s="351"/>
      <c r="AH158" s="351"/>
      <c r="AI158" s="351"/>
      <c r="AJ158" s="351"/>
      <c r="AK158" s="351"/>
      <c r="AL158" s="351"/>
      <c r="AM158" s="351"/>
      <c r="AN158" s="351"/>
      <c r="AO158" s="351"/>
      <c r="AP158" s="351"/>
      <c r="AQ158" s="351"/>
      <c r="AR158" s="351"/>
      <c r="AS158" s="351"/>
      <c r="AT158" s="351"/>
      <c r="AV158" s="521"/>
      <c r="AW158" s="530"/>
      <c r="AX158" s="530"/>
      <c r="AY158" s="9"/>
      <c r="AZ158" s="48"/>
      <c r="BA158" s="351"/>
      <c r="BB158" s="351"/>
      <c r="BC158" s="351"/>
      <c r="BD158" s="351"/>
      <c r="BE158" s="351"/>
    </row>
    <row r="159" spans="8:57" x14ac:dyDescent="0.25">
      <c r="H159" s="527"/>
      <c r="I159" s="4"/>
      <c r="J159" s="4"/>
      <c r="L159" s="4"/>
      <c r="R159" s="351"/>
      <c r="S159" s="351"/>
      <c r="T159" s="351"/>
      <c r="U159" s="351"/>
      <c r="W159" s="351"/>
      <c r="X159" s="351"/>
      <c r="Y159" s="351"/>
      <c r="Z159" s="351"/>
      <c r="AA159" s="520"/>
      <c r="AB159" s="351"/>
      <c r="AC159" s="351"/>
      <c r="AD159" s="351"/>
      <c r="AE159" s="351"/>
      <c r="AG159" s="351"/>
      <c r="AH159" s="351"/>
      <c r="AI159" s="351"/>
      <c r="AJ159" s="351"/>
      <c r="AK159" s="351"/>
      <c r="AL159" s="351"/>
      <c r="AM159" s="351"/>
      <c r="AN159" s="351"/>
      <c r="AO159" s="351"/>
      <c r="AP159" s="351"/>
      <c r="AQ159" s="351"/>
      <c r="AR159" s="351"/>
      <c r="AS159" s="351"/>
      <c r="AT159" s="351"/>
      <c r="AV159" s="521"/>
      <c r="AW159" s="530"/>
      <c r="AX159" s="530"/>
      <c r="AY159" s="9"/>
      <c r="AZ159" s="48"/>
      <c r="BA159" s="351"/>
      <c r="BB159" s="351"/>
      <c r="BC159" s="351"/>
      <c r="BD159" s="351"/>
      <c r="BE159" s="351"/>
    </row>
    <row r="160" spans="8:57" x14ac:dyDescent="0.25">
      <c r="H160" s="527"/>
      <c r="I160" s="4"/>
      <c r="J160" s="4"/>
      <c r="L160" s="4"/>
      <c r="R160" s="351"/>
      <c r="S160" s="351"/>
      <c r="T160" s="351"/>
      <c r="U160" s="351"/>
      <c r="W160" s="351"/>
      <c r="X160" s="351"/>
      <c r="Y160" s="351"/>
      <c r="Z160" s="351"/>
      <c r="AA160" s="520"/>
      <c r="AB160" s="351"/>
      <c r="AC160" s="351"/>
      <c r="AD160" s="351"/>
      <c r="AE160" s="351"/>
      <c r="AG160" s="351"/>
      <c r="AH160" s="351"/>
      <c r="AI160" s="351"/>
      <c r="AJ160" s="351"/>
      <c r="AK160" s="351"/>
      <c r="AL160" s="351"/>
      <c r="AM160" s="351"/>
      <c r="AN160" s="351"/>
      <c r="AO160" s="351"/>
      <c r="AP160" s="351"/>
      <c r="AQ160" s="351"/>
      <c r="AR160" s="351"/>
      <c r="AS160" s="351"/>
      <c r="AT160" s="351"/>
      <c r="AV160" s="521"/>
      <c r="AW160" s="530"/>
      <c r="AX160" s="530"/>
      <c r="AY160" s="9"/>
      <c r="AZ160" s="48"/>
      <c r="BA160" s="351"/>
      <c r="BB160" s="351"/>
      <c r="BC160" s="351"/>
      <c r="BD160" s="351"/>
      <c r="BE160" s="351"/>
    </row>
    <row r="161" spans="8:57" x14ac:dyDescent="0.25">
      <c r="H161" s="527"/>
      <c r="I161" s="4"/>
      <c r="J161" s="4"/>
      <c r="L161" s="4"/>
      <c r="R161" s="351"/>
      <c r="S161" s="351"/>
      <c r="T161" s="351"/>
      <c r="U161" s="351"/>
      <c r="W161" s="351"/>
      <c r="X161" s="351"/>
      <c r="Y161" s="351"/>
      <c r="Z161" s="351"/>
      <c r="AA161" s="520"/>
      <c r="AB161" s="351"/>
      <c r="AC161" s="351"/>
      <c r="AD161" s="351"/>
      <c r="AE161" s="351"/>
      <c r="AG161" s="351"/>
      <c r="AH161" s="351"/>
      <c r="AI161" s="351"/>
      <c r="AJ161" s="351"/>
      <c r="AK161" s="351"/>
      <c r="AL161" s="351"/>
      <c r="AM161" s="351"/>
      <c r="AN161" s="351"/>
      <c r="AO161" s="351"/>
      <c r="AP161" s="351"/>
      <c r="AQ161" s="351"/>
      <c r="AR161" s="351"/>
      <c r="AS161" s="351"/>
      <c r="AT161" s="351"/>
      <c r="AV161" s="521"/>
      <c r="AW161" s="530"/>
      <c r="AX161" s="530"/>
      <c r="AY161" s="9"/>
      <c r="AZ161" s="48"/>
      <c r="BA161" s="351"/>
      <c r="BB161" s="351"/>
      <c r="BC161" s="351"/>
      <c r="BD161" s="351"/>
      <c r="BE161" s="351"/>
    </row>
    <row r="162" spans="8:57" x14ac:dyDescent="0.25">
      <c r="H162" s="527"/>
      <c r="I162" s="4"/>
      <c r="J162" s="4"/>
      <c r="L162" s="4"/>
      <c r="R162" s="351"/>
      <c r="S162" s="351"/>
      <c r="T162" s="351"/>
      <c r="U162" s="351"/>
      <c r="W162" s="351"/>
      <c r="X162" s="351"/>
      <c r="Y162" s="351"/>
      <c r="Z162" s="351"/>
      <c r="AA162" s="520"/>
      <c r="AB162" s="351"/>
      <c r="AC162" s="351"/>
      <c r="AD162" s="351"/>
      <c r="AE162" s="351"/>
      <c r="AG162" s="351"/>
      <c r="AH162" s="351"/>
      <c r="AI162" s="351"/>
      <c r="AJ162" s="351"/>
      <c r="AK162" s="351"/>
      <c r="AL162" s="351"/>
      <c r="AM162" s="351"/>
      <c r="AN162" s="351"/>
      <c r="AO162" s="351"/>
      <c r="AP162" s="351"/>
      <c r="AQ162" s="351"/>
      <c r="AR162" s="351"/>
      <c r="AS162" s="351"/>
      <c r="AT162" s="351"/>
      <c r="AV162" s="521"/>
      <c r="AW162" s="530"/>
      <c r="AX162" s="530"/>
      <c r="AY162" s="9"/>
      <c r="AZ162" s="48"/>
      <c r="BA162" s="351"/>
      <c r="BB162" s="351"/>
      <c r="BC162" s="351"/>
      <c r="BD162" s="351"/>
      <c r="BE162" s="351"/>
    </row>
    <row r="163" spans="8:57" x14ac:dyDescent="0.25">
      <c r="H163" s="527"/>
      <c r="I163" s="4"/>
      <c r="J163" s="4"/>
      <c r="L163" s="4"/>
      <c r="R163" s="351"/>
      <c r="S163" s="351"/>
      <c r="T163" s="351"/>
      <c r="U163" s="351"/>
      <c r="W163" s="351"/>
      <c r="X163" s="351"/>
      <c r="Y163" s="351"/>
      <c r="Z163" s="351"/>
      <c r="AA163" s="520"/>
      <c r="AB163" s="351"/>
      <c r="AC163" s="351"/>
      <c r="AD163" s="351"/>
      <c r="AE163" s="351"/>
      <c r="AG163" s="351"/>
      <c r="AH163" s="351"/>
      <c r="AI163" s="351"/>
      <c r="AJ163" s="351"/>
      <c r="AK163" s="351"/>
      <c r="AL163" s="351"/>
      <c r="AM163" s="351"/>
      <c r="AN163" s="351"/>
      <c r="AO163" s="351"/>
      <c r="AP163" s="351"/>
      <c r="AQ163" s="351"/>
      <c r="AR163" s="351"/>
      <c r="AS163" s="351"/>
      <c r="AT163" s="351"/>
      <c r="AV163" s="521"/>
      <c r="AW163" s="530"/>
      <c r="AX163" s="530"/>
      <c r="AY163" s="9"/>
      <c r="AZ163" s="48"/>
      <c r="BA163" s="351"/>
      <c r="BB163" s="351"/>
      <c r="BC163" s="351"/>
      <c r="BD163" s="351"/>
      <c r="BE163" s="351"/>
    </row>
    <row r="164" spans="8:57" x14ac:dyDescent="0.25">
      <c r="H164" s="527"/>
      <c r="I164" s="4"/>
      <c r="J164" s="4"/>
      <c r="L164" s="4"/>
      <c r="R164" s="351"/>
      <c r="S164" s="351"/>
      <c r="T164" s="351"/>
      <c r="U164" s="351"/>
      <c r="W164" s="351"/>
      <c r="X164" s="351"/>
      <c r="Y164" s="351"/>
      <c r="Z164" s="351"/>
      <c r="AA164" s="520"/>
      <c r="AB164" s="351"/>
      <c r="AC164" s="351"/>
      <c r="AD164" s="351"/>
      <c r="AE164" s="351"/>
      <c r="AG164" s="351"/>
      <c r="AH164" s="351"/>
      <c r="AI164" s="351"/>
      <c r="AJ164" s="351"/>
      <c r="AK164" s="351"/>
      <c r="AL164" s="351"/>
      <c r="AM164" s="351"/>
      <c r="AN164" s="351"/>
      <c r="AO164" s="351"/>
      <c r="AP164" s="351"/>
      <c r="AQ164" s="351"/>
      <c r="AR164" s="351"/>
      <c r="AS164" s="351"/>
      <c r="AT164" s="351"/>
      <c r="AV164" s="521"/>
      <c r="AW164" s="530"/>
      <c r="AX164" s="530"/>
      <c r="AY164" s="9"/>
      <c r="AZ164" s="48"/>
      <c r="BA164" s="351"/>
      <c r="BB164" s="351"/>
      <c r="BC164" s="351"/>
      <c r="BD164" s="351"/>
      <c r="BE164" s="351"/>
    </row>
    <row r="165" spans="8:57" x14ac:dyDescent="0.25">
      <c r="H165" s="527"/>
      <c r="I165" s="4"/>
      <c r="J165" s="4"/>
      <c r="L165" s="4"/>
      <c r="R165" s="351"/>
      <c r="S165" s="351"/>
      <c r="T165" s="351"/>
      <c r="U165" s="351"/>
      <c r="W165" s="351"/>
      <c r="X165" s="351"/>
      <c r="Y165" s="351"/>
      <c r="Z165" s="351"/>
      <c r="AA165" s="520"/>
      <c r="AB165" s="351"/>
      <c r="AC165" s="351"/>
      <c r="AD165" s="351"/>
      <c r="AE165" s="351"/>
      <c r="AG165" s="351"/>
      <c r="AH165" s="351"/>
      <c r="AI165" s="351"/>
      <c r="AJ165" s="351"/>
      <c r="AK165" s="351"/>
      <c r="AL165" s="351"/>
      <c r="AM165" s="351"/>
      <c r="AN165" s="351"/>
      <c r="AO165" s="351"/>
      <c r="AP165" s="351"/>
      <c r="AQ165" s="351"/>
      <c r="AR165" s="351"/>
      <c r="AS165" s="351"/>
      <c r="AT165" s="351"/>
      <c r="AV165" s="521"/>
      <c r="AW165" s="530"/>
      <c r="AX165" s="530"/>
      <c r="AY165" s="9"/>
      <c r="AZ165" s="48"/>
      <c r="BA165" s="351"/>
      <c r="BB165" s="351"/>
      <c r="BC165" s="351"/>
      <c r="BD165" s="351"/>
      <c r="BE165" s="351"/>
    </row>
    <row r="166" spans="8:57" x14ac:dyDescent="0.25">
      <c r="H166" s="527"/>
      <c r="I166" s="4"/>
      <c r="J166" s="4"/>
      <c r="L166" s="4"/>
      <c r="R166" s="351"/>
      <c r="S166" s="351"/>
      <c r="T166" s="351"/>
      <c r="U166" s="351"/>
      <c r="W166" s="351"/>
      <c r="X166" s="351"/>
      <c r="Y166" s="351"/>
      <c r="Z166" s="351"/>
      <c r="AA166" s="520"/>
      <c r="AB166" s="351"/>
      <c r="AC166" s="351"/>
      <c r="AD166" s="351"/>
      <c r="AE166" s="351"/>
      <c r="AG166" s="351"/>
      <c r="AH166" s="351"/>
      <c r="AI166" s="351"/>
      <c r="AJ166" s="351"/>
      <c r="AK166" s="351"/>
      <c r="AL166" s="351"/>
      <c r="AM166" s="351"/>
      <c r="AN166" s="351"/>
      <c r="AO166" s="351"/>
      <c r="AP166" s="351"/>
      <c r="AQ166" s="351"/>
      <c r="AR166" s="351"/>
      <c r="AS166" s="351"/>
      <c r="AT166" s="351"/>
      <c r="AV166" s="521"/>
      <c r="AW166" s="530"/>
      <c r="AX166" s="530"/>
      <c r="AY166" s="9"/>
      <c r="AZ166" s="48"/>
      <c r="BA166" s="351"/>
      <c r="BB166" s="351"/>
      <c r="BC166" s="351"/>
      <c r="BD166" s="351"/>
      <c r="BE166" s="351"/>
    </row>
    <row r="167" spans="8:57" x14ac:dyDescent="0.25">
      <c r="H167" s="527"/>
      <c r="I167" s="4"/>
      <c r="J167" s="4"/>
      <c r="L167" s="4"/>
      <c r="R167" s="351"/>
      <c r="S167" s="351"/>
      <c r="T167" s="351"/>
      <c r="U167" s="351"/>
      <c r="W167" s="351"/>
      <c r="X167" s="351"/>
      <c r="Y167" s="351"/>
      <c r="Z167" s="351"/>
      <c r="AA167" s="520"/>
      <c r="AB167" s="351"/>
      <c r="AC167" s="351"/>
      <c r="AD167" s="351"/>
      <c r="AE167" s="351"/>
      <c r="AG167" s="351"/>
      <c r="AH167" s="351"/>
      <c r="AI167" s="351"/>
      <c r="AJ167" s="351"/>
      <c r="AK167" s="351"/>
      <c r="AL167" s="351"/>
      <c r="AM167" s="351"/>
      <c r="AN167" s="351"/>
      <c r="AO167" s="351"/>
      <c r="AP167" s="351"/>
      <c r="AQ167" s="351"/>
      <c r="AR167" s="351"/>
      <c r="AS167" s="351"/>
      <c r="AT167" s="351"/>
      <c r="AV167" s="521"/>
      <c r="AW167" s="530"/>
      <c r="AX167" s="530"/>
      <c r="AY167" s="9"/>
      <c r="AZ167" s="48"/>
      <c r="BA167" s="351"/>
      <c r="BB167" s="351"/>
      <c r="BC167" s="351"/>
      <c r="BD167" s="351"/>
      <c r="BE167" s="351"/>
    </row>
    <row r="168" spans="8:57" x14ac:dyDescent="0.25">
      <c r="H168" s="527"/>
      <c r="I168" s="4"/>
      <c r="J168" s="4"/>
      <c r="L168" s="4"/>
      <c r="R168" s="351"/>
      <c r="S168" s="351"/>
      <c r="T168" s="351"/>
      <c r="U168" s="351"/>
      <c r="W168" s="351"/>
      <c r="X168" s="351"/>
      <c r="Y168" s="351"/>
      <c r="Z168" s="351"/>
      <c r="AA168" s="520"/>
      <c r="AB168" s="351"/>
      <c r="AC168" s="351"/>
      <c r="AD168" s="351"/>
      <c r="AE168" s="351"/>
      <c r="AG168" s="351"/>
      <c r="AH168" s="351"/>
      <c r="AI168" s="351"/>
      <c r="AJ168" s="351"/>
      <c r="AK168" s="351"/>
      <c r="AL168" s="351"/>
      <c r="AM168" s="351"/>
      <c r="AN168" s="351"/>
      <c r="AO168" s="351"/>
      <c r="AP168" s="351"/>
      <c r="AQ168" s="351"/>
      <c r="AR168" s="351"/>
      <c r="AS168" s="351"/>
      <c r="AT168" s="351"/>
      <c r="AV168" s="521"/>
      <c r="AW168" s="530"/>
      <c r="AX168" s="530"/>
      <c r="AY168" s="9"/>
      <c r="AZ168" s="48"/>
      <c r="BA168" s="351"/>
      <c r="BB168" s="351"/>
      <c r="BC168" s="351"/>
      <c r="BD168" s="351"/>
      <c r="BE168" s="351"/>
    </row>
    <row r="169" spans="8:57" x14ac:dyDescent="0.25">
      <c r="H169" s="527"/>
      <c r="I169" s="4"/>
      <c r="J169" s="4"/>
      <c r="L169" s="4"/>
      <c r="R169" s="351"/>
      <c r="S169" s="351"/>
      <c r="T169" s="351"/>
      <c r="U169" s="351"/>
      <c r="W169" s="351"/>
      <c r="X169" s="351"/>
      <c r="Y169" s="351"/>
      <c r="Z169" s="351"/>
      <c r="AA169" s="520"/>
      <c r="AB169" s="351"/>
      <c r="AC169" s="351"/>
      <c r="AD169" s="351"/>
      <c r="AE169" s="351"/>
      <c r="AG169" s="351"/>
      <c r="AH169" s="351"/>
      <c r="AI169" s="351"/>
      <c r="AJ169" s="351"/>
      <c r="AK169" s="351"/>
      <c r="AL169" s="351"/>
      <c r="AM169" s="351"/>
      <c r="AN169" s="351"/>
      <c r="AO169" s="351"/>
      <c r="AP169" s="351"/>
      <c r="AQ169" s="351"/>
      <c r="AR169" s="351"/>
      <c r="AS169" s="351"/>
      <c r="AT169" s="351"/>
      <c r="AV169" s="521"/>
      <c r="AW169" s="530"/>
      <c r="AX169" s="530"/>
      <c r="AY169" s="9"/>
      <c r="AZ169" s="48"/>
      <c r="BA169" s="351"/>
      <c r="BB169" s="351"/>
      <c r="BC169" s="351"/>
      <c r="BD169" s="351"/>
      <c r="BE169" s="351"/>
    </row>
    <row r="170" spans="8:57" x14ac:dyDescent="0.25">
      <c r="H170" s="527"/>
      <c r="I170" s="4"/>
      <c r="J170" s="4"/>
      <c r="L170" s="4"/>
      <c r="R170" s="351"/>
      <c r="S170" s="351"/>
      <c r="T170" s="351"/>
      <c r="U170" s="351"/>
      <c r="W170" s="351"/>
      <c r="X170" s="351"/>
      <c r="Y170" s="351"/>
      <c r="Z170" s="351"/>
      <c r="AA170" s="520"/>
      <c r="AB170" s="351"/>
      <c r="AC170" s="351"/>
      <c r="AD170" s="351"/>
      <c r="AE170" s="351"/>
      <c r="AG170" s="351"/>
      <c r="AH170" s="351"/>
      <c r="AI170" s="351"/>
      <c r="AJ170" s="351"/>
      <c r="AK170" s="351"/>
      <c r="AL170" s="351"/>
      <c r="AM170" s="351"/>
      <c r="AN170" s="351"/>
      <c r="AO170" s="351"/>
      <c r="AP170" s="351"/>
      <c r="AQ170" s="351"/>
      <c r="AR170" s="351"/>
      <c r="AS170" s="351"/>
      <c r="AT170" s="351"/>
      <c r="AV170" s="521"/>
      <c r="AW170" s="530"/>
      <c r="AX170" s="530"/>
      <c r="AY170" s="9"/>
      <c r="AZ170" s="48"/>
      <c r="BA170" s="351"/>
      <c r="BB170" s="351"/>
      <c r="BC170" s="351"/>
      <c r="BD170" s="351"/>
      <c r="BE170" s="351"/>
    </row>
    <row r="171" spans="8:57" x14ac:dyDescent="0.25">
      <c r="H171" s="527"/>
      <c r="I171" s="4"/>
      <c r="J171" s="4"/>
      <c r="L171" s="4"/>
      <c r="R171" s="351"/>
      <c r="S171" s="351"/>
      <c r="T171" s="351"/>
      <c r="U171" s="351"/>
      <c r="W171" s="351"/>
      <c r="X171" s="351"/>
      <c r="Y171" s="351"/>
      <c r="Z171" s="351"/>
      <c r="AA171" s="520"/>
      <c r="AB171" s="351"/>
      <c r="AC171" s="351"/>
      <c r="AD171" s="351"/>
      <c r="AE171" s="351"/>
      <c r="AG171" s="351"/>
      <c r="AH171" s="351"/>
      <c r="AI171" s="351"/>
      <c r="AJ171" s="351"/>
      <c r="AK171" s="351"/>
      <c r="AL171" s="351"/>
      <c r="AM171" s="351"/>
      <c r="AN171" s="351"/>
      <c r="AO171" s="351"/>
      <c r="AP171" s="351"/>
      <c r="AQ171" s="351"/>
      <c r="AR171" s="351"/>
      <c r="AS171" s="351"/>
      <c r="AT171" s="351"/>
      <c r="AV171" s="521"/>
      <c r="AW171" s="530"/>
      <c r="AX171" s="530"/>
      <c r="AY171" s="9"/>
      <c r="AZ171" s="48"/>
      <c r="BA171" s="351"/>
      <c r="BB171" s="351"/>
      <c r="BC171" s="351"/>
      <c r="BD171" s="351"/>
      <c r="BE171" s="351"/>
    </row>
    <row r="172" spans="8:57" x14ac:dyDescent="0.25">
      <c r="H172" s="527"/>
      <c r="I172" s="4"/>
      <c r="J172" s="4"/>
      <c r="L172" s="4"/>
      <c r="R172" s="351"/>
      <c r="S172" s="351"/>
      <c r="T172" s="351"/>
      <c r="U172" s="351"/>
      <c r="W172" s="351"/>
      <c r="X172" s="351"/>
      <c r="Y172" s="351"/>
      <c r="Z172" s="351"/>
      <c r="AA172" s="520"/>
      <c r="AB172" s="351"/>
      <c r="AC172" s="351"/>
      <c r="AD172" s="351"/>
      <c r="AE172" s="351"/>
      <c r="AG172" s="351"/>
      <c r="AH172" s="351"/>
      <c r="AI172" s="351"/>
      <c r="AJ172" s="351"/>
      <c r="AK172" s="351"/>
      <c r="AL172" s="351"/>
      <c r="AM172" s="351"/>
      <c r="AN172" s="351"/>
      <c r="AO172" s="351"/>
      <c r="AP172" s="351"/>
      <c r="AQ172" s="351"/>
      <c r="AR172" s="351"/>
      <c r="AS172" s="351"/>
      <c r="AT172" s="351"/>
      <c r="AV172" s="521"/>
      <c r="AW172" s="530"/>
      <c r="AX172" s="530"/>
      <c r="AY172" s="9"/>
      <c r="AZ172" s="48"/>
      <c r="BA172" s="351"/>
      <c r="BB172" s="351"/>
      <c r="BC172" s="351"/>
      <c r="BD172" s="351"/>
      <c r="BE172" s="351"/>
    </row>
    <row r="173" spans="8:57" x14ac:dyDescent="0.25">
      <c r="H173" s="527"/>
      <c r="I173" s="4"/>
      <c r="J173" s="4"/>
      <c r="L173" s="4"/>
      <c r="R173" s="351"/>
      <c r="S173" s="351"/>
      <c r="T173" s="351"/>
      <c r="U173" s="351"/>
      <c r="W173" s="351"/>
      <c r="X173" s="351"/>
      <c r="Y173" s="351"/>
      <c r="Z173" s="351"/>
      <c r="AA173" s="520"/>
      <c r="AB173" s="351"/>
      <c r="AC173" s="351"/>
      <c r="AD173" s="351"/>
      <c r="AE173" s="351"/>
      <c r="AG173" s="351"/>
      <c r="AH173" s="351"/>
      <c r="AI173" s="351"/>
      <c r="AJ173" s="351"/>
      <c r="AK173" s="351"/>
      <c r="AL173" s="351"/>
      <c r="AM173" s="351"/>
      <c r="AN173" s="351"/>
      <c r="AO173" s="351"/>
      <c r="AP173" s="351"/>
      <c r="AQ173" s="351"/>
      <c r="AR173" s="351"/>
      <c r="AS173" s="351"/>
      <c r="AT173" s="351"/>
      <c r="AV173" s="521"/>
      <c r="AW173" s="530"/>
      <c r="AX173" s="530"/>
      <c r="AY173" s="9"/>
      <c r="AZ173" s="48"/>
      <c r="BA173" s="351"/>
      <c r="BB173" s="351"/>
      <c r="BC173" s="351"/>
      <c r="BD173" s="351"/>
      <c r="BE173" s="351"/>
    </row>
    <row r="174" spans="8:57" x14ac:dyDescent="0.25">
      <c r="H174" s="527"/>
      <c r="I174" s="4"/>
      <c r="J174" s="4"/>
      <c r="L174" s="4"/>
      <c r="R174" s="351"/>
      <c r="S174" s="351"/>
      <c r="T174" s="351"/>
      <c r="U174" s="351"/>
      <c r="W174" s="351"/>
      <c r="X174" s="351"/>
      <c r="Y174" s="351"/>
      <c r="Z174" s="351"/>
      <c r="AA174" s="520"/>
      <c r="AB174" s="351"/>
      <c r="AC174" s="351"/>
      <c r="AD174" s="351"/>
      <c r="AE174" s="351"/>
      <c r="AG174" s="351"/>
      <c r="AH174" s="351"/>
      <c r="AI174" s="351"/>
      <c r="AJ174" s="351"/>
      <c r="AK174" s="351"/>
      <c r="AL174" s="351"/>
      <c r="AM174" s="351"/>
      <c r="AN174" s="351"/>
      <c r="AO174" s="351"/>
      <c r="AP174" s="351"/>
      <c r="AQ174" s="351"/>
      <c r="AR174" s="351"/>
      <c r="AS174" s="351"/>
      <c r="AT174" s="351"/>
      <c r="AV174" s="521"/>
      <c r="AW174" s="530"/>
      <c r="AX174" s="530"/>
      <c r="AY174" s="9"/>
      <c r="AZ174" s="48"/>
      <c r="BA174" s="351"/>
      <c r="BB174" s="351"/>
      <c r="BC174" s="351"/>
      <c r="BD174" s="351"/>
      <c r="BE174" s="351"/>
    </row>
    <row r="175" spans="8:57" x14ac:dyDescent="0.25">
      <c r="H175" s="527"/>
      <c r="I175" s="4"/>
      <c r="J175" s="4"/>
      <c r="L175" s="4"/>
      <c r="R175" s="351"/>
      <c r="S175" s="351"/>
      <c r="T175" s="351"/>
      <c r="U175" s="351"/>
      <c r="W175" s="351"/>
      <c r="X175" s="351"/>
      <c r="Y175" s="351"/>
      <c r="Z175" s="351"/>
      <c r="AA175" s="520"/>
      <c r="AB175" s="351"/>
      <c r="AC175" s="351"/>
      <c r="AD175" s="351"/>
      <c r="AE175" s="351"/>
      <c r="AG175" s="351"/>
      <c r="AH175" s="351"/>
      <c r="AI175" s="351"/>
      <c r="AJ175" s="351"/>
      <c r="AK175" s="351"/>
      <c r="AL175" s="351"/>
      <c r="AM175" s="351"/>
      <c r="AN175" s="351"/>
      <c r="AO175" s="351"/>
      <c r="AP175" s="351"/>
      <c r="AQ175" s="351"/>
      <c r="AR175" s="351"/>
      <c r="AS175" s="351"/>
      <c r="AT175" s="351"/>
      <c r="AV175" s="521"/>
      <c r="AW175" s="530"/>
      <c r="AX175" s="530"/>
      <c r="AY175" s="9"/>
      <c r="AZ175" s="48"/>
      <c r="BA175" s="351"/>
      <c r="BB175" s="351"/>
      <c r="BC175" s="351"/>
      <c r="BD175" s="351"/>
      <c r="BE175" s="351"/>
    </row>
    <row r="176" spans="8:57" x14ac:dyDescent="0.25">
      <c r="H176" s="527"/>
      <c r="I176" s="4"/>
      <c r="J176" s="4"/>
      <c r="L176" s="4"/>
      <c r="R176" s="351"/>
      <c r="S176" s="351"/>
      <c r="T176" s="351"/>
      <c r="U176" s="351"/>
      <c r="W176" s="351"/>
      <c r="X176" s="351"/>
      <c r="Y176" s="351"/>
      <c r="Z176" s="351"/>
      <c r="AA176" s="520"/>
      <c r="AB176" s="351"/>
      <c r="AC176" s="351"/>
      <c r="AD176" s="351"/>
      <c r="AE176" s="351"/>
      <c r="AG176" s="351"/>
      <c r="AH176" s="351"/>
      <c r="AI176" s="351"/>
      <c r="AJ176" s="351"/>
      <c r="AK176" s="351"/>
      <c r="AL176" s="351"/>
      <c r="AM176" s="351"/>
      <c r="AN176" s="351"/>
      <c r="AO176" s="351"/>
      <c r="AP176" s="351"/>
      <c r="AQ176" s="351"/>
      <c r="AR176" s="351"/>
      <c r="AS176" s="351"/>
      <c r="AT176" s="351"/>
      <c r="AV176" s="521"/>
      <c r="AW176" s="530"/>
      <c r="AX176" s="530"/>
      <c r="AY176" s="9"/>
      <c r="AZ176" s="48"/>
      <c r="BA176" s="351"/>
      <c r="BB176" s="351"/>
      <c r="BC176" s="351"/>
      <c r="BD176" s="351"/>
      <c r="BE176" s="351"/>
    </row>
    <row r="177" spans="8:57" x14ac:dyDescent="0.25">
      <c r="H177" s="527"/>
      <c r="I177" s="4"/>
      <c r="J177" s="4"/>
      <c r="L177" s="4"/>
      <c r="R177" s="351"/>
      <c r="S177" s="351"/>
      <c r="T177" s="351"/>
      <c r="U177" s="351"/>
      <c r="W177" s="351"/>
      <c r="X177" s="351"/>
      <c r="Y177" s="351"/>
      <c r="Z177" s="351"/>
      <c r="AA177" s="520"/>
      <c r="AB177" s="351"/>
      <c r="AC177" s="351"/>
      <c r="AD177" s="351"/>
      <c r="AE177" s="351"/>
      <c r="AG177" s="351"/>
      <c r="AH177" s="351"/>
      <c r="AI177" s="351"/>
      <c r="AJ177" s="351"/>
      <c r="AK177" s="351"/>
      <c r="AL177" s="351"/>
      <c r="AM177" s="351"/>
      <c r="AN177" s="351"/>
      <c r="AO177" s="351"/>
      <c r="AP177" s="351"/>
      <c r="AQ177" s="351"/>
      <c r="AR177" s="351"/>
      <c r="AS177" s="351"/>
      <c r="AT177" s="351"/>
      <c r="AV177" s="521"/>
      <c r="AW177" s="530"/>
      <c r="AX177" s="530"/>
      <c r="AY177" s="9"/>
      <c r="AZ177" s="48"/>
      <c r="BA177" s="351"/>
      <c r="BB177" s="351"/>
      <c r="BC177" s="351"/>
      <c r="BD177" s="351"/>
      <c r="BE177" s="351"/>
    </row>
    <row r="178" spans="8:57" x14ac:dyDescent="0.25">
      <c r="H178" s="527"/>
      <c r="I178" s="4"/>
      <c r="J178" s="4"/>
      <c r="L178" s="4"/>
      <c r="R178" s="351"/>
      <c r="S178" s="351"/>
      <c r="T178" s="351"/>
      <c r="U178" s="351"/>
      <c r="W178" s="351"/>
      <c r="X178" s="351"/>
      <c r="Y178" s="351"/>
      <c r="Z178" s="351"/>
      <c r="AA178" s="520"/>
      <c r="AB178" s="351"/>
      <c r="AC178" s="351"/>
      <c r="AD178" s="351"/>
      <c r="AE178" s="351"/>
      <c r="AG178" s="351"/>
      <c r="AH178" s="351"/>
      <c r="AI178" s="351"/>
      <c r="AJ178" s="351"/>
      <c r="AK178" s="351"/>
      <c r="AL178" s="351"/>
      <c r="AM178" s="351"/>
      <c r="AN178" s="351"/>
      <c r="AO178" s="351"/>
      <c r="AP178" s="351"/>
      <c r="AQ178" s="351"/>
      <c r="AR178" s="351"/>
      <c r="AS178" s="351"/>
      <c r="AT178" s="351"/>
      <c r="AV178" s="521"/>
      <c r="AW178" s="530"/>
      <c r="AX178" s="530"/>
      <c r="AY178" s="9"/>
      <c r="AZ178" s="48"/>
      <c r="BA178" s="351"/>
      <c r="BB178" s="351"/>
      <c r="BC178" s="351"/>
      <c r="BD178" s="351"/>
      <c r="BE178" s="351"/>
    </row>
    <row r="179" spans="8:57" x14ac:dyDescent="0.25">
      <c r="H179" s="527"/>
      <c r="I179" s="4"/>
      <c r="J179" s="4"/>
      <c r="L179" s="4"/>
      <c r="R179" s="351"/>
      <c r="S179" s="351"/>
      <c r="T179" s="351"/>
      <c r="U179" s="351"/>
      <c r="W179" s="351"/>
      <c r="X179" s="351"/>
      <c r="Y179" s="351"/>
      <c r="Z179" s="351"/>
      <c r="AA179" s="520"/>
      <c r="AB179" s="351"/>
      <c r="AC179" s="351"/>
      <c r="AD179" s="351"/>
      <c r="AE179" s="351"/>
      <c r="AG179" s="351"/>
      <c r="AH179" s="351"/>
      <c r="AI179" s="351"/>
      <c r="AJ179" s="351"/>
      <c r="AK179" s="351"/>
      <c r="AL179" s="351"/>
      <c r="AM179" s="351"/>
      <c r="AN179" s="351"/>
      <c r="AO179" s="351"/>
      <c r="AP179" s="351"/>
      <c r="AQ179" s="351"/>
      <c r="AR179" s="351"/>
      <c r="AS179" s="351"/>
      <c r="AT179" s="351"/>
      <c r="AV179" s="521"/>
      <c r="AW179" s="530"/>
      <c r="AX179" s="530"/>
      <c r="AY179" s="9"/>
      <c r="AZ179" s="48"/>
      <c r="BA179" s="351"/>
      <c r="BB179" s="351"/>
      <c r="BC179" s="351"/>
      <c r="BD179" s="351"/>
      <c r="BE179" s="351"/>
    </row>
    <row r="180" spans="8:57" x14ac:dyDescent="0.25">
      <c r="H180" s="527"/>
      <c r="I180" s="4"/>
      <c r="J180" s="4"/>
      <c r="L180" s="4"/>
      <c r="R180" s="351"/>
      <c r="S180" s="351"/>
      <c r="T180" s="351"/>
      <c r="U180" s="351"/>
      <c r="W180" s="351"/>
      <c r="X180" s="351"/>
      <c r="Y180" s="351"/>
      <c r="Z180" s="351"/>
      <c r="AA180" s="520"/>
      <c r="AB180" s="351"/>
      <c r="AC180" s="351"/>
      <c r="AD180" s="351"/>
      <c r="AE180" s="351"/>
      <c r="AG180" s="351"/>
      <c r="AH180" s="351"/>
      <c r="AI180" s="351"/>
      <c r="AJ180" s="351"/>
      <c r="AK180" s="351"/>
      <c r="AL180" s="351"/>
      <c r="AM180" s="351"/>
      <c r="AN180" s="351"/>
      <c r="AO180" s="351"/>
      <c r="AP180" s="351"/>
      <c r="AQ180" s="351"/>
      <c r="AR180" s="351"/>
      <c r="AS180" s="351"/>
      <c r="AT180" s="351"/>
      <c r="AV180" s="521"/>
      <c r="AW180" s="530"/>
      <c r="AX180" s="530"/>
      <c r="AY180" s="9"/>
      <c r="AZ180" s="48"/>
      <c r="BA180" s="351"/>
      <c r="BB180" s="351"/>
      <c r="BC180" s="351"/>
      <c r="BD180" s="351"/>
      <c r="BE180" s="351"/>
    </row>
    <row r="181" spans="8:57" x14ac:dyDescent="0.25">
      <c r="H181" s="527"/>
      <c r="I181" s="4"/>
      <c r="J181" s="4"/>
      <c r="L181" s="4"/>
      <c r="R181" s="351"/>
      <c r="S181" s="351"/>
      <c r="T181" s="351"/>
      <c r="U181" s="351"/>
      <c r="W181" s="351"/>
      <c r="X181" s="351"/>
      <c r="Y181" s="351"/>
      <c r="Z181" s="351"/>
      <c r="AA181" s="520"/>
      <c r="AB181" s="351"/>
      <c r="AC181" s="351"/>
      <c r="AD181" s="351"/>
      <c r="AE181" s="351"/>
      <c r="AG181" s="351"/>
      <c r="AH181" s="351"/>
      <c r="AI181" s="351"/>
      <c r="AJ181" s="351"/>
      <c r="AK181" s="351"/>
      <c r="AL181" s="351"/>
      <c r="AM181" s="351"/>
      <c r="AN181" s="351"/>
      <c r="AO181" s="351"/>
      <c r="AP181" s="351"/>
      <c r="AQ181" s="351"/>
      <c r="AR181" s="351"/>
      <c r="AS181" s="351"/>
      <c r="AT181" s="351"/>
      <c r="AV181" s="521"/>
      <c r="AW181" s="530"/>
      <c r="AX181" s="530"/>
      <c r="AY181" s="9"/>
      <c r="AZ181" s="48"/>
      <c r="BA181" s="351"/>
      <c r="BB181" s="351"/>
      <c r="BC181" s="351"/>
      <c r="BD181" s="351"/>
      <c r="BE181" s="351"/>
    </row>
    <row r="182" spans="8:57" x14ac:dyDescent="0.25">
      <c r="H182" s="527"/>
      <c r="I182" s="4"/>
      <c r="J182" s="4"/>
      <c r="L182" s="4"/>
      <c r="R182" s="351"/>
      <c r="S182" s="351"/>
      <c r="T182" s="351"/>
      <c r="U182" s="351"/>
      <c r="W182" s="351"/>
      <c r="X182" s="351"/>
      <c r="Y182" s="351"/>
      <c r="Z182" s="351"/>
      <c r="AA182" s="520"/>
      <c r="AB182" s="351"/>
      <c r="AC182" s="351"/>
      <c r="AD182" s="351"/>
      <c r="AE182" s="351"/>
      <c r="AG182" s="351"/>
      <c r="AH182" s="351"/>
      <c r="AI182" s="351"/>
      <c r="AJ182" s="351"/>
      <c r="AK182" s="351"/>
      <c r="AL182" s="351"/>
      <c r="AM182" s="351"/>
      <c r="AN182" s="351"/>
      <c r="AO182" s="351"/>
      <c r="AP182" s="351"/>
      <c r="AQ182" s="351"/>
      <c r="AR182" s="351"/>
      <c r="AS182" s="351"/>
      <c r="AT182" s="351"/>
      <c r="AV182" s="521"/>
      <c r="AW182" s="530"/>
      <c r="AX182" s="530"/>
      <c r="AY182" s="9"/>
      <c r="AZ182" s="48"/>
      <c r="BA182" s="351"/>
      <c r="BB182" s="351"/>
      <c r="BC182" s="351"/>
      <c r="BD182" s="351"/>
      <c r="BE182" s="351"/>
    </row>
    <row r="183" spans="8:57" x14ac:dyDescent="0.25">
      <c r="H183" s="527"/>
      <c r="I183" s="4"/>
      <c r="J183" s="4"/>
      <c r="L183" s="4"/>
      <c r="R183" s="351"/>
      <c r="S183" s="351"/>
      <c r="T183" s="351"/>
      <c r="U183" s="351"/>
      <c r="W183" s="351"/>
      <c r="X183" s="351"/>
      <c r="Y183" s="351"/>
      <c r="Z183" s="351"/>
      <c r="AA183" s="520"/>
      <c r="AB183" s="351"/>
      <c r="AC183" s="351"/>
      <c r="AD183" s="351"/>
      <c r="AE183" s="351"/>
      <c r="AG183" s="351"/>
      <c r="AH183" s="351"/>
      <c r="AI183" s="351"/>
      <c r="AJ183" s="351"/>
      <c r="AK183" s="351"/>
      <c r="AL183" s="351"/>
      <c r="AM183" s="351"/>
      <c r="AN183" s="351"/>
      <c r="AO183" s="351"/>
      <c r="AP183" s="351"/>
      <c r="AQ183" s="351"/>
      <c r="AR183" s="351"/>
      <c r="AS183" s="351"/>
      <c r="AT183" s="351"/>
      <c r="AV183" s="521"/>
      <c r="AW183" s="530"/>
      <c r="AX183" s="530"/>
      <c r="AY183" s="9"/>
      <c r="AZ183" s="48"/>
      <c r="BA183" s="351"/>
      <c r="BB183" s="351"/>
      <c r="BC183" s="351"/>
      <c r="BD183" s="351"/>
      <c r="BE183" s="351"/>
    </row>
    <row r="184" spans="8:57" x14ac:dyDescent="0.25">
      <c r="H184" s="527"/>
      <c r="I184" s="4"/>
      <c r="J184" s="4"/>
      <c r="L184" s="4"/>
      <c r="R184" s="351"/>
      <c r="S184" s="351"/>
      <c r="T184" s="351"/>
      <c r="U184" s="351"/>
      <c r="W184" s="351"/>
      <c r="X184" s="351"/>
      <c r="Y184" s="351"/>
      <c r="Z184" s="351"/>
      <c r="AA184" s="520"/>
      <c r="AB184" s="351"/>
      <c r="AC184" s="351"/>
      <c r="AD184" s="351"/>
      <c r="AE184" s="351"/>
      <c r="AG184" s="351"/>
      <c r="AH184" s="351"/>
      <c r="AI184" s="351"/>
      <c r="AJ184" s="351"/>
      <c r="AK184" s="351"/>
      <c r="AL184" s="351"/>
      <c r="AM184" s="351"/>
      <c r="AN184" s="351"/>
      <c r="AO184" s="351"/>
      <c r="AP184" s="351"/>
      <c r="AQ184" s="351"/>
      <c r="AR184" s="351"/>
      <c r="AS184" s="351"/>
      <c r="AT184" s="351"/>
      <c r="AV184" s="521"/>
      <c r="AW184" s="530"/>
      <c r="AX184" s="530"/>
      <c r="AY184" s="9"/>
      <c r="AZ184" s="48"/>
      <c r="BA184" s="351"/>
      <c r="BB184" s="351"/>
      <c r="BC184" s="351"/>
      <c r="BD184" s="351"/>
      <c r="BE184" s="351"/>
    </row>
    <row r="185" spans="8:57" x14ac:dyDescent="0.25">
      <c r="H185" s="527"/>
      <c r="I185" s="4"/>
      <c r="J185" s="4"/>
      <c r="L185" s="4"/>
      <c r="R185" s="351"/>
      <c r="S185" s="351"/>
      <c r="T185" s="351"/>
      <c r="U185" s="351"/>
      <c r="W185" s="351"/>
      <c r="X185" s="351"/>
      <c r="Y185" s="351"/>
      <c r="Z185" s="351"/>
      <c r="AA185" s="520"/>
      <c r="AB185" s="351"/>
      <c r="AC185" s="351"/>
      <c r="AD185" s="351"/>
      <c r="AE185" s="351"/>
      <c r="AG185" s="351"/>
      <c r="AH185" s="351"/>
      <c r="AI185" s="351"/>
      <c r="AJ185" s="351"/>
      <c r="AK185" s="351"/>
      <c r="AL185" s="351"/>
      <c r="AM185" s="351"/>
      <c r="AN185" s="351"/>
      <c r="AO185" s="351"/>
      <c r="AP185" s="351"/>
      <c r="AQ185" s="351"/>
      <c r="AR185" s="351"/>
      <c r="AS185" s="351"/>
      <c r="AT185" s="351"/>
      <c r="AV185" s="521"/>
      <c r="AW185" s="530"/>
      <c r="AX185" s="530"/>
      <c r="AY185" s="9"/>
      <c r="AZ185" s="48"/>
      <c r="BA185" s="351"/>
      <c r="BB185" s="351"/>
      <c r="BC185" s="351"/>
      <c r="BD185" s="351"/>
      <c r="BE185" s="351"/>
    </row>
    <row r="186" spans="8:57" x14ac:dyDescent="0.25">
      <c r="H186" s="527"/>
      <c r="I186" s="4"/>
      <c r="J186" s="4"/>
      <c r="L186" s="4"/>
      <c r="R186" s="351"/>
      <c r="S186" s="351"/>
      <c r="T186" s="351"/>
      <c r="U186" s="351"/>
      <c r="W186" s="351"/>
      <c r="X186" s="351"/>
      <c r="Y186" s="351"/>
      <c r="Z186" s="351"/>
      <c r="AA186" s="520"/>
      <c r="AB186" s="351"/>
      <c r="AC186" s="351"/>
      <c r="AD186" s="351"/>
      <c r="AE186" s="351"/>
      <c r="AG186" s="351"/>
      <c r="AH186" s="351"/>
      <c r="AI186" s="351"/>
      <c r="AJ186" s="351"/>
      <c r="AK186" s="351"/>
      <c r="AL186" s="351"/>
      <c r="AM186" s="351"/>
      <c r="AN186" s="351"/>
      <c r="AO186" s="351"/>
      <c r="AP186" s="351"/>
      <c r="AQ186" s="351"/>
      <c r="AR186" s="351"/>
      <c r="AS186" s="351"/>
      <c r="AT186" s="351"/>
      <c r="AV186" s="521"/>
      <c r="AW186" s="530"/>
      <c r="AX186" s="530"/>
      <c r="AY186" s="9"/>
      <c r="AZ186" s="48"/>
      <c r="BA186" s="351"/>
      <c r="BB186" s="351"/>
      <c r="BC186" s="351"/>
      <c r="BD186" s="351"/>
      <c r="BE186" s="351"/>
    </row>
    <row r="187" spans="8:57" x14ac:dyDescent="0.25">
      <c r="H187" s="527"/>
      <c r="I187" s="4"/>
      <c r="J187" s="4"/>
      <c r="L187" s="4"/>
      <c r="R187" s="351"/>
      <c r="S187" s="351"/>
      <c r="T187" s="351"/>
      <c r="U187" s="351"/>
      <c r="W187" s="351"/>
      <c r="X187" s="351"/>
      <c r="Y187" s="351"/>
      <c r="Z187" s="351"/>
      <c r="AA187" s="520"/>
      <c r="AB187" s="351"/>
      <c r="AC187" s="351"/>
      <c r="AD187" s="351"/>
      <c r="AE187" s="351"/>
      <c r="AG187" s="351"/>
      <c r="AH187" s="351"/>
      <c r="AI187" s="351"/>
      <c r="AJ187" s="351"/>
      <c r="AK187" s="351"/>
      <c r="AL187" s="351"/>
      <c r="AM187" s="351"/>
      <c r="AN187" s="351"/>
      <c r="AO187" s="351"/>
      <c r="AP187" s="351"/>
      <c r="AQ187" s="351"/>
      <c r="AR187" s="351"/>
      <c r="AS187" s="351"/>
      <c r="AT187" s="351"/>
      <c r="AV187" s="521"/>
      <c r="AW187" s="530"/>
      <c r="AX187" s="530"/>
      <c r="AY187" s="9"/>
      <c r="AZ187" s="48"/>
      <c r="BA187" s="351"/>
      <c r="BB187" s="351"/>
      <c r="BC187" s="351"/>
      <c r="BD187" s="351"/>
      <c r="BE187" s="351"/>
    </row>
    <row r="188" spans="8:57" x14ac:dyDescent="0.25">
      <c r="H188" s="527"/>
      <c r="I188" s="4"/>
      <c r="J188" s="4"/>
      <c r="L188" s="4"/>
      <c r="R188" s="351"/>
      <c r="S188" s="351"/>
      <c r="T188" s="351"/>
      <c r="U188" s="351"/>
      <c r="W188" s="351"/>
      <c r="X188" s="351"/>
      <c r="Y188" s="351"/>
      <c r="Z188" s="351"/>
      <c r="AA188" s="520"/>
      <c r="AB188" s="351"/>
      <c r="AC188" s="351"/>
      <c r="AD188" s="351"/>
      <c r="AE188" s="351"/>
      <c r="AG188" s="351"/>
      <c r="AH188" s="351"/>
      <c r="AI188" s="351"/>
      <c r="AJ188" s="351"/>
      <c r="AK188" s="351"/>
      <c r="AL188" s="351"/>
      <c r="AM188" s="351"/>
      <c r="AN188" s="351"/>
      <c r="AO188" s="351"/>
      <c r="AP188" s="351"/>
      <c r="AQ188" s="351"/>
      <c r="AR188" s="351"/>
      <c r="AS188" s="351"/>
      <c r="AT188" s="351"/>
      <c r="AV188" s="521"/>
      <c r="AW188" s="530"/>
      <c r="AX188" s="530"/>
      <c r="AY188" s="9"/>
      <c r="AZ188" s="48"/>
      <c r="BA188" s="351"/>
      <c r="BB188" s="351"/>
      <c r="BC188" s="351"/>
      <c r="BD188" s="351"/>
      <c r="BE188" s="351"/>
    </row>
    <row r="189" spans="8:57" x14ac:dyDescent="0.25">
      <c r="H189" s="527"/>
      <c r="I189" s="4"/>
      <c r="J189" s="4"/>
      <c r="L189" s="4"/>
      <c r="R189" s="351"/>
      <c r="S189" s="351"/>
      <c r="T189" s="351"/>
      <c r="U189" s="351"/>
      <c r="W189" s="351"/>
      <c r="X189" s="351"/>
      <c r="Y189" s="351"/>
      <c r="Z189" s="351"/>
      <c r="AA189" s="520"/>
      <c r="AB189" s="351"/>
      <c r="AC189" s="351"/>
      <c r="AD189" s="351"/>
      <c r="AE189" s="351"/>
      <c r="AG189" s="351"/>
      <c r="AH189" s="351"/>
      <c r="AI189" s="351"/>
      <c r="AJ189" s="351"/>
      <c r="AK189" s="351"/>
      <c r="AL189" s="351"/>
      <c r="AM189" s="351"/>
      <c r="AN189" s="351"/>
      <c r="AO189" s="351"/>
      <c r="AP189" s="351"/>
      <c r="AQ189" s="351"/>
      <c r="AR189" s="351"/>
      <c r="AS189" s="351"/>
      <c r="AT189" s="351"/>
      <c r="AV189" s="521"/>
      <c r="AW189" s="530"/>
      <c r="AX189" s="530"/>
      <c r="AY189" s="9"/>
      <c r="AZ189" s="48"/>
      <c r="BA189" s="351"/>
      <c r="BB189" s="351"/>
      <c r="BC189" s="351"/>
      <c r="BD189" s="351"/>
      <c r="BE189" s="351"/>
    </row>
    <row r="190" spans="8:57" x14ac:dyDescent="0.25">
      <c r="H190" s="527"/>
      <c r="I190" s="4"/>
      <c r="J190" s="4"/>
      <c r="L190" s="4"/>
      <c r="R190" s="351"/>
      <c r="S190" s="351"/>
      <c r="T190" s="351"/>
      <c r="U190" s="351"/>
      <c r="W190" s="351"/>
      <c r="X190" s="351"/>
      <c r="Y190" s="351"/>
      <c r="Z190" s="351"/>
      <c r="AA190" s="520"/>
      <c r="AB190" s="351"/>
      <c r="AC190" s="351"/>
      <c r="AD190" s="351"/>
      <c r="AE190" s="351"/>
      <c r="AG190" s="351"/>
      <c r="AH190" s="351"/>
      <c r="AI190" s="351"/>
      <c r="AJ190" s="351"/>
      <c r="AK190" s="351"/>
      <c r="AL190" s="351"/>
      <c r="AM190" s="351"/>
      <c r="AN190" s="351"/>
      <c r="AO190" s="351"/>
      <c r="AP190" s="351"/>
      <c r="AQ190" s="351"/>
      <c r="AR190" s="351"/>
      <c r="AS190" s="351"/>
      <c r="AT190" s="351"/>
      <c r="AV190" s="521"/>
      <c r="AW190" s="530"/>
      <c r="AX190" s="530"/>
      <c r="AY190" s="9"/>
      <c r="AZ190" s="48"/>
      <c r="BA190" s="351"/>
      <c r="BB190" s="351"/>
      <c r="BC190" s="351"/>
      <c r="BD190" s="351"/>
      <c r="BE190" s="351"/>
    </row>
    <row r="191" spans="8:57" x14ac:dyDescent="0.25">
      <c r="H191" s="527"/>
      <c r="I191" s="4"/>
      <c r="J191" s="4"/>
      <c r="L191" s="4"/>
      <c r="R191" s="351"/>
      <c r="S191" s="351"/>
      <c r="T191" s="351"/>
      <c r="U191" s="351"/>
      <c r="W191" s="351"/>
      <c r="X191" s="351"/>
      <c r="Y191" s="351"/>
      <c r="Z191" s="351"/>
      <c r="AA191" s="520"/>
      <c r="AB191" s="351"/>
      <c r="AC191" s="351"/>
      <c r="AD191" s="351"/>
      <c r="AE191" s="351"/>
      <c r="AG191" s="351"/>
      <c r="AH191" s="351"/>
      <c r="AI191" s="351"/>
      <c r="AJ191" s="351"/>
      <c r="AK191" s="351"/>
      <c r="AL191" s="351"/>
      <c r="AM191" s="351"/>
      <c r="AN191" s="351"/>
      <c r="AO191" s="351"/>
      <c r="AP191" s="351"/>
      <c r="AQ191" s="351"/>
      <c r="AR191" s="351"/>
      <c r="AS191" s="351"/>
      <c r="AT191" s="351"/>
      <c r="AV191" s="521"/>
      <c r="AW191" s="530"/>
      <c r="AX191" s="530"/>
      <c r="AY191" s="9"/>
      <c r="AZ191" s="48"/>
      <c r="BA191" s="351"/>
      <c r="BB191" s="351"/>
      <c r="BC191" s="351"/>
      <c r="BD191" s="351"/>
      <c r="BE191" s="351"/>
    </row>
    <row r="192" spans="8:57" x14ac:dyDescent="0.25">
      <c r="H192" s="527"/>
      <c r="I192" s="4"/>
      <c r="J192" s="4"/>
      <c r="L192" s="4"/>
      <c r="R192" s="351"/>
      <c r="S192" s="351"/>
      <c r="T192" s="351"/>
      <c r="U192" s="351"/>
      <c r="W192" s="351"/>
      <c r="X192" s="351"/>
      <c r="Y192" s="351"/>
      <c r="Z192" s="351"/>
      <c r="AA192" s="520"/>
      <c r="AB192" s="351"/>
      <c r="AC192" s="351"/>
      <c r="AD192" s="351"/>
      <c r="AE192" s="351"/>
      <c r="AG192" s="351"/>
      <c r="AH192" s="351"/>
      <c r="AI192" s="351"/>
      <c r="AJ192" s="351"/>
      <c r="AK192" s="351"/>
      <c r="AL192" s="351"/>
      <c r="AM192" s="351"/>
      <c r="AN192" s="351"/>
      <c r="AO192" s="351"/>
      <c r="AP192" s="351"/>
      <c r="AQ192" s="351"/>
      <c r="AR192" s="351"/>
      <c r="AS192" s="351"/>
      <c r="AT192" s="351"/>
      <c r="AV192" s="521"/>
      <c r="AW192" s="530"/>
      <c r="AX192" s="530"/>
      <c r="AY192" s="9"/>
      <c r="AZ192" s="48"/>
      <c r="BA192" s="351"/>
      <c r="BB192" s="351"/>
      <c r="BC192" s="351"/>
      <c r="BD192" s="351"/>
      <c r="BE192" s="351"/>
    </row>
    <row r="193" spans="8:57" x14ac:dyDescent="0.25">
      <c r="H193" s="527"/>
      <c r="I193" s="4"/>
      <c r="J193" s="4"/>
      <c r="L193" s="4"/>
      <c r="R193" s="351"/>
      <c r="S193" s="351"/>
      <c r="T193" s="351"/>
      <c r="U193" s="351"/>
      <c r="W193" s="351"/>
      <c r="X193" s="351"/>
      <c r="Y193" s="351"/>
      <c r="Z193" s="351"/>
      <c r="AA193" s="520"/>
      <c r="AB193" s="351"/>
      <c r="AC193" s="351"/>
      <c r="AD193" s="351"/>
      <c r="AE193" s="351"/>
      <c r="AG193" s="351"/>
      <c r="AH193" s="351"/>
      <c r="AI193" s="351"/>
      <c r="AJ193" s="351"/>
      <c r="AK193" s="351"/>
      <c r="AL193" s="351"/>
      <c r="AM193" s="351"/>
      <c r="AN193" s="351"/>
      <c r="AO193" s="351"/>
      <c r="AP193" s="351"/>
      <c r="AQ193" s="351"/>
      <c r="AR193" s="351"/>
      <c r="AS193" s="351"/>
      <c r="AT193" s="351"/>
      <c r="AV193" s="521"/>
      <c r="AW193" s="530"/>
      <c r="AX193" s="530"/>
      <c r="AY193" s="9"/>
      <c r="AZ193" s="48"/>
      <c r="BA193" s="351"/>
      <c r="BB193" s="351"/>
      <c r="BC193" s="351"/>
      <c r="BD193" s="351"/>
      <c r="BE193" s="351"/>
    </row>
    <row r="194" spans="8:57" x14ac:dyDescent="0.25">
      <c r="H194" s="527"/>
      <c r="I194" s="4"/>
      <c r="J194" s="4"/>
      <c r="L194" s="4"/>
      <c r="R194" s="351"/>
      <c r="S194" s="351"/>
      <c r="T194" s="351"/>
      <c r="U194" s="351"/>
      <c r="W194" s="351"/>
      <c r="X194" s="351"/>
      <c r="Y194" s="351"/>
      <c r="Z194" s="351"/>
      <c r="AA194" s="520"/>
      <c r="AB194" s="351"/>
      <c r="AC194" s="351"/>
      <c r="AD194" s="351"/>
      <c r="AE194" s="351"/>
      <c r="AG194" s="351"/>
      <c r="AH194" s="351"/>
      <c r="AI194" s="351"/>
      <c r="AJ194" s="351"/>
      <c r="AK194" s="351"/>
      <c r="AL194" s="351"/>
      <c r="AM194" s="351"/>
      <c r="AN194" s="351"/>
      <c r="AO194" s="351"/>
      <c r="AP194" s="351"/>
      <c r="AQ194" s="351"/>
      <c r="AR194" s="351"/>
      <c r="AS194" s="351"/>
      <c r="AT194" s="351"/>
      <c r="AV194" s="521"/>
      <c r="AW194" s="530"/>
      <c r="AX194" s="530"/>
      <c r="AY194" s="9"/>
      <c r="AZ194" s="48"/>
      <c r="BA194" s="351"/>
      <c r="BB194" s="351"/>
      <c r="BC194" s="351"/>
      <c r="BD194" s="351"/>
      <c r="BE194" s="351"/>
    </row>
    <row r="195" spans="8:57" x14ac:dyDescent="0.25">
      <c r="H195" s="527"/>
      <c r="I195" s="4"/>
      <c r="J195" s="4"/>
      <c r="L195" s="4"/>
      <c r="R195" s="351"/>
      <c r="S195" s="351"/>
      <c r="T195" s="351"/>
      <c r="U195" s="351"/>
      <c r="W195" s="351"/>
      <c r="X195" s="351"/>
      <c r="Y195" s="351"/>
      <c r="Z195" s="351"/>
      <c r="AA195" s="520"/>
      <c r="AB195" s="351"/>
      <c r="AC195" s="351"/>
      <c r="AD195" s="351"/>
      <c r="AE195" s="351"/>
      <c r="AG195" s="351"/>
      <c r="AH195" s="351"/>
      <c r="AI195" s="351"/>
      <c r="AJ195" s="351"/>
      <c r="AK195" s="351"/>
      <c r="AL195" s="351"/>
      <c r="AM195" s="351"/>
      <c r="AN195" s="351"/>
      <c r="AO195" s="351"/>
      <c r="AP195" s="351"/>
      <c r="AQ195" s="351"/>
      <c r="AR195" s="351"/>
      <c r="AS195" s="351"/>
      <c r="AT195" s="351"/>
      <c r="AV195" s="521"/>
      <c r="AW195" s="530"/>
      <c r="AX195" s="530"/>
      <c r="AY195" s="9"/>
      <c r="AZ195" s="48"/>
      <c r="BA195" s="351"/>
      <c r="BB195" s="351"/>
      <c r="BC195" s="351"/>
      <c r="BD195" s="351"/>
      <c r="BE195" s="351"/>
    </row>
    <row r="196" spans="8:57" x14ac:dyDescent="0.25">
      <c r="H196" s="527"/>
      <c r="I196" s="4"/>
      <c r="J196" s="4"/>
      <c r="L196" s="4"/>
      <c r="R196" s="351"/>
      <c r="S196" s="351"/>
      <c r="T196" s="351"/>
      <c r="U196" s="351"/>
      <c r="W196" s="351"/>
      <c r="X196" s="351"/>
      <c r="Y196" s="351"/>
      <c r="Z196" s="351"/>
      <c r="AA196" s="520"/>
      <c r="AB196" s="351"/>
      <c r="AC196" s="351"/>
      <c r="AD196" s="351"/>
      <c r="AE196" s="351"/>
      <c r="AG196" s="351"/>
      <c r="AH196" s="351"/>
      <c r="AI196" s="351"/>
      <c r="AJ196" s="351"/>
      <c r="AK196" s="351"/>
      <c r="AL196" s="351"/>
      <c r="AM196" s="351"/>
      <c r="AN196" s="351"/>
      <c r="AO196" s="351"/>
      <c r="AP196" s="351"/>
      <c r="AQ196" s="351"/>
      <c r="AR196" s="351"/>
      <c r="AS196" s="351"/>
      <c r="AT196" s="351"/>
      <c r="AV196" s="521"/>
      <c r="AW196" s="530"/>
      <c r="AX196" s="530"/>
      <c r="AY196" s="9"/>
      <c r="AZ196" s="48"/>
      <c r="BA196" s="351"/>
      <c r="BB196" s="351"/>
      <c r="BC196" s="351"/>
      <c r="BD196" s="351"/>
      <c r="BE196" s="351"/>
    </row>
    <row r="197" spans="8:57" x14ac:dyDescent="0.25">
      <c r="H197" s="527"/>
      <c r="I197" s="4"/>
      <c r="J197" s="4"/>
      <c r="L197" s="4"/>
      <c r="R197" s="351"/>
      <c r="S197" s="351"/>
      <c r="T197" s="351"/>
      <c r="U197" s="351"/>
      <c r="W197" s="351"/>
      <c r="X197" s="351"/>
      <c r="Y197" s="351"/>
      <c r="Z197" s="351"/>
      <c r="AA197" s="520"/>
      <c r="AB197" s="351"/>
      <c r="AC197" s="351"/>
      <c r="AD197" s="351"/>
      <c r="AE197" s="351"/>
      <c r="AG197" s="351"/>
      <c r="AH197" s="351"/>
      <c r="AI197" s="351"/>
      <c r="AJ197" s="351"/>
      <c r="AK197" s="351"/>
      <c r="AL197" s="351"/>
      <c r="AM197" s="351"/>
      <c r="AN197" s="351"/>
      <c r="AO197" s="351"/>
      <c r="AP197" s="351"/>
      <c r="AQ197" s="351"/>
      <c r="AR197" s="351"/>
      <c r="AS197" s="351"/>
      <c r="AT197" s="351"/>
      <c r="AV197" s="521"/>
      <c r="AW197" s="530"/>
      <c r="AX197" s="530"/>
      <c r="AY197" s="9"/>
      <c r="AZ197" s="48"/>
      <c r="BA197" s="351"/>
      <c r="BB197" s="351"/>
      <c r="BC197" s="351"/>
      <c r="BD197" s="351"/>
      <c r="BE197" s="351"/>
    </row>
    <row r="198" spans="8:57" x14ac:dyDescent="0.25">
      <c r="H198" s="527"/>
      <c r="I198" s="4"/>
      <c r="J198" s="4"/>
      <c r="L198" s="4"/>
      <c r="R198" s="351"/>
      <c r="S198" s="351"/>
      <c r="T198" s="351"/>
      <c r="U198" s="351"/>
      <c r="W198" s="351"/>
      <c r="X198" s="351"/>
      <c r="Y198" s="351"/>
      <c r="Z198" s="351"/>
      <c r="AA198" s="520"/>
      <c r="AB198" s="351"/>
      <c r="AC198" s="351"/>
      <c r="AD198" s="351"/>
      <c r="AE198" s="351"/>
      <c r="AG198" s="351"/>
      <c r="AH198" s="351"/>
      <c r="AI198" s="351"/>
      <c r="AJ198" s="351"/>
      <c r="AK198" s="351"/>
      <c r="AL198" s="351"/>
      <c r="AM198" s="351"/>
      <c r="AN198" s="351"/>
      <c r="AO198" s="351"/>
      <c r="AP198" s="351"/>
      <c r="AQ198" s="351"/>
      <c r="AR198" s="351"/>
      <c r="AS198" s="351"/>
      <c r="AT198" s="351"/>
      <c r="AV198" s="521"/>
      <c r="AW198" s="530"/>
      <c r="AX198" s="530"/>
      <c r="AY198" s="9"/>
      <c r="AZ198" s="48"/>
      <c r="BA198" s="351"/>
      <c r="BB198" s="351"/>
      <c r="BC198" s="351"/>
      <c r="BD198" s="351"/>
      <c r="BE198" s="351"/>
    </row>
    <row r="199" spans="8:57" x14ac:dyDescent="0.25">
      <c r="H199" s="527"/>
      <c r="I199" s="4"/>
      <c r="J199" s="4"/>
      <c r="L199" s="4"/>
      <c r="R199" s="351"/>
      <c r="S199" s="351"/>
      <c r="T199" s="351"/>
      <c r="U199" s="351"/>
      <c r="W199" s="351"/>
      <c r="X199" s="351"/>
      <c r="Y199" s="351"/>
      <c r="Z199" s="351"/>
      <c r="AA199" s="520"/>
      <c r="AB199" s="351"/>
      <c r="AC199" s="351"/>
      <c r="AD199" s="351"/>
      <c r="AE199" s="351"/>
      <c r="AG199" s="351"/>
      <c r="AH199" s="351"/>
      <c r="AI199" s="351"/>
      <c r="AJ199" s="351"/>
      <c r="AK199" s="351"/>
      <c r="AL199" s="351"/>
      <c r="AM199" s="351"/>
      <c r="AN199" s="351"/>
      <c r="AO199" s="351"/>
      <c r="AP199" s="351"/>
      <c r="AQ199" s="351"/>
      <c r="AR199" s="351"/>
      <c r="AS199" s="351"/>
      <c r="AT199" s="351"/>
      <c r="AV199" s="521"/>
      <c r="AW199" s="530"/>
      <c r="AX199" s="530"/>
      <c r="AY199" s="9"/>
      <c r="AZ199" s="48"/>
      <c r="BA199" s="351"/>
      <c r="BB199" s="351"/>
      <c r="BC199" s="351"/>
      <c r="BD199" s="351"/>
      <c r="BE199" s="351"/>
    </row>
    <row r="200" spans="8:57" x14ac:dyDescent="0.25">
      <c r="H200" s="527"/>
      <c r="I200" s="4"/>
      <c r="J200" s="4"/>
      <c r="L200" s="4"/>
      <c r="R200" s="351"/>
      <c r="S200" s="351"/>
      <c r="T200" s="351"/>
      <c r="U200" s="351"/>
      <c r="W200" s="351"/>
      <c r="X200" s="351"/>
      <c r="Y200" s="351"/>
      <c r="Z200" s="351"/>
      <c r="AA200" s="520"/>
      <c r="AB200" s="351"/>
      <c r="AC200" s="351"/>
      <c r="AD200" s="351"/>
      <c r="AE200" s="351"/>
      <c r="AG200" s="351"/>
      <c r="AH200" s="351"/>
      <c r="AI200" s="351"/>
      <c r="AJ200" s="351"/>
      <c r="AK200" s="351"/>
      <c r="AL200" s="351"/>
      <c r="AM200" s="351"/>
      <c r="AN200" s="351"/>
      <c r="AO200" s="351"/>
      <c r="AP200" s="351"/>
      <c r="AQ200" s="351"/>
      <c r="AR200" s="351"/>
      <c r="AS200" s="351"/>
      <c r="AT200" s="351"/>
      <c r="AV200" s="521"/>
      <c r="AW200" s="530"/>
      <c r="AX200" s="530"/>
      <c r="AY200" s="9"/>
      <c r="AZ200" s="48"/>
      <c r="BA200" s="351"/>
      <c r="BB200" s="351"/>
      <c r="BC200" s="351"/>
      <c r="BD200" s="351"/>
      <c r="BE200" s="351"/>
    </row>
    <row r="201" spans="8:57" x14ac:dyDescent="0.25">
      <c r="H201" s="527"/>
      <c r="I201" s="4"/>
      <c r="J201" s="4"/>
      <c r="L201" s="4"/>
      <c r="R201" s="351"/>
      <c r="S201" s="351"/>
      <c r="T201" s="351"/>
      <c r="U201" s="351"/>
      <c r="W201" s="351"/>
      <c r="X201" s="351"/>
      <c r="Y201" s="351"/>
      <c r="Z201" s="351"/>
      <c r="AA201" s="520"/>
      <c r="AB201" s="351"/>
      <c r="AC201" s="351"/>
      <c r="AD201" s="351"/>
      <c r="AE201" s="351"/>
      <c r="AG201" s="351"/>
      <c r="AH201" s="351"/>
      <c r="AI201" s="351"/>
      <c r="AJ201" s="351"/>
      <c r="AK201" s="351"/>
      <c r="AL201" s="351"/>
      <c r="AM201" s="351"/>
      <c r="AN201" s="351"/>
      <c r="AO201" s="351"/>
      <c r="AP201" s="351"/>
      <c r="AQ201" s="351"/>
      <c r="AR201" s="351"/>
      <c r="AS201" s="351"/>
      <c r="AT201" s="351"/>
      <c r="AV201" s="521"/>
      <c r="AW201" s="530"/>
      <c r="AX201" s="530"/>
      <c r="AY201" s="9"/>
      <c r="AZ201" s="48"/>
      <c r="BA201" s="351"/>
      <c r="BB201" s="351"/>
      <c r="BC201" s="351"/>
      <c r="BD201" s="351"/>
      <c r="BE201" s="351"/>
    </row>
    <row r="202" spans="8:57" x14ac:dyDescent="0.25">
      <c r="H202" s="527"/>
      <c r="I202" s="4"/>
      <c r="J202" s="4"/>
      <c r="L202" s="4"/>
      <c r="R202" s="351"/>
      <c r="S202" s="351"/>
      <c r="T202" s="351"/>
      <c r="U202" s="351"/>
      <c r="W202" s="351"/>
      <c r="X202" s="351"/>
      <c r="Y202" s="351"/>
      <c r="Z202" s="351"/>
      <c r="AA202" s="520"/>
      <c r="AB202" s="351"/>
      <c r="AC202" s="351"/>
      <c r="AD202" s="351"/>
      <c r="AE202" s="351"/>
      <c r="AG202" s="351"/>
      <c r="AH202" s="351"/>
      <c r="AI202" s="351"/>
      <c r="AJ202" s="351"/>
      <c r="AK202" s="351"/>
      <c r="AL202" s="351"/>
      <c r="AM202" s="351"/>
      <c r="AN202" s="351"/>
      <c r="AO202" s="351"/>
      <c r="AP202" s="351"/>
      <c r="AQ202" s="351"/>
      <c r="AR202" s="351"/>
      <c r="AS202" s="351"/>
      <c r="AT202" s="351"/>
      <c r="AV202" s="521"/>
      <c r="AW202" s="530"/>
      <c r="AX202" s="530"/>
      <c r="AY202" s="9"/>
      <c r="AZ202" s="48"/>
      <c r="BA202" s="351"/>
      <c r="BB202" s="351"/>
      <c r="BC202" s="351"/>
      <c r="BD202" s="351"/>
      <c r="BE202" s="351"/>
    </row>
    <row r="203" spans="8:57" x14ac:dyDescent="0.25">
      <c r="H203" s="527"/>
      <c r="I203" s="4"/>
      <c r="J203" s="4"/>
      <c r="L203" s="4"/>
      <c r="R203" s="351"/>
      <c r="S203" s="351"/>
      <c r="T203" s="351"/>
      <c r="U203" s="351"/>
      <c r="W203" s="351"/>
      <c r="X203" s="351"/>
      <c r="Y203" s="351"/>
      <c r="Z203" s="351"/>
      <c r="AA203" s="520"/>
      <c r="AB203" s="351"/>
      <c r="AC203" s="351"/>
      <c r="AD203" s="351"/>
      <c r="AE203" s="351"/>
      <c r="AG203" s="351"/>
      <c r="AH203" s="351"/>
      <c r="AI203" s="351"/>
      <c r="AJ203" s="351"/>
      <c r="AK203" s="351"/>
      <c r="AL203" s="351"/>
      <c r="AM203" s="351"/>
      <c r="AN203" s="351"/>
      <c r="AO203" s="351"/>
      <c r="AP203" s="351"/>
      <c r="AQ203" s="351"/>
      <c r="AR203" s="351"/>
      <c r="AS203" s="351"/>
      <c r="AT203" s="351"/>
      <c r="AV203" s="521"/>
      <c r="AW203" s="530"/>
      <c r="AX203" s="530"/>
      <c r="AY203" s="9"/>
      <c r="AZ203" s="48"/>
      <c r="BA203" s="351"/>
      <c r="BB203" s="351"/>
      <c r="BC203" s="351"/>
      <c r="BD203" s="351"/>
      <c r="BE203" s="351"/>
    </row>
    <row r="204" spans="8:57" x14ac:dyDescent="0.25">
      <c r="H204" s="527"/>
      <c r="I204" s="4"/>
      <c r="J204" s="4"/>
      <c r="L204" s="4"/>
      <c r="R204" s="351"/>
      <c r="S204" s="351"/>
      <c r="T204" s="351"/>
      <c r="U204" s="351"/>
      <c r="W204" s="351"/>
      <c r="X204" s="351"/>
      <c r="Y204" s="351"/>
      <c r="Z204" s="351"/>
      <c r="AA204" s="520"/>
      <c r="AB204" s="351"/>
      <c r="AC204" s="351"/>
      <c r="AD204" s="351"/>
      <c r="AE204" s="351"/>
      <c r="AG204" s="351"/>
      <c r="AH204" s="351"/>
      <c r="AI204" s="351"/>
      <c r="AJ204" s="351"/>
      <c r="AK204" s="351"/>
      <c r="AL204" s="351"/>
      <c r="AM204" s="351"/>
      <c r="AN204" s="351"/>
      <c r="AO204" s="351"/>
      <c r="AP204" s="351"/>
      <c r="AQ204" s="351"/>
      <c r="AR204" s="351"/>
      <c r="AS204" s="351"/>
      <c r="AT204" s="351"/>
      <c r="AV204" s="521"/>
      <c r="AW204" s="530"/>
      <c r="AX204" s="530"/>
      <c r="AY204" s="9"/>
      <c r="AZ204" s="48"/>
      <c r="BA204" s="351"/>
      <c r="BB204" s="351"/>
      <c r="BC204" s="351"/>
      <c r="BD204" s="351"/>
      <c r="BE204" s="351"/>
    </row>
    <row r="205" spans="8:57" x14ac:dyDescent="0.25">
      <c r="H205" s="527"/>
      <c r="I205" s="4"/>
      <c r="J205" s="4"/>
      <c r="L205" s="4"/>
      <c r="R205" s="351"/>
      <c r="S205" s="351"/>
      <c r="T205" s="351"/>
      <c r="U205" s="351"/>
      <c r="W205" s="351"/>
      <c r="X205" s="351"/>
      <c r="Y205" s="351"/>
      <c r="Z205" s="351"/>
      <c r="AA205" s="520"/>
      <c r="AB205" s="351"/>
      <c r="AC205" s="351"/>
      <c r="AD205" s="351"/>
      <c r="AE205" s="351"/>
      <c r="AG205" s="351"/>
      <c r="AH205" s="351"/>
      <c r="AI205" s="351"/>
      <c r="AJ205" s="351"/>
      <c r="AK205" s="351"/>
      <c r="AL205" s="351"/>
      <c r="AM205" s="351"/>
      <c r="AN205" s="351"/>
      <c r="AO205" s="351"/>
      <c r="AP205" s="351"/>
      <c r="AQ205" s="351"/>
      <c r="AR205" s="351"/>
      <c r="AS205" s="351"/>
      <c r="AT205" s="351"/>
      <c r="AV205" s="521"/>
      <c r="AW205" s="530"/>
      <c r="AX205" s="530"/>
      <c r="AY205" s="9"/>
      <c r="AZ205" s="48"/>
      <c r="BA205" s="351"/>
      <c r="BB205" s="351"/>
      <c r="BC205" s="351"/>
      <c r="BD205" s="351"/>
      <c r="BE205" s="351"/>
    </row>
    <row r="206" spans="8:57" x14ac:dyDescent="0.25">
      <c r="H206" s="527"/>
      <c r="I206" s="4"/>
      <c r="J206" s="4"/>
      <c r="L206" s="4"/>
      <c r="R206" s="351"/>
      <c r="S206" s="351"/>
      <c r="T206" s="351"/>
      <c r="U206" s="351"/>
      <c r="W206" s="351"/>
      <c r="X206" s="351"/>
      <c r="Y206" s="351"/>
      <c r="Z206" s="351"/>
      <c r="AA206" s="520"/>
      <c r="AB206" s="351"/>
      <c r="AC206" s="351"/>
      <c r="AD206" s="351"/>
      <c r="AE206" s="351"/>
      <c r="AG206" s="351"/>
      <c r="AH206" s="351"/>
      <c r="AI206" s="351"/>
      <c r="AJ206" s="351"/>
      <c r="AK206" s="351"/>
      <c r="AL206" s="351"/>
      <c r="AM206" s="351"/>
      <c r="AN206" s="351"/>
      <c r="AO206" s="351"/>
      <c r="AP206" s="351"/>
      <c r="AQ206" s="351"/>
      <c r="AR206" s="351"/>
      <c r="AS206" s="351"/>
      <c r="AT206" s="351"/>
      <c r="AV206" s="521"/>
      <c r="AW206" s="530"/>
      <c r="AX206" s="530"/>
      <c r="AY206" s="9"/>
      <c r="AZ206" s="48"/>
      <c r="BA206" s="351"/>
      <c r="BB206" s="351"/>
      <c r="BC206" s="351"/>
      <c r="BD206" s="351"/>
      <c r="BE206" s="351"/>
    </row>
    <row r="207" spans="8:57" x14ac:dyDescent="0.25">
      <c r="H207" s="527"/>
      <c r="I207" s="4"/>
      <c r="J207" s="4"/>
      <c r="L207" s="4"/>
      <c r="R207" s="351"/>
      <c r="S207" s="351"/>
      <c r="T207" s="351"/>
      <c r="U207" s="351"/>
      <c r="W207" s="351"/>
      <c r="X207" s="351"/>
      <c r="Y207" s="351"/>
      <c r="Z207" s="351"/>
      <c r="AA207" s="520"/>
      <c r="AB207" s="351"/>
      <c r="AC207" s="351"/>
      <c r="AD207" s="351"/>
      <c r="AE207" s="351"/>
      <c r="AG207" s="351"/>
      <c r="AH207" s="351"/>
      <c r="AI207" s="351"/>
      <c r="AJ207" s="351"/>
      <c r="AK207" s="351"/>
      <c r="AL207" s="351"/>
      <c r="AM207" s="351"/>
      <c r="AN207" s="351"/>
      <c r="AO207" s="351"/>
      <c r="AP207" s="351"/>
      <c r="AQ207" s="351"/>
      <c r="AR207" s="351"/>
      <c r="AS207" s="351"/>
      <c r="AT207" s="351"/>
      <c r="AV207" s="521"/>
      <c r="AW207" s="530"/>
      <c r="AX207" s="530"/>
      <c r="AY207" s="9"/>
      <c r="AZ207" s="48"/>
      <c r="BA207" s="351"/>
      <c r="BB207" s="351"/>
      <c r="BC207" s="351"/>
      <c r="BD207" s="351"/>
      <c r="BE207" s="351"/>
    </row>
    <row r="208" spans="8:57" x14ac:dyDescent="0.25">
      <c r="H208" s="527"/>
      <c r="I208" s="4"/>
      <c r="J208" s="4"/>
      <c r="L208" s="4"/>
      <c r="R208" s="351"/>
      <c r="S208" s="351"/>
      <c r="T208" s="351"/>
      <c r="U208" s="351"/>
      <c r="W208" s="351"/>
      <c r="X208" s="351"/>
      <c r="Y208" s="351"/>
      <c r="Z208" s="351"/>
      <c r="AA208" s="520"/>
      <c r="AB208" s="351"/>
      <c r="AC208" s="351"/>
      <c r="AD208" s="351"/>
      <c r="AE208" s="351"/>
      <c r="AG208" s="351"/>
      <c r="AH208" s="351"/>
      <c r="AI208" s="351"/>
      <c r="AJ208" s="351"/>
      <c r="AK208" s="351"/>
      <c r="AL208" s="351"/>
      <c r="AM208" s="351"/>
      <c r="AN208" s="351"/>
      <c r="AO208" s="351"/>
      <c r="AP208" s="351"/>
      <c r="AQ208" s="351"/>
      <c r="AR208" s="351"/>
      <c r="AS208" s="351"/>
      <c r="AT208" s="351"/>
      <c r="AV208" s="521"/>
      <c r="AW208" s="530"/>
      <c r="AX208" s="530"/>
      <c r="AY208" s="9"/>
      <c r="AZ208" s="48"/>
      <c r="BA208" s="351"/>
      <c r="BB208" s="351"/>
      <c r="BC208" s="351"/>
      <c r="BD208" s="351"/>
      <c r="BE208" s="351"/>
    </row>
    <row r="209" spans="8:57" x14ac:dyDescent="0.25">
      <c r="H209" s="527"/>
      <c r="I209" s="4"/>
      <c r="J209" s="4"/>
      <c r="L209" s="4"/>
      <c r="R209" s="351"/>
      <c r="S209" s="351"/>
      <c r="T209" s="351"/>
      <c r="U209" s="351"/>
      <c r="W209" s="351"/>
      <c r="X209" s="351"/>
      <c r="Y209" s="351"/>
      <c r="Z209" s="351"/>
      <c r="AA209" s="520"/>
      <c r="AB209" s="351"/>
      <c r="AC209" s="351"/>
      <c r="AD209" s="351"/>
      <c r="AE209" s="351"/>
      <c r="AG209" s="351"/>
      <c r="AH209" s="351"/>
      <c r="AI209" s="351"/>
      <c r="AJ209" s="351"/>
      <c r="AK209" s="351"/>
      <c r="AL209" s="351"/>
      <c r="AM209" s="351"/>
      <c r="AN209" s="351"/>
      <c r="AO209" s="351"/>
      <c r="AP209" s="351"/>
      <c r="AQ209" s="351"/>
      <c r="AR209" s="351"/>
      <c r="AS209" s="351"/>
      <c r="AT209" s="351"/>
      <c r="AV209" s="521"/>
      <c r="AW209" s="530"/>
      <c r="AX209" s="530"/>
      <c r="AY209" s="9"/>
      <c r="AZ209" s="48"/>
      <c r="BA209" s="351"/>
      <c r="BB209" s="351"/>
      <c r="BC209" s="351"/>
      <c r="BD209" s="351"/>
      <c r="BE209" s="351"/>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honeticPr fontId="91"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zoomScaleNormal="100" workbookViewId="0">
      <pane ySplit="8" topLeftCell="A66" activePane="bottomLeft" state="frozen"/>
      <selection activeCell="F1" sqref="F1"/>
      <selection pane="bottomLeft" activeCell="B73" sqref="B73"/>
    </sheetView>
  </sheetViews>
  <sheetFormatPr defaultRowHeight="13.2" x14ac:dyDescent="0.25"/>
  <cols>
    <col min="1" max="1" width="19.88671875" customWidth="1"/>
    <col min="2" max="2" width="13.109375" bestFit="1" customWidth="1"/>
    <col min="4" max="4" width="74.5546875" customWidth="1"/>
    <col min="6" max="6" width="9.109375" customWidth="1"/>
    <col min="7" max="7" width="6.88671875" customWidth="1"/>
    <col min="8" max="8" width="9.109375" style="526"/>
    <col min="9" max="9" width="9.88671875" customWidth="1"/>
    <col min="10" max="10" width="8.109375" customWidth="1"/>
    <col min="11" max="12" width="7.44140625" customWidth="1"/>
    <col min="13" max="13" width="10.6640625" style="351" customWidth="1"/>
    <col min="14" max="16" width="8.88671875" style="4" customWidth="1"/>
    <col min="17" max="17" width="11" style="4" customWidth="1"/>
    <col min="18" max="18" width="8" style="4" customWidth="1"/>
    <col min="19" max="19" width="9.44140625" style="302" customWidth="1"/>
    <col min="20" max="20" width="8" customWidth="1"/>
    <col min="21" max="21" width="9.33203125" customWidth="1"/>
    <col min="22" max="22" width="8.88671875" style="4" customWidth="1"/>
    <col min="23" max="23" width="9.88671875" customWidth="1"/>
    <col min="24" max="24" width="10.6640625" customWidth="1"/>
    <col min="25" max="25" width="9.6640625" style="302" customWidth="1"/>
    <col min="26" max="26" width="10.5546875" customWidth="1"/>
    <col min="28" max="29" width="8.5546875" customWidth="1"/>
    <col min="30" max="30" width="10" customWidth="1"/>
    <col min="31" max="31" width="12.33203125" customWidth="1"/>
    <col min="32" max="32" width="8" customWidth="1"/>
    <col min="33" max="33" width="9.88671875" customWidth="1"/>
    <col min="34" max="35" width="8.88671875" customWidth="1"/>
    <col min="36" max="36" width="10.5546875" customWidth="1"/>
    <col min="37" max="37" width="10.33203125" customWidth="1"/>
    <col min="38" max="38" width="13.6640625" customWidth="1"/>
    <col min="39" max="39" width="12" style="302" customWidth="1"/>
    <col min="40" max="40" width="11.5546875" customWidth="1"/>
    <col min="41" max="41" width="9.33203125" customWidth="1"/>
    <col min="42" max="44" width="10.44140625" customWidth="1"/>
    <col min="46" max="46" width="8.44140625" style="4" customWidth="1"/>
    <col min="47" max="47" width="7.33203125" customWidth="1"/>
    <col min="48" max="48" width="10.109375" style="9" customWidth="1"/>
    <col min="49" max="49" width="12.44140625" style="370" customWidth="1"/>
    <col min="50" max="50" width="11.44140625" style="370" customWidth="1"/>
    <col min="51" max="51" width="3.33203125" customWidth="1"/>
    <col min="52" max="52" width="7.88671875" style="351" customWidth="1"/>
    <col min="53" max="53" width="9.109375" style="302"/>
    <col min="54" max="54" width="10.33203125" style="302" customWidth="1"/>
    <col min="55" max="55" width="12.109375" style="302" customWidth="1"/>
    <col min="56" max="56" width="8.88671875" style="302" customWidth="1"/>
    <col min="57" max="57" width="7.88671875" customWidth="1"/>
    <col min="61" max="61" width="28.44140625" customWidth="1"/>
    <col min="64" max="64" width="12.44140625" bestFit="1" customWidth="1"/>
  </cols>
  <sheetData>
    <row r="1" spans="1:65" ht="12.75" customHeight="1" x14ac:dyDescent="0.25">
      <c r="A1" s="769" t="s">
        <v>719</v>
      </c>
      <c r="B1" s="769"/>
      <c r="C1" s="769"/>
      <c r="D1" s="769"/>
    </row>
    <row r="2" spans="1:65" ht="12.75" customHeight="1" x14ac:dyDescent="0.25">
      <c r="A2" s="769"/>
      <c r="B2" s="769"/>
      <c r="C2" s="769"/>
      <c r="D2" s="769"/>
      <c r="H2" s="531">
        <f>AV19</f>
        <v>0.68437098748812009</v>
      </c>
      <c r="I2" s="112" t="s">
        <v>584</v>
      </c>
      <c r="AK2" s="112"/>
    </row>
    <row r="3" spans="1:65" ht="12.75" customHeight="1" x14ac:dyDescent="0.25">
      <c r="A3" s="769"/>
      <c r="B3" s="769"/>
      <c r="C3" s="769"/>
      <c r="D3" s="769"/>
      <c r="H3" s="531">
        <f>AV59</f>
        <v>0.85332597083723793</v>
      </c>
      <c r="I3" s="112" t="s">
        <v>586</v>
      </c>
      <c r="AK3" s="112"/>
    </row>
    <row r="4" spans="1:65" ht="12.75" customHeight="1" x14ac:dyDescent="0.25">
      <c r="A4" s="769"/>
      <c r="B4" s="769"/>
      <c r="C4" s="769"/>
      <c r="D4" s="769"/>
      <c r="H4" s="531">
        <f>AV109</f>
        <v>0.87857394529895483</v>
      </c>
      <c r="I4" s="112" t="s">
        <v>585</v>
      </c>
      <c r="AK4" s="112"/>
      <c r="AM4" s="302">
        <f>QrrSky_Q4</f>
        <v>0</v>
      </c>
    </row>
    <row r="5" spans="1:65" x14ac:dyDescent="0.25">
      <c r="A5" s="10"/>
      <c r="B5" s="11"/>
      <c r="C5" s="6"/>
      <c r="D5" s="6"/>
    </row>
    <row r="6" spans="1:65" ht="13.5" customHeight="1" thickBot="1" x14ac:dyDescent="0.3">
      <c r="A6" s="770" t="s">
        <v>462</v>
      </c>
      <c r="B6" s="770"/>
      <c r="C6" s="770"/>
      <c r="D6" s="770"/>
    </row>
    <row r="7" spans="1:65" ht="13.8" thickBot="1" x14ac:dyDescent="0.3">
      <c r="A7" s="770"/>
      <c r="B7" s="770"/>
      <c r="C7" s="770"/>
      <c r="D7" s="770"/>
      <c r="G7" s="766" t="s">
        <v>577</v>
      </c>
      <c r="H7" s="767"/>
      <c r="I7" s="767"/>
      <c r="J7" s="767"/>
      <c r="K7" s="767"/>
      <c r="L7" s="779"/>
      <c r="M7" s="767"/>
      <c r="N7" s="768"/>
      <c r="O7" s="627"/>
      <c r="P7" s="627"/>
      <c r="Q7" s="627"/>
      <c r="R7" s="766" t="s">
        <v>473</v>
      </c>
      <c r="S7" s="767"/>
      <c r="T7" s="767"/>
      <c r="U7" s="768"/>
      <c r="V7" s="771" t="s">
        <v>25</v>
      </c>
      <c r="W7" s="772"/>
      <c r="X7" s="773"/>
      <c r="Y7" s="766" t="s">
        <v>57</v>
      </c>
      <c r="Z7" s="767"/>
      <c r="AA7" s="768"/>
      <c r="AB7" s="766" t="s">
        <v>574</v>
      </c>
      <c r="AC7" s="767"/>
      <c r="AD7" s="767"/>
      <c r="AE7" s="779"/>
      <c r="AF7" s="767"/>
      <c r="AG7" s="768"/>
      <c r="AH7" s="766" t="s">
        <v>575</v>
      </c>
      <c r="AI7" s="767"/>
      <c r="AJ7" s="767"/>
      <c r="AK7" s="768"/>
      <c r="AL7" s="453" t="s">
        <v>198</v>
      </c>
      <c r="AM7" s="455" t="s">
        <v>448</v>
      </c>
      <c r="AN7" s="454" t="s">
        <v>491</v>
      </c>
      <c r="AO7" s="775" t="s">
        <v>480</v>
      </c>
      <c r="AP7" s="776"/>
      <c r="AQ7" s="776"/>
      <c r="AR7" s="777"/>
      <c r="AS7" s="778"/>
      <c r="AT7" s="766" t="s">
        <v>488</v>
      </c>
      <c r="AU7" s="767"/>
      <c r="AV7" s="767"/>
      <c r="AW7" s="767"/>
      <c r="AX7" s="767"/>
      <c r="AY7" s="522"/>
      <c r="AZ7" s="774" t="s">
        <v>489</v>
      </c>
      <c r="BA7" s="774"/>
      <c r="BB7" s="774"/>
      <c r="BC7" s="774"/>
      <c r="BD7" s="774"/>
      <c r="BE7" s="774"/>
    </row>
    <row r="8" spans="1:65" ht="79.8" thickBot="1" x14ac:dyDescent="0.55000000000000004">
      <c r="A8" s="579" t="s">
        <v>108</v>
      </c>
      <c r="B8" s="13"/>
      <c r="C8" s="13"/>
      <c r="D8" s="6"/>
      <c r="G8" s="438" t="s">
        <v>53</v>
      </c>
      <c r="H8" s="525" t="s">
        <v>3</v>
      </c>
      <c r="I8" s="517" t="s">
        <v>576</v>
      </c>
      <c r="J8" s="439" t="s">
        <v>5</v>
      </c>
      <c r="K8" s="439" t="s">
        <v>298</v>
      </c>
      <c r="L8" s="439"/>
      <c r="M8" s="450" t="s">
        <v>578</v>
      </c>
      <c r="N8" s="519" t="s">
        <v>474</v>
      </c>
      <c r="O8" s="628" t="s">
        <v>775</v>
      </c>
      <c r="P8" s="450" t="s">
        <v>788</v>
      </c>
      <c r="Q8" s="628" t="s">
        <v>789</v>
      </c>
      <c r="R8" s="518" t="s">
        <v>573</v>
      </c>
      <c r="S8" s="452" t="s">
        <v>87</v>
      </c>
      <c r="T8" s="439" t="s">
        <v>572</v>
      </c>
      <c r="U8" s="440" t="s">
        <v>508</v>
      </c>
      <c r="V8" s="518" t="s">
        <v>476</v>
      </c>
      <c r="W8" s="441" t="s">
        <v>475</v>
      </c>
      <c r="X8" s="440" t="s">
        <v>507</v>
      </c>
      <c r="Y8" s="451" t="s">
        <v>477</v>
      </c>
      <c r="Z8" s="439" t="s">
        <v>478</v>
      </c>
      <c r="AA8" s="440" t="s">
        <v>505</v>
      </c>
      <c r="AB8" s="438" t="s">
        <v>84</v>
      </c>
      <c r="AC8" s="439" t="s">
        <v>479</v>
      </c>
      <c r="AD8" s="439" t="s">
        <v>569</v>
      </c>
      <c r="AE8" s="621" t="s">
        <v>774</v>
      </c>
      <c r="AF8" s="442" t="s">
        <v>199</v>
      </c>
      <c r="AG8" s="440" t="s">
        <v>570</v>
      </c>
      <c r="AH8" s="438" t="s">
        <v>84</v>
      </c>
      <c r="AI8" s="439" t="s">
        <v>479</v>
      </c>
      <c r="AJ8" s="439" t="s">
        <v>482</v>
      </c>
      <c r="AK8" s="443" t="s">
        <v>571</v>
      </c>
      <c r="AL8" s="440" t="s">
        <v>482</v>
      </c>
      <c r="AM8" s="456" t="s">
        <v>93</v>
      </c>
      <c r="AN8" s="457" t="s">
        <v>490</v>
      </c>
      <c r="AO8" s="444" t="s">
        <v>483</v>
      </c>
      <c r="AP8" s="445" t="s">
        <v>135</v>
      </c>
      <c r="AQ8" s="446" t="s">
        <v>201</v>
      </c>
      <c r="AR8" s="445" t="s">
        <v>761</v>
      </c>
      <c r="AS8" s="447" t="s">
        <v>481</v>
      </c>
      <c r="AT8" s="448" t="s">
        <v>54</v>
      </c>
      <c r="AU8" s="439" t="s">
        <v>288</v>
      </c>
      <c r="AV8" s="449" t="s">
        <v>485</v>
      </c>
      <c r="AW8" s="529" t="str">
        <f>IF(Vin&gt;Vout, "Buck ''CONTROL'' MOSFET Temp Rise", "Boost ''CONTROL'' MOSFET Temp Rise")</f>
        <v>Buck ''CONTROL'' MOSFET Temp Rise</v>
      </c>
      <c r="AX8" s="529" t="str">
        <f>IF(Vin&gt;Vout, "Buck ''SYNC'' MOSFET Temp Rise", "Boost ''SYNC'' MOSFET Temp Rise")</f>
        <v>Buck ''SYNC'' MOSFET Temp Rise</v>
      </c>
      <c r="AZ8" s="523" t="s">
        <v>484</v>
      </c>
      <c r="BA8" s="524" t="s">
        <v>506</v>
      </c>
      <c r="BB8" s="524" t="s">
        <v>579</v>
      </c>
      <c r="BC8" s="524" t="s">
        <v>717</v>
      </c>
      <c r="BD8" s="524" t="s">
        <v>718</v>
      </c>
      <c r="BE8" s="524" t="s">
        <v>553</v>
      </c>
      <c r="BF8" s="524"/>
    </row>
    <row r="9" spans="1:65" x14ac:dyDescent="0.25">
      <c r="A9" s="14" t="s">
        <v>55</v>
      </c>
      <c r="B9" s="15" t="s">
        <v>111</v>
      </c>
      <c r="C9" s="16" t="s">
        <v>76</v>
      </c>
      <c r="D9" s="17" t="s">
        <v>107</v>
      </c>
      <c r="G9">
        <v>0</v>
      </c>
      <c r="H9" s="527">
        <f t="shared" ref="H9:H72" si="0">Vin</f>
        <v>24</v>
      </c>
      <c r="I9" s="4">
        <f t="shared" ref="I9:I40" si="1">MODE</f>
        <v>1</v>
      </c>
      <c r="J9">
        <v>0</v>
      </c>
      <c r="K9" s="4">
        <f t="shared" ref="K9:K40" si="2">Vout2*J9/(Vin*Efficiency)</f>
        <v>0</v>
      </c>
      <c r="L9" s="4"/>
      <c r="M9" s="351">
        <f t="shared" ref="M9:M40" si="3">(Vout2+(Rdson4+Rs+Rdcr)*J9)/(Vin+(Rs+Rdson2-Rdson1)*J9)</f>
        <v>0.20833333333333334</v>
      </c>
      <c r="N9" s="4">
        <f t="shared" ref="N9:N40" si="4">(Vin-(Rdson3+Rdcr2)*J9-Vout2)*M9/(Fsw*Lo_2)</f>
        <v>1.9140876853642812</v>
      </c>
      <c r="O9" s="4">
        <f>J9+N9/2</f>
        <v>0.9570438426821406</v>
      </c>
      <c r="P9" s="4">
        <f>J9-N9/2</f>
        <v>-0.9570438426821406</v>
      </c>
      <c r="Q9" s="4">
        <f t="shared" ref="Q9:Q40" si="5">IF(MIN(Vin, -P9/(Coss_Q3+Coss_Q4)*0.00000002)&lt;0, 0, MIN(Vin, -P9/(Coss_Q3+Coss_Q4)*0.00000002))</f>
        <v>24</v>
      </c>
      <c r="R9" s="4">
        <f t="shared" ref="R9:R40" si="6">SQRT(J9^2+(N9^2)/12)</f>
        <v>0.55254952019880776</v>
      </c>
      <c r="S9" s="351">
        <f t="shared" ref="S9:S40" si="7">R9^2*Rdcr2</f>
        <v>7.4801188206623506E-3</v>
      </c>
      <c r="T9" s="351">
        <f t="shared" ref="T9:T40" si="8">Core_Loss_Ch2</f>
        <v>0.4</v>
      </c>
      <c r="U9" s="351">
        <f t="shared" ref="U9:U40" si="9">(T9+S9*(1+Ltc*(Ta-25)))/(1-S9*Ltc*ThetaCa)</f>
        <v>0.40772410480065896</v>
      </c>
      <c r="V9" s="4">
        <f>N9/SQRT(12)</f>
        <v>0.55254952019880776</v>
      </c>
      <c r="W9" s="351">
        <f t="shared" ref="W9:W40" si="10">Cout2_ESR*V9^2</f>
        <v>3.0531097227193266E-4</v>
      </c>
      <c r="X9" s="351">
        <f>W9</f>
        <v>3.0531097227193266E-4</v>
      </c>
      <c r="Y9" s="4">
        <f t="shared" ref="Y9:Y40" si="11">SQRT(M9*(1-M9))*SQRT(J9^2+(N9^2)/12)</f>
        <v>0.22439943911252691</v>
      </c>
      <c r="Z9" s="351">
        <f t="shared" ref="Z9:Z73" si="12">RCinEsr*Y9^2</f>
        <v>5.0355108274016673E-5</v>
      </c>
      <c r="AA9" s="520">
        <f>Z9</f>
        <v>5.0355108274016673E-5</v>
      </c>
      <c r="AB9" s="351">
        <f t="shared" ref="AB9:AB40" si="13">SQRT(M9)*SQRT(J9^2+(N9^2)/12)</f>
        <v>0.25220319695961951</v>
      </c>
      <c r="AC9" s="351">
        <f t="shared" ref="AC9:AC40" si="14">Rdson3*AB9^2</f>
        <v>7.3147420440150524E-4</v>
      </c>
      <c r="AD9" s="351">
        <f t="shared" ref="AD9:AD40" si="15">(Vin*J9/2)*Fsw*(Tr_Ch2+Tf_Ch2)</f>
        <v>0</v>
      </c>
      <c r="AE9" s="351">
        <f t="shared" ref="AE9:AE40" si="16">(0.5*Coss_Q3*(Vin-Q9)^2-0.5*Coss_Q4*(Vin-Q9)^2+(Qoss_Q4*(Vin-Q9)/Vin)*Vin)*Fsw</f>
        <v>0</v>
      </c>
      <c r="AF9" s="351">
        <f t="shared" ref="AF9:AF40" si="17">IF(J9&gt;N9/2,0,ABS(J9-N9/2)*Vsd_Q3*Deadtime1*Fsw)</f>
        <v>5.8953900709219857E-3</v>
      </c>
      <c r="AG9" s="351">
        <f t="shared" ref="AG9:AG40" si="18">(AF9+AE9+AD9+AC9*(1+RdsonTopTc*Ta-RdsonTopTc*25))/(1-AC9*RdsonTopTc*ThetaJA_Q2)</f>
        <v>6.6276399469486517E-3</v>
      </c>
      <c r="AH9" s="351">
        <f t="shared" ref="AH9:AH40" si="19">SQRT((1-M9))*SQRT(J9^2+(N9^2)/12)</f>
        <v>0.49163453877375218</v>
      </c>
      <c r="AI9" s="351">
        <f t="shared" ref="AI9:AI40" si="20">Rdson4*AH9^2</f>
        <v>7.9762491506042417E-4</v>
      </c>
      <c r="AJ9" s="351">
        <f t="shared" ref="AJ9:AJ40" si="21">IF(J9&lt;N9/2,Deadtime1*Fsw*IF(VfdSky_Q4&gt;0,0,Vsd_Q4)*(J9+N9/2),2*Deadtime1*Fsw*IF(VfdSky_Q4&gt;0,0,Vsd_Q4)*J9)</f>
        <v>5.8953900709219857E-3</v>
      </c>
      <c r="AK9" s="351">
        <f t="shared" ref="AK9:AK40" si="22">(AJ9+AI9*(1+RdsonBotTc*Ta-RdsonBotTc*25))/(1-AI9*RdsonBotTc*ThetaJA_Q3)</f>
        <v>6.69391197678569E-3</v>
      </c>
      <c r="AL9" s="351">
        <f t="shared" ref="AL9:AL40" si="23">2*Deadtime1*Fsw*IF(VfdSky_Q4&gt;0,VfdSky_Q4,Vsd_Q4)*J9</f>
        <v>0</v>
      </c>
      <c r="AM9" s="351">
        <f t="shared" ref="AM9:AM40" si="24">IF(QrrSky_Q4&gt;0,QrrSky_Q4,Qrr_Q4*J9/Iout2)*Fsw*Vin</f>
        <v>0</v>
      </c>
      <c r="AN9" s="351">
        <f t="shared" ref="AN9:AN40" si="25">CHOOSE(SENSING_TYPE, Rs_Ch2*R9^2, 0)</f>
        <v>2.4424877781754613E-3</v>
      </c>
      <c r="AO9" s="351">
        <f t="shared" ref="AO9:AO40" si="26">Iq*Vin</f>
        <v>8.3999999999999993E-4</v>
      </c>
      <c r="AP9" s="351">
        <f>'Variable Management'!$B$347</f>
        <v>0.41183999999999998</v>
      </c>
      <c r="AQ9" s="351">
        <f t="shared" ref="AQ9:AQ40" si="27">(Vin-VCC)*Fsw*(Qg_Q3+Qg_Q4)+(RdsonDRT+RdsonDRT2)*Fsw*Qg_Q3*VCC/(RdsonDRT+2*Rgate3+RdsonDRT2)+(RdsonDRB+RdsonDRB2)*Fsw*Qg_Q4*VCC/(RdsonDRB+2*Rgate4+RdsonDRB2)</f>
        <v>0.36108727954971853</v>
      </c>
      <c r="AR9" s="351">
        <f t="shared" ref="AR9:AR40" si="28">(Qg_Q3+Qg_Q4)*Fsw*(Vin-VCC)</f>
        <v>0.32603999999999994</v>
      </c>
      <c r="AS9" s="351">
        <f>SUM(AO9:AP9)</f>
        <v>0.41267999999999999</v>
      </c>
      <c r="AT9" s="351">
        <f>SUM(U9,X9,AA9,AG9,AK9,AL9,AM9,AS9,AN9)</f>
        <v>0.83652381058311476</v>
      </c>
      <c r="AU9">
        <f t="shared" ref="AU9:AU40" si="29">Vout2*J9</f>
        <v>0</v>
      </c>
      <c r="AV9" s="521">
        <f>AU9/(AU9+AT9)</f>
        <v>0</v>
      </c>
      <c r="AW9" s="530">
        <f t="shared" ref="AW9:AW40" si="30">ThetaJA_Q1*BC9</f>
        <v>0.27836087777184337</v>
      </c>
      <c r="AX9" s="530">
        <f t="shared" ref="AX9:AX40" si="31">ThetaJA_Q2*BD9</f>
        <v>0.26775647907142758</v>
      </c>
      <c r="AZ9" s="4">
        <f>AV9*100</f>
        <v>0</v>
      </c>
      <c r="BA9" s="351">
        <f t="shared" ref="BA9:BA40" si="32">U9</f>
        <v>0.40772410480065896</v>
      </c>
      <c r="BB9" s="351">
        <f>AG9+AK9+AM9</f>
        <v>1.3321551923734342E-2</v>
      </c>
      <c r="BC9" s="351">
        <f>AG9+AM9*0.66</f>
        <v>6.6276399469486517E-3</v>
      </c>
      <c r="BD9" s="351">
        <f>AK9+AM9*0.33</f>
        <v>6.69391197678569E-3</v>
      </c>
      <c r="BE9" s="351">
        <f>AN9</f>
        <v>2.4424877781754613E-3</v>
      </c>
      <c r="BJ9" s="18"/>
      <c r="BK9" s="18"/>
      <c r="BL9" s="18"/>
      <c r="BM9" s="19"/>
    </row>
    <row r="10" spans="1:65" x14ac:dyDescent="0.25">
      <c r="A10" s="475"/>
      <c r="B10" s="24"/>
      <c r="C10" s="16"/>
      <c r="D10" s="17"/>
      <c r="G10">
        <v>1</v>
      </c>
      <c r="H10" s="527">
        <f t="shared" si="0"/>
        <v>24</v>
      </c>
      <c r="I10" s="4">
        <f t="shared" si="1"/>
        <v>1</v>
      </c>
      <c r="J10" s="351">
        <f t="shared" ref="J10:J41" si="33">Iout2*G10/100</f>
        <v>0.05</v>
      </c>
      <c r="K10" s="4">
        <f t="shared" si="2"/>
        <v>1.1574074074074073E-2</v>
      </c>
      <c r="L10" s="4"/>
      <c r="M10" s="351">
        <f t="shared" si="3"/>
        <v>0.20841069431550946</v>
      </c>
      <c r="N10" s="4">
        <f t="shared" si="4"/>
        <v>1.9146170467818722</v>
      </c>
      <c r="O10" s="4">
        <f t="shared" ref="O10:O73" si="34">J10+N10/2</f>
        <v>1.007308523390936</v>
      </c>
      <c r="P10" s="4">
        <f t="shared" ref="P10:P73" si="35">J10-N10/2</f>
        <v>-0.90730852339093604</v>
      </c>
      <c r="Q10" s="4">
        <f t="shared" si="5"/>
        <v>24</v>
      </c>
      <c r="R10" s="4">
        <f t="shared" si="6"/>
        <v>0.5549593405397476</v>
      </c>
      <c r="S10" s="351">
        <f t="shared" si="7"/>
        <v>7.5455068064816336E-3</v>
      </c>
      <c r="T10" s="351">
        <f t="shared" si="8"/>
        <v>0.4</v>
      </c>
      <c r="U10" s="351">
        <f t="shared" si="9"/>
        <v>0.40779166639003145</v>
      </c>
      <c r="V10" s="4">
        <f t="shared" ref="V10:V73" si="36">N10/SQRT(12)</f>
        <v>0.55270233367728017</v>
      </c>
      <c r="W10" s="351">
        <f t="shared" si="10"/>
        <v>3.0547986965231158E-4</v>
      </c>
      <c r="X10" s="351">
        <f t="shared" ref="X10:X73" si="37">W10</f>
        <v>3.0547986965231158E-4</v>
      </c>
      <c r="Y10" s="4">
        <f t="shared" si="11"/>
        <v>0.22540893380671537</v>
      </c>
      <c r="Z10" s="351">
        <f t="shared" si="12"/>
        <v>5.0809187439880187E-5</v>
      </c>
      <c r="AA10" s="520">
        <f t="shared" ref="AA10:AA73" si="38">Z10</f>
        <v>5.0809187439880187E-5</v>
      </c>
      <c r="AB10" s="351">
        <f t="shared" si="13"/>
        <v>0.25335014992977278</v>
      </c>
      <c r="AC10" s="351">
        <f t="shared" si="14"/>
        <v>7.3814243239854103E-4</v>
      </c>
      <c r="AD10" s="351">
        <f t="shared" si="15"/>
        <v>1.9550142857142861E-3</v>
      </c>
      <c r="AE10" s="351">
        <f t="shared" si="16"/>
        <v>0</v>
      </c>
      <c r="AF10" s="351">
        <f t="shared" si="17"/>
        <v>5.5890205040881663E-3</v>
      </c>
      <c r="AG10" s="351">
        <f t="shared" si="18"/>
        <v>8.2831554859671298E-3</v>
      </c>
      <c r="AH10" s="351">
        <f t="shared" si="19"/>
        <v>0.49375456573369847</v>
      </c>
      <c r="AI10" s="351">
        <f t="shared" si="20"/>
        <v>8.0451878490348145E-4</v>
      </c>
      <c r="AJ10" s="351">
        <f t="shared" si="21"/>
        <v>6.2050205040881656E-3</v>
      </c>
      <c r="AK10" s="351">
        <f t="shared" si="22"/>
        <v>7.0104868204724962E-3</v>
      </c>
      <c r="AL10" s="351">
        <f t="shared" si="23"/>
        <v>6.1600000000000001E-4</v>
      </c>
      <c r="AM10" s="351">
        <f t="shared" si="24"/>
        <v>7.7088E-3</v>
      </c>
      <c r="AN10" s="351">
        <f t="shared" si="25"/>
        <v>2.4638389572184923E-3</v>
      </c>
      <c r="AO10" s="351">
        <f t="shared" si="26"/>
        <v>8.3999999999999993E-4</v>
      </c>
      <c r="AP10" s="351">
        <f>'Variable Management'!$B$347</f>
        <v>0.41183999999999998</v>
      </c>
      <c r="AQ10" s="351">
        <f t="shared" si="27"/>
        <v>0.36108727954971853</v>
      </c>
      <c r="AR10" s="351">
        <f t="shared" si="28"/>
        <v>0.32603999999999994</v>
      </c>
      <c r="AS10" s="351">
        <f t="shared" ref="AS10" si="39">SUM(AO10:AP10)</f>
        <v>0.41267999999999999</v>
      </c>
      <c r="AT10" s="351">
        <f t="shared" ref="AT10:AT73" si="40">SUM(U10,X10,AA10,AG10,AK10,AL10,AM10,AS10,AN10)</f>
        <v>0.84691023671078169</v>
      </c>
      <c r="AU10">
        <f t="shared" si="29"/>
        <v>0.25</v>
      </c>
      <c r="AV10" s="521">
        <f t="shared" ref="AV10:AV73" si="41">AU10/(AU10+AT10)</f>
        <v>0.22791290630093425</v>
      </c>
      <c r="AW10" s="530">
        <f t="shared" si="30"/>
        <v>0.56158046641061954</v>
      </c>
      <c r="AX10" s="530">
        <f t="shared" si="31"/>
        <v>0.38217563281889988</v>
      </c>
      <c r="AY10" s="9"/>
      <c r="AZ10" s="4">
        <f t="shared" ref="AZ10:AZ73" si="42">AV10*100</f>
        <v>22.791290630093425</v>
      </c>
      <c r="BA10" s="351">
        <f t="shared" si="32"/>
        <v>0.40779166639003145</v>
      </c>
      <c r="BB10" s="351">
        <f t="shared" ref="BB10:BB73" si="43">AG10+AK10+AM10</f>
        <v>2.3002442306439629E-2</v>
      </c>
      <c r="BC10" s="351">
        <f t="shared" ref="BC10:BC73" si="44">AG10+AM10*0.66</f>
        <v>1.3370963485967131E-2</v>
      </c>
      <c r="BD10" s="351">
        <f t="shared" ref="BD10:BD73" si="45">AK10+AM10*0.33</f>
        <v>9.5543908204724966E-3</v>
      </c>
      <c r="BE10" s="351">
        <f t="shared" ref="BE10:BE73" si="46">AN10</f>
        <v>2.4638389572184923E-3</v>
      </c>
      <c r="BJ10" s="18"/>
      <c r="BK10" s="18"/>
      <c r="BL10" s="18"/>
      <c r="BM10" s="19"/>
    </row>
    <row r="11" spans="1:65" x14ac:dyDescent="0.25">
      <c r="A11" s="20" t="s">
        <v>3</v>
      </c>
      <c r="B11" s="5">
        <f>Vin</f>
        <v>24</v>
      </c>
      <c r="C11" s="427" t="s">
        <v>0</v>
      </c>
      <c r="D11" s="21" t="s">
        <v>3</v>
      </c>
      <c r="G11">
        <v>2</v>
      </c>
      <c r="H11" s="527">
        <f t="shared" si="0"/>
        <v>24</v>
      </c>
      <c r="I11" s="4">
        <f t="shared" si="1"/>
        <v>1</v>
      </c>
      <c r="J11" s="351">
        <f t="shared" si="33"/>
        <v>0.1</v>
      </c>
      <c r="K11" s="4">
        <f t="shared" si="2"/>
        <v>2.3148148148148147E-2</v>
      </c>
      <c r="L11" s="4"/>
      <c r="M11" s="351">
        <f t="shared" si="3"/>
        <v>0.20848805503981652</v>
      </c>
      <c r="N11" s="4">
        <f t="shared" si="4"/>
        <v>1.9151462711597538</v>
      </c>
      <c r="O11" s="4">
        <f t="shared" si="34"/>
        <v>1.057573135579877</v>
      </c>
      <c r="P11" s="4">
        <f t="shared" si="35"/>
        <v>-0.85757313557987691</v>
      </c>
      <c r="Q11" s="4">
        <f t="shared" si="5"/>
        <v>24</v>
      </c>
      <c r="R11" s="4">
        <f t="shared" si="6"/>
        <v>0.56182628097549792</v>
      </c>
      <c r="S11" s="351">
        <f t="shared" si="7"/>
        <v>7.7333948648715982E-3</v>
      </c>
      <c r="T11" s="351">
        <f t="shared" si="8"/>
        <v>0.4</v>
      </c>
      <c r="U11" s="351">
        <f t="shared" si="9"/>
        <v>0.40798580409065527</v>
      </c>
      <c r="V11" s="4">
        <f t="shared" si="36"/>
        <v>0.55285510759579592</v>
      </c>
      <c r="W11" s="351">
        <f t="shared" si="10"/>
        <v>3.0564876999475909E-4</v>
      </c>
      <c r="X11" s="351">
        <f t="shared" si="37"/>
        <v>3.0564876999475909E-4</v>
      </c>
      <c r="Y11" s="4">
        <f t="shared" si="11"/>
        <v>0.22822928845193222</v>
      </c>
      <c r="Z11" s="351">
        <f t="shared" si="12"/>
        <v>5.2088608107275283E-5</v>
      </c>
      <c r="AA11" s="520">
        <f t="shared" si="38"/>
        <v>5.2088608107275283E-5</v>
      </c>
      <c r="AB11" s="351">
        <f t="shared" si="13"/>
        <v>0.25653264535321374</v>
      </c>
      <c r="AC11" s="351">
        <f t="shared" si="14"/>
        <v>7.568034785170539E-4</v>
      </c>
      <c r="AD11" s="351">
        <f t="shared" si="15"/>
        <v>3.9100285714285723E-3</v>
      </c>
      <c r="AE11" s="351">
        <f t="shared" si="16"/>
        <v>0</v>
      </c>
      <c r="AF11" s="351">
        <f t="shared" si="17"/>
        <v>5.2826505151720412E-3</v>
      </c>
      <c r="AG11" s="351">
        <f t="shared" si="18"/>
        <v>9.9506874795013672E-3</v>
      </c>
      <c r="AH11" s="351">
        <f t="shared" si="19"/>
        <v>0.49983974618155508</v>
      </c>
      <c r="AI11" s="351">
        <f t="shared" si="20"/>
        <v>8.2447124714737658E-4</v>
      </c>
      <c r="AJ11" s="351">
        <f t="shared" si="21"/>
        <v>6.5146505151720416E-3</v>
      </c>
      <c r="AK11" s="351">
        <f t="shared" si="22"/>
        <v>7.3401384534810543E-3</v>
      </c>
      <c r="AL11" s="351">
        <f t="shared" si="23"/>
        <v>1.232E-3</v>
      </c>
      <c r="AM11" s="351">
        <f t="shared" si="24"/>
        <v>1.54176E-2</v>
      </c>
      <c r="AN11" s="351">
        <f t="shared" si="25"/>
        <v>2.5251901599580729E-3</v>
      </c>
      <c r="AO11" s="351">
        <f t="shared" si="26"/>
        <v>8.3999999999999993E-4</v>
      </c>
      <c r="AP11" s="351">
        <f>'Variable Management'!$B$347</f>
        <v>0.41183999999999998</v>
      </c>
      <c r="AQ11" s="351">
        <f t="shared" si="27"/>
        <v>0.36108727954971853</v>
      </c>
      <c r="AR11" s="351">
        <f t="shared" si="28"/>
        <v>0.32603999999999994</v>
      </c>
      <c r="AS11" s="351">
        <f t="shared" ref="AS11:AS74" si="47">SUM(AO11:AP11)</f>
        <v>0.41267999999999999</v>
      </c>
      <c r="AT11" s="351">
        <f t="shared" si="40"/>
        <v>0.85748915756169786</v>
      </c>
      <c r="AU11">
        <f t="shared" si="29"/>
        <v>0.5</v>
      </c>
      <c r="AV11" s="521">
        <f t="shared" si="41"/>
        <v>0.36832706708176782</v>
      </c>
      <c r="AW11" s="530">
        <f t="shared" si="30"/>
        <v>0.84530474613905748</v>
      </c>
      <c r="AX11" s="530">
        <f t="shared" si="31"/>
        <v>0.49711785813924214</v>
      </c>
      <c r="AY11" s="9"/>
      <c r="AZ11" s="4">
        <f t="shared" si="42"/>
        <v>36.832706708176779</v>
      </c>
      <c r="BA11" s="351">
        <f t="shared" si="32"/>
        <v>0.40798580409065527</v>
      </c>
      <c r="BB11" s="351">
        <f t="shared" si="43"/>
        <v>3.2708425932982427E-2</v>
      </c>
      <c r="BC11" s="351">
        <f t="shared" si="44"/>
        <v>2.0126303479501367E-2</v>
      </c>
      <c r="BD11" s="351">
        <f t="shared" si="45"/>
        <v>1.2427946453481054E-2</v>
      </c>
      <c r="BE11" s="351">
        <f t="shared" si="46"/>
        <v>2.5251901599580729E-3</v>
      </c>
      <c r="BJ11" s="18"/>
      <c r="BK11" s="18"/>
      <c r="BL11" s="18"/>
      <c r="BM11" s="19"/>
    </row>
    <row r="12" spans="1:65" x14ac:dyDescent="0.25">
      <c r="A12" s="22" t="s">
        <v>4</v>
      </c>
      <c r="B12" s="5">
        <f>Vout2</f>
        <v>5</v>
      </c>
      <c r="C12" s="427" t="s">
        <v>0</v>
      </c>
      <c r="D12" s="21" t="s">
        <v>4</v>
      </c>
      <c r="G12">
        <v>3</v>
      </c>
      <c r="H12" s="527">
        <f t="shared" si="0"/>
        <v>24</v>
      </c>
      <c r="I12" s="4">
        <f t="shared" si="1"/>
        <v>1</v>
      </c>
      <c r="J12" s="351">
        <f t="shared" si="33"/>
        <v>0.15</v>
      </c>
      <c r="K12" s="4">
        <f t="shared" si="2"/>
        <v>3.4722222222222217E-2</v>
      </c>
      <c r="L12" s="4"/>
      <c r="M12" s="351">
        <f t="shared" si="3"/>
        <v>0.20856541550625579</v>
      </c>
      <c r="N12" s="4">
        <f t="shared" si="4"/>
        <v>1.9156753584986101</v>
      </c>
      <c r="O12" s="4">
        <f t="shared" si="34"/>
        <v>1.107837679249305</v>
      </c>
      <c r="P12" s="4">
        <f t="shared" si="35"/>
        <v>-0.80783767924930505</v>
      </c>
      <c r="Q12" s="4">
        <f t="shared" si="5"/>
        <v>24</v>
      </c>
      <c r="R12" s="4">
        <f t="shared" si="6"/>
        <v>0.57299011620029849</v>
      </c>
      <c r="S12" s="351">
        <f t="shared" si="7"/>
        <v>8.0437829949491745E-3</v>
      </c>
      <c r="T12" s="351">
        <f t="shared" si="8"/>
        <v>0.4</v>
      </c>
      <c r="U12" s="351">
        <f t="shared" si="9"/>
        <v>0.40830652932433364</v>
      </c>
      <c r="V12" s="4">
        <f t="shared" si="36"/>
        <v>0.55300784195455277</v>
      </c>
      <c r="W12" s="351">
        <f t="shared" si="10"/>
        <v>3.0581767326323163E-4</v>
      </c>
      <c r="X12" s="351">
        <f t="shared" si="37"/>
        <v>3.0581767326323163E-4</v>
      </c>
      <c r="Y12" s="4">
        <f t="shared" si="11"/>
        <v>0.2327961482260453</v>
      </c>
      <c r="Z12" s="351">
        <f t="shared" si="12"/>
        <v>5.419404662888286E-5</v>
      </c>
      <c r="AA12" s="520">
        <f t="shared" si="38"/>
        <v>5.419404662888286E-5</v>
      </c>
      <c r="AB12" s="351">
        <f t="shared" si="13"/>
        <v>0.26167864250296208</v>
      </c>
      <c r="AC12" s="351">
        <f t="shared" si="14"/>
        <v>7.8747068733521974E-4</v>
      </c>
      <c r="AD12" s="351">
        <f t="shared" si="15"/>
        <v>5.8650428571428567E-3</v>
      </c>
      <c r="AE12" s="351">
        <f t="shared" si="16"/>
        <v>0</v>
      </c>
      <c r="AF12" s="351">
        <f t="shared" si="17"/>
        <v>4.9762801041757189E-3</v>
      </c>
      <c r="AG12" s="351">
        <f t="shared" si="18"/>
        <v>1.1630259006742423E-2</v>
      </c>
      <c r="AH12" s="351">
        <f t="shared" si="19"/>
        <v>0.50974695812828408</v>
      </c>
      <c r="AI12" s="351">
        <f t="shared" si="20"/>
        <v>8.5747847235942735E-4</v>
      </c>
      <c r="AJ12" s="351">
        <f t="shared" si="21"/>
        <v>6.8242801041757187E-3</v>
      </c>
      <c r="AK12" s="351">
        <f t="shared" si="22"/>
        <v>7.682865342330176E-3</v>
      </c>
      <c r="AL12" s="351">
        <f t="shared" si="23"/>
        <v>1.8479999999999998E-3</v>
      </c>
      <c r="AM12" s="351">
        <f t="shared" si="24"/>
        <v>2.3126399999999998E-2</v>
      </c>
      <c r="AN12" s="351">
        <f t="shared" si="25"/>
        <v>2.6265413861058526E-3</v>
      </c>
      <c r="AO12" s="351">
        <f t="shared" si="26"/>
        <v>8.3999999999999993E-4</v>
      </c>
      <c r="AP12" s="351">
        <f>'Variable Management'!$B$347</f>
        <v>0.41183999999999998</v>
      </c>
      <c r="AQ12" s="351">
        <f t="shared" si="27"/>
        <v>0.36108727954971853</v>
      </c>
      <c r="AR12" s="351">
        <f t="shared" si="28"/>
        <v>0.32603999999999994</v>
      </c>
      <c r="AS12" s="351">
        <f t="shared" si="47"/>
        <v>0.41267999999999999</v>
      </c>
      <c r="AT12" s="351">
        <f t="shared" si="40"/>
        <v>0.8682606067794042</v>
      </c>
      <c r="AU12">
        <f t="shared" si="29"/>
        <v>0.75</v>
      </c>
      <c r="AV12" s="521">
        <f t="shared" si="41"/>
        <v>0.46346058036512372</v>
      </c>
      <c r="AW12" s="530">
        <f t="shared" si="30"/>
        <v>1.1295346862831817</v>
      </c>
      <c r="AX12" s="530">
        <f t="shared" si="31"/>
        <v>0.61258309369320707</v>
      </c>
      <c r="AY12" s="9"/>
      <c r="AZ12" s="4">
        <f t="shared" si="42"/>
        <v>46.346058036512375</v>
      </c>
      <c r="BA12" s="351">
        <f t="shared" si="32"/>
        <v>0.40830652932433364</v>
      </c>
      <c r="BB12" s="351">
        <f t="shared" si="43"/>
        <v>4.2439524349072597E-2</v>
      </c>
      <c r="BC12" s="351">
        <f t="shared" si="44"/>
        <v>2.6893683006742421E-2</v>
      </c>
      <c r="BD12" s="351">
        <f t="shared" si="45"/>
        <v>1.5314577342330176E-2</v>
      </c>
      <c r="BE12" s="351">
        <f t="shared" si="46"/>
        <v>2.6265413861058526E-3</v>
      </c>
      <c r="BJ12" s="18"/>
      <c r="BK12" s="18"/>
      <c r="BL12" s="18"/>
      <c r="BM12" s="19"/>
    </row>
    <row r="13" spans="1:65" x14ac:dyDescent="0.25">
      <c r="A13" s="22" t="s">
        <v>6</v>
      </c>
      <c r="B13" s="5">
        <f>Fsw/1000</f>
        <v>440</v>
      </c>
      <c r="C13" s="427" t="s">
        <v>2</v>
      </c>
      <c r="D13" s="21" t="s">
        <v>94</v>
      </c>
      <c r="G13">
        <v>4</v>
      </c>
      <c r="H13" s="527">
        <f t="shared" si="0"/>
        <v>24</v>
      </c>
      <c r="I13" s="4">
        <f t="shared" si="1"/>
        <v>1</v>
      </c>
      <c r="J13" s="351">
        <f t="shared" si="33"/>
        <v>0.2</v>
      </c>
      <c r="K13" s="4">
        <f t="shared" si="2"/>
        <v>4.6296296296296294E-2</v>
      </c>
      <c r="L13" s="4"/>
      <c r="M13" s="351">
        <f t="shared" si="3"/>
        <v>0.20864277571482856</v>
      </c>
      <c r="N13" s="4">
        <f t="shared" si="4"/>
        <v>1.9162043087991274</v>
      </c>
      <c r="O13" s="4">
        <f t="shared" si="34"/>
        <v>1.1581021543995638</v>
      </c>
      <c r="P13" s="4">
        <f t="shared" si="35"/>
        <v>-0.75810215439956363</v>
      </c>
      <c r="Q13" s="4">
        <f t="shared" si="5"/>
        <v>24</v>
      </c>
      <c r="R13" s="4">
        <f t="shared" si="6"/>
        <v>0.58820623884968704</v>
      </c>
      <c r="S13" s="351">
        <f t="shared" si="7"/>
        <v>8.4766711958315297E-3</v>
      </c>
      <c r="T13" s="351">
        <f t="shared" si="8"/>
        <v>0.4</v>
      </c>
      <c r="U13" s="351">
        <f t="shared" si="9"/>
        <v>0.40875386096218375</v>
      </c>
      <c r="V13" s="4">
        <f t="shared" si="36"/>
        <v>0.55316053675374854</v>
      </c>
      <c r="W13" s="351">
        <f t="shared" si="10"/>
        <v>3.059865794216952E-4</v>
      </c>
      <c r="X13" s="351">
        <f t="shared" si="37"/>
        <v>3.059865794216952E-4</v>
      </c>
      <c r="Y13" s="4">
        <f t="shared" si="11"/>
        <v>0.23901083446947258</v>
      </c>
      <c r="Z13" s="351">
        <f t="shared" si="12"/>
        <v>5.7126178993793625E-5</v>
      </c>
      <c r="AA13" s="520">
        <f t="shared" si="38"/>
        <v>5.7126178993793625E-5</v>
      </c>
      <c r="AB13" s="351">
        <f t="shared" si="13"/>
        <v>0.26867750239017302</v>
      </c>
      <c r="AC13" s="351">
        <f t="shared" si="14"/>
        <v>8.3015740334214645E-4</v>
      </c>
      <c r="AD13" s="351">
        <f t="shared" si="15"/>
        <v>7.8200571428571446E-3</v>
      </c>
      <c r="AE13" s="351">
        <f t="shared" si="16"/>
        <v>0</v>
      </c>
      <c r="AF13" s="351">
        <f t="shared" si="17"/>
        <v>4.6699092711013114E-3</v>
      </c>
      <c r="AG13" s="351">
        <f t="shared" si="18"/>
        <v>1.3321893300236557E-2</v>
      </c>
      <c r="AH13" s="351">
        <f t="shared" si="19"/>
        <v>0.52325804258613506</v>
      </c>
      <c r="AI13" s="351">
        <f t="shared" si="20"/>
        <v>9.0353663113254263E-4</v>
      </c>
      <c r="AJ13" s="351">
        <f t="shared" si="21"/>
        <v>7.1339092711013123E-3</v>
      </c>
      <c r="AK13" s="351">
        <f t="shared" si="22"/>
        <v>8.0386661247577925E-3</v>
      </c>
      <c r="AL13" s="351">
        <f t="shared" si="23"/>
        <v>2.464E-3</v>
      </c>
      <c r="AM13" s="351">
        <f t="shared" si="24"/>
        <v>3.08352E-2</v>
      </c>
      <c r="AN13" s="351">
        <f t="shared" si="25"/>
        <v>2.7678926353735607E-3</v>
      </c>
      <c r="AO13" s="351">
        <f t="shared" si="26"/>
        <v>8.3999999999999993E-4</v>
      </c>
      <c r="AP13" s="351">
        <f>'Variable Management'!$B$347</f>
        <v>0.41183999999999998</v>
      </c>
      <c r="AQ13" s="351">
        <f t="shared" si="27"/>
        <v>0.36108727954971853</v>
      </c>
      <c r="AR13" s="351">
        <f t="shared" si="28"/>
        <v>0.32603999999999994</v>
      </c>
      <c r="AS13" s="351">
        <f t="shared" si="47"/>
        <v>0.41267999999999999</v>
      </c>
      <c r="AT13" s="351">
        <f t="shared" si="40"/>
        <v>0.87922462578096716</v>
      </c>
      <c r="AU13">
        <f t="shared" si="29"/>
        <v>1</v>
      </c>
      <c r="AV13" s="521">
        <f t="shared" si="41"/>
        <v>0.53213436343961307</v>
      </c>
      <c r="AW13" s="530">
        <f t="shared" si="30"/>
        <v>1.4142712626099354</v>
      </c>
      <c r="AX13" s="530">
        <f t="shared" si="31"/>
        <v>0.72857128499031165</v>
      </c>
      <c r="AY13" s="9"/>
      <c r="AZ13" s="4">
        <f t="shared" si="42"/>
        <v>53.213436343961305</v>
      </c>
      <c r="BA13" s="351">
        <f t="shared" si="32"/>
        <v>0.40875386096218375</v>
      </c>
      <c r="BB13" s="351">
        <f t="shared" si="43"/>
        <v>5.2195759424994354E-2</v>
      </c>
      <c r="BC13" s="351">
        <f t="shared" si="44"/>
        <v>3.3673125300236556E-2</v>
      </c>
      <c r="BD13" s="351">
        <f t="shared" si="45"/>
        <v>1.8214282124757793E-2</v>
      </c>
      <c r="BE13" s="351">
        <f t="shared" si="46"/>
        <v>2.7678926353735607E-3</v>
      </c>
      <c r="BJ13" s="18"/>
      <c r="BK13" s="18"/>
      <c r="BL13" s="18"/>
      <c r="BM13" s="19"/>
    </row>
    <row r="14" spans="1:65" x14ac:dyDescent="0.25">
      <c r="A14" s="22" t="s">
        <v>5</v>
      </c>
      <c r="B14" s="5">
        <f>Iout2</f>
        <v>5</v>
      </c>
      <c r="C14" s="427" t="s">
        <v>1</v>
      </c>
      <c r="D14" s="21" t="s">
        <v>95</v>
      </c>
      <c r="G14">
        <v>5</v>
      </c>
      <c r="H14" s="527">
        <f t="shared" si="0"/>
        <v>24</v>
      </c>
      <c r="I14" s="4">
        <f t="shared" si="1"/>
        <v>1</v>
      </c>
      <c r="J14" s="351">
        <f t="shared" si="33"/>
        <v>0.25</v>
      </c>
      <c r="K14" s="4">
        <f t="shared" si="2"/>
        <v>5.7870370370370364E-2</v>
      </c>
      <c r="L14" s="4"/>
      <c r="M14" s="351">
        <f t="shared" si="3"/>
        <v>0.2087201356655361</v>
      </c>
      <c r="N14" s="4">
        <f t="shared" si="4"/>
        <v>1.9167331220619901</v>
      </c>
      <c r="O14" s="4">
        <f t="shared" si="34"/>
        <v>1.208366561030995</v>
      </c>
      <c r="P14" s="4">
        <f t="shared" si="35"/>
        <v>-0.70836656103099505</v>
      </c>
      <c r="Q14" s="4">
        <f t="shared" si="5"/>
        <v>23.612218701033168</v>
      </c>
      <c r="R14" s="4">
        <f t="shared" si="6"/>
        <v>0.60717006549575991</v>
      </c>
      <c r="S14" s="351">
        <f t="shared" si="7"/>
        <v>9.0320594666360721E-3</v>
      </c>
      <c r="T14" s="351">
        <f t="shared" si="8"/>
        <v>0.4</v>
      </c>
      <c r="U14" s="351">
        <f t="shared" si="9"/>
        <v>0.40932782532741263</v>
      </c>
      <c r="V14" s="4">
        <f t="shared" si="36"/>
        <v>0.55331319199358098</v>
      </c>
      <c r="W14" s="351">
        <f t="shared" si="10"/>
        <v>3.0615548843412541E-4</v>
      </c>
      <c r="X14" s="351">
        <f t="shared" si="37"/>
        <v>3.0615548843412541E-4</v>
      </c>
      <c r="Y14" s="4">
        <f t="shared" si="11"/>
        <v>0.24675023977194854</v>
      </c>
      <c r="Z14" s="351">
        <f t="shared" si="12"/>
        <v>6.08856808275141E-5</v>
      </c>
      <c r="AA14" s="520">
        <f t="shared" si="38"/>
        <v>6.08856808275141E-5</v>
      </c>
      <c r="AB14" s="351">
        <f t="shared" si="13"/>
        <v>0.27739110216410173</v>
      </c>
      <c r="AC14" s="351">
        <f t="shared" si="14"/>
        <v>8.8487697093787387E-4</v>
      </c>
      <c r="AD14" s="351">
        <f t="shared" si="15"/>
        <v>9.7750714285714281E-3</v>
      </c>
      <c r="AE14" s="351">
        <f t="shared" si="16"/>
        <v>9.3721331287686706E-3</v>
      </c>
      <c r="AF14" s="351">
        <f t="shared" si="17"/>
        <v>4.3635380159509291E-3</v>
      </c>
      <c r="AG14" s="351">
        <f t="shared" si="18"/>
        <v>2.4399073972816224E-2</v>
      </c>
      <c r="AH14" s="351">
        <f t="shared" si="19"/>
        <v>0.5401015320051501</v>
      </c>
      <c r="AI14" s="351">
        <f t="shared" si="20"/>
        <v>9.6264189408522347E-4</v>
      </c>
      <c r="AJ14" s="351">
        <f t="shared" si="21"/>
        <v>7.4435380159509294E-3</v>
      </c>
      <c r="AK14" s="351">
        <f t="shared" si="22"/>
        <v>8.4075396096116896E-3</v>
      </c>
      <c r="AL14" s="351">
        <f t="shared" si="23"/>
        <v>3.0799999999999998E-3</v>
      </c>
      <c r="AM14" s="351">
        <f t="shared" si="24"/>
        <v>3.8544000000000009E-2</v>
      </c>
      <c r="AN14" s="351">
        <f t="shared" si="25"/>
        <v>2.9492439074730033E-3</v>
      </c>
      <c r="AO14" s="351">
        <f t="shared" si="26"/>
        <v>8.3999999999999993E-4</v>
      </c>
      <c r="AP14" s="351">
        <f>'Variable Management'!$B$347</f>
        <v>0.41183999999999998</v>
      </c>
      <c r="AQ14" s="351">
        <f t="shared" si="27"/>
        <v>0.36108727954971853</v>
      </c>
      <c r="AR14" s="351">
        <f t="shared" si="28"/>
        <v>0.32603999999999994</v>
      </c>
      <c r="AS14" s="351">
        <f t="shared" si="47"/>
        <v>0.41267999999999999</v>
      </c>
      <c r="AT14" s="351">
        <f t="shared" si="40"/>
        <v>0.89975472398657519</v>
      </c>
      <c r="AU14">
        <f t="shared" si="29"/>
        <v>1.25</v>
      </c>
      <c r="AV14" s="521">
        <f t="shared" si="41"/>
        <v>0.58146168307143398</v>
      </c>
      <c r="AW14" s="530">
        <f t="shared" si="30"/>
        <v>2.093200786858282</v>
      </c>
      <c r="AX14" s="530">
        <f t="shared" si="31"/>
        <v>0.8450823843844677</v>
      </c>
      <c r="AY14" s="9"/>
      <c r="AZ14" s="4">
        <f t="shared" si="42"/>
        <v>58.146168307143398</v>
      </c>
      <c r="BA14" s="351">
        <f t="shared" si="32"/>
        <v>0.40932782532741263</v>
      </c>
      <c r="BB14" s="351">
        <f t="shared" si="43"/>
        <v>7.1350613582427919E-2</v>
      </c>
      <c r="BC14" s="351">
        <f t="shared" si="44"/>
        <v>4.9838113972816234E-2</v>
      </c>
      <c r="BD14" s="351">
        <f t="shared" si="45"/>
        <v>2.1127059609611691E-2</v>
      </c>
      <c r="BE14" s="351">
        <f t="shared" si="46"/>
        <v>2.9492439074730033E-3</v>
      </c>
      <c r="BJ14" s="18"/>
      <c r="BK14" s="18"/>
      <c r="BL14" s="18"/>
      <c r="BM14" s="19"/>
    </row>
    <row r="15" spans="1:65" x14ac:dyDescent="0.25">
      <c r="A15" s="23" t="s">
        <v>83</v>
      </c>
      <c r="B15" s="5">
        <f>Ta</f>
        <v>25</v>
      </c>
      <c r="C15" s="427" t="s">
        <v>453</v>
      </c>
      <c r="D15" s="21" t="s">
        <v>96</v>
      </c>
      <c r="G15">
        <v>6</v>
      </c>
      <c r="H15" s="527">
        <f t="shared" si="0"/>
        <v>24</v>
      </c>
      <c r="I15" s="4">
        <f t="shared" si="1"/>
        <v>1</v>
      </c>
      <c r="J15" s="351">
        <f t="shared" si="33"/>
        <v>0.3</v>
      </c>
      <c r="K15" s="4">
        <f t="shared" si="2"/>
        <v>6.9444444444444434E-2</v>
      </c>
      <c r="L15" s="4"/>
      <c r="M15" s="351">
        <f t="shared" si="3"/>
        <v>0.20879749535837974</v>
      </c>
      <c r="N15" s="4">
        <f t="shared" si="4"/>
        <v>1.9172617982878843</v>
      </c>
      <c r="O15" s="4">
        <f t="shared" si="34"/>
        <v>1.2586308991439421</v>
      </c>
      <c r="P15" s="4">
        <f t="shared" si="35"/>
        <v>-0.65863089914394224</v>
      </c>
      <c r="Q15" s="4">
        <f t="shared" si="5"/>
        <v>21.954363304798076</v>
      </c>
      <c r="R15" s="4">
        <f t="shared" si="6"/>
        <v>0.62954300906650351</v>
      </c>
      <c r="S15" s="351">
        <f t="shared" si="7"/>
        <v>9.7099478064804397E-3</v>
      </c>
      <c r="T15" s="351">
        <f t="shared" si="8"/>
        <v>0.4</v>
      </c>
      <c r="U15" s="351">
        <f t="shared" si="9"/>
        <v>0.41002845619918971</v>
      </c>
      <c r="V15" s="4">
        <f t="shared" si="36"/>
        <v>0.55346580767424802</v>
      </c>
      <c r="W15" s="351">
        <f t="shared" si="10"/>
        <v>3.063244002645077E-4</v>
      </c>
      <c r="X15" s="351">
        <f t="shared" si="37"/>
        <v>3.063244002645077E-4</v>
      </c>
      <c r="Y15" s="4">
        <f t="shared" si="11"/>
        <v>0.25587736787760784</v>
      </c>
      <c r="Z15" s="351">
        <f t="shared" si="12"/>
        <v>6.5473227391972657E-5</v>
      </c>
      <c r="AA15" s="520">
        <f t="shared" si="38"/>
        <v>6.5473227391972657E-5</v>
      </c>
      <c r="AB15" s="351">
        <f t="shared" si="13"/>
        <v>0.28766567769659485</v>
      </c>
      <c r="AC15" s="351">
        <f t="shared" si="14"/>
        <v>9.5164273443337365E-4</v>
      </c>
      <c r="AD15" s="351">
        <f t="shared" si="15"/>
        <v>1.1730085714285713E-2</v>
      </c>
      <c r="AE15" s="351">
        <f t="shared" si="16"/>
        <v>4.9165620420476827E-2</v>
      </c>
      <c r="AF15" s="351">
        <f t="shared" si="17"/>
        <v>4.0571663387266848E-3</v>
      </c>
      <c r="AG15" s="351">
        <f t="shared" si="18"/>
        <v>6.5914551544573943E-2</v>
      </c>
      <c r="AH15" s="351">
        <f t="shared" si="19"/>
        <v>0.55997576567193208</v>
      </c>
      <c r="AI15" s="351">
        <f t="shared" si="20"/>
        <v>1.0347904318615596E-3</v>
      </c>
      <c r="AJ15" s="351">
        <f t="shared" si="21"/>
        <v>7.7531663387266827E-3</v>
      </c>
      <c r="AK15" s="351">
        <f t="shared" si="22"/>
        <v>8.7894847767459004E-3</v>
      </c>
      <c r="AL15" s="351">
        <f t="shared" si="23"/>
        <v>3.6959999999999996E-3</v>
      </c>
      <c r="AM15" s="351">
        <f t="shared" si="24"/>
        <v>4.6252799999999997E-2</v>
      </c>
      <c r="AN15" s="351">
        <f t="shared" si="25"/>
        <v>3.1705952021160617E-3</v>
      </c>
      <c r="AO15" s="351">
        <f t="shared" si="26"/>
        <v>8.3999999999999993E-4</v>
      </c>
      <c r="AP15" s="351">
        <f>'Variable Management'!$B$347</f>
        <v>0.41183999999999998</v>
      </c>
      <c r="AQ15" s="351">
        <f t="shared" si="27"/>
        <v>0.36108727954971853</v>
      </c>
      <c r="AR15" s="351">
        <f t="shared" si="28"/>
        <v>0.32603999999999994</v>
      </c>
      <c r="AS15" s="351">
        <f t="shared" si="47"/>
        <v>0.41267999999999999</v>
      </c>
      <c r="AT15" s="351">
        <f t="shared" si="40"/>
        <v>0.95090368535028202</v>
      </c>
      <c r="AU15">
        <f t="shared" si="29"/>
        <v>1.5</v>
      </c>
      <c r="AV15" s="521">
        <f t="shared" si="41"/>
        <v>0.61201915398222617</v>
      </c>
      <c r="AW15" s="530">
        <f t="shared" si="30"/>
        <v>4.0505387808721052</v>
      </c>
      <c r="AX15" s="530">
        <f t="shared" si="31"/>
        <v>0.96211635106983606</v>
      </c>
      <c r="AY15" s="9"/>
      <c r="AZ15" s="4">
        <f t="shared" si="42"/>
        <v>61.201915398222617</v>
      </c>
      <c r="BA15" s="351">
        <f t="shared" si="32"/>
        <v>0.41002845619918971</v>
      </c>
      <c r="BB15" s="351">
        <f t="shared" si="43"/>
        <v>0.12095683632131984</v>
      </c>
      <c r="BC15" s="351">
        <f t="shared" si="44"/>
        <v>9.6441399544573939E-2</v>
      </c>
      <c r="BD15" s="351">
        <f t="shared" si="45"/>
        <v>2.4052908776745902E-2</v>
      </c>
      <c r="BE15" s="351">
        <f t="shared" si="46"/>
        <v>3.1705952021160617E-3</v>
      </c>
      <c r="BJ15" s="18"/>
      <c r="BK15" s="18"/>
      <c r="BL15" s="18"/>
      <c r="BM15" s="19"/>
    </row>
    <row r="16" spans="1:65" x14ac:dyDescent="0.25">
      <c r="A16" s="435" t="s">
        <v>464</v>
      </c>
      <c r="B16" s="5">
        <f>VCC</f>
        <v>5</v>
      </c>
      <c r="C16" s="427" t="s">
        <v>0</v>
      </c>
      <c r="D16" s="427" t="s">
        <v>463</v>
      </c>
      <c r="G16">
        <v>7</v>
      </c>
      <c r="H16" s="527">
        <f t="shared" si="0"/>
        <v>24</v>
      </c>
      <c r="I16" s="4">
        <f t="shared" si="1"/>
        <v>1</v>
      </c>
      <c r="J16" s="351">
        <f t="shared" si="33"/>
        <v>0.35</v>
      </c>
      <c r="K16" s="4">
        <f t="shared" si="2"/>
        <v>8.1018518518518517E-2</v>
      </c>
      <c r="L16" s="4"/>
      <c r="M16" s="351">
        <f t="shared" si="3"/>
        <v>0.20887485479336074</v>
      </c>
      <c r="N16" s="4">
        <f t="shared" si="4"/>
        <v>1.9177903374774941</v>
      </c>
      <c r="O16" s="4">
        <f t="shared" si="34"/>
        <v>1.3088951687387471</v>
      </c>
      <c r="P16" s="4">
        <f t="shared" si="35"/>
        <v>-0.60889516873874705</v>
      </c>
      <c r="Q16" s="4">
        <f t="shared" si="5"/>
        <v>20.296505624624903</v>
      </c>
      <c r="R16" s="4">
        <f t="shared" si="6"/>
        <v>0.65497581243648739</v>
      </c>
      <c r="S16" s="351">
        <f t="shared" si="7"/>
        <v>1.05103362144825E-2</v>
      </c>
      <c r="T16" s="351">
        <f t="shared" si="8"/>
        <v>0.4</v>
      </c>
      <c r="U16" s="351">
        <f t="shared" si="9"/>
        <v>0.41085579481761864</v>
      </c>
      <c r="V16" s="4">
        <f t="shared" si="36"/>
        <v>0.5536183837959473</v>
      </c>
      <c r="W16" s="351">
        <f t="shared" si="10"/>
        <v>3.0649331487683681E-4</v>
      </c>
      <c r="X16" s="351">
        <f t="shared" si="37"/>
        <v>3.0649331487683681E-4</v>
      </c>
      <c r="Y16" s="4">
        <f t="shared" si="11"/>
        <v>0.26625080954905173</v>
      </c>
      <c r="Z16" s="351">
        <f t="shared" si="12"/>
        <v>7.0889493585525416E-5</v>
      </c>
      <c r="AA16" s="520">
        <f t="shared" si="38"/>
        <v>7.0889493585525416E-5</v>
      </c>
      <c r="AB16" s="351">
        <f t="shared" si="13"/>
        <v>0.29934247335154723</v>
      </c>
      <c r="AC16" s="351">
        <f t="shared" si="14"/>
        <v>1.0304680380505502E-3</v>
      </c>
      <c r="AD16" s="351">
        <f t="shared" si="15"/>
        <v>1.3685099999999999E-2</v>
      </c>
      <c r="AE16" s="351">
        <f t="shared" si="16"/>
        <v>8.8514127001237661E-2</v>
      </c>
      <c r="AF16" s="351">
        <f t="shared" si="17"/>
        <v>3.7507942394306819E-3</v>
      </c>
      <c r="AG16" s="351">
        <f t="shared" si="18"/>
        <v>0.10699813058331047</v>
      </c>
      <c r="AH16" s="351">
        <f t="shared" si="19"/>
        <v>0.58256965122173587</v>
      </c>
      <c r="AI16" s="351">
        <f t="shared" si="20"/>
        <v>1.1199784151312293E-3</v>
      </c>
      <c r="AJ16" s="351">
        <f t="shared" si="21"/>
        <v>8.0627942394306817E-3</v>
      </c>
      <c r="AK16" s="351">
        <f t="shared" si="22"/>
        <v>9.1845007769227275E-3</v>
      </c>
      <c r="AL16" s="351">
        <f t="shared" si="23"/>
        <v>4.3119999999999999E-3</v>
      </c>
      <c r="AM16" s="351">
        <f t="shared" si="24"/>
        <v>5.3961599999999998E-2</v>
      </c>
      <c r="AN16" s="351">
        <f t="shared" si="25"/>
        <v>3.431946519014694E-3</v>
      </c>
      <c r="AO16" s="351">
        <f t="shared" si="26"/>
        <v>8.3999999999999993E-4</v>
      </c>
      <c r="AP16" s="351">
        <f>'Variable Management'!$B$347</f>
        <v>0.41183999999999998</v>
      </c>
      <c r="AQ16" s="351">
        <f t="shared" si="27"/>
        <v>0.36108727954971853</v>
      </c>
      <c r="AR16" s="351">
        <f t="shared" si="28"/>
        <v>0.32603999999999994</v>
      </c>
      <c r="AS16" s="351">
        <f t="shared" si="47"/>
        <v>0.41267999999999999</v>
      </c>
      <c r="AT16" s="351">
        <f t="shared" si="40"/>
        <v>1.0018013555053287</v>
      </c>
      <c r="AU16">
        <f t="shared" si="29"/>
        <v>1.75</v>
      </c>
      <c r="AV16" s="521">
        <f t="shared" si="41"/>
        <v>0.63594706663651512</v>
      </c>
      <c r="AW16" s="530">
        <f t="shared" si="30"/>
        <v>5.9897370364990401</v>
      </c>
      <c r="AX16" s="530">
        <f t="shared" si="31"/>
        <v>1.0796731510769093</v>
      </c>
      <c r="AY16" s="9"/>
      <c r="AZ16" s="4">
        <f t="shared" si="42"/>
        <v>63.594706663651515</v>
      </c>
      <c r="BA16" s="351">
        <f t="shared" si="32"/>
        <v>0.41085579481761864</v>
      </c>
      <c r="BB16" s="351">
        <f t="shared" si="43"/>
        <v>0.17014423136023321</v>
      </c>
      <c r="BC16" s="351">
        <f t="shared" si="44"/>
        <v>0.14261278658331047</v>
      </c>
      <c r="BD16" s="351">
        <f t="shared" si="45"/>
        <v>2.699182877692273E-2</v>
      </c>
      <c r="BE16" s="351">
        <f t="shared" si="46"/>
        <v>3.431946519014694E-3</v>
      </c>
      <c r="BJ16" s="18"/>
      <c r="BK16" s="18"/>
      <c r="BL16" s="18"/>
      <c r="BM16" s="19"/>
    </row>
    <row r="17" spans="1:65" x14ac:dyDescent="0.25">
      <c r="A17" s="24" t="s">
        <v>58</v>
      </c>
      <c r="B17" s="16" t="s">
        <v>111</v>
      </c>
      <c r="C17" s="24" t="s">
        <v>76</v>
      </c>
      <c r="D17" s="17" t="s">
        <v>107</v>
      </c>
      <c r="G17">
        <v>8</v>
      </c>
      <c r="H17" s="527">
        <f t="shared" si="0"/>
        <v>24</v>
      </c>
      <c r="I17" s="4">
        <f t="shared" si="1"/>
        <v>1</v>
      </c>
      <c r="J17" s="351">
        <f t="shared" si="33"/>
        <v>0.4</v>
      </c>
      <c r="K17" s="4">
        <f t="shared" si="2"/>
        <v>9.2592592592592587E-2</v>
      </c>
      <c r="L17" s="4"/>
      <c r="M17" s="351">
        <f t="shared" si="3"/>
        <v>0.20895221397048042</v>
      </c>
      <c r="N17" s="4">
        <f t="shared" si="4"/>
        <v>1.9183187396315053</v>
      </c>
      <c r="O17" s="4">
        <f t="shared" si="34"/>
        <v>1.3591593698157527</v>
      </c>
      <c r="P17" s="4">
        <f t="shared" si="35"/>
        <v>-0.55915936981575265</v>
      </c>
      <c r="Q17" s="4">
        <f t="shared" si="5"/>
        <v>18.638645660525089</v>
      </c>
      <c r="R17" s="4">
        <f t="shared" si="6"/>
        <v>0.68312680538470849</v>
      </c>
      <c r="S17" s="351">
        <f t="shared" si="7"/>
        <v>1.1433224689760376E-2</v>
      </c>
      <c r="T17" s="351">
        <f t="shared" si="8"/>
        <v>0.4</v>
      </c>
      <c r="U17" s="351">
        <f t="shared" si="9"/>
        <v>0.41180988988980649</v>
      </c>
      <c r="V17" s="4">
        <f t="shared" si="36"/>
        <v>0.55377092035887665</v>
      </c>
      <c r="W17" s="351">
        <f t="shared" si="10"/>
        <v>3.0666223223511728E-4</v>
      </c>
      <c r="X17" s="351">
        <f t="shared" si="37"/>
        <v>3.0666223223511728E-4</v>
      </c>
      <c r="Y17" s="4">
        <f t="shared" si="11"/>
        <v>0.27773216224082248</v>
      </c>
      <c r="Z17" s="351">
        <f t="shared" si="12"/>
        <v>7.7135153942962543E-5</v>
      </c>
      <c r="AA17" s="520">
        <f t="shared" si="38"/>
        <v>7.7135153942962543E-5</v>
      </c>
      <c r="AB17" s="351">
        <f t="shared" si="13"/>
        <v>0.3122660830156459</v>
      </c>
      <c r="AC17" s="351">
        <f t="shared" si="14"/>
        <v>1.121366225922244E-3</v>
      </c>
      <c r="AD17" s="351">
        <f t="shared" si="15"/>
        <v>1.5640114285714289E-2</v>
      </c>
      <c r="AE17" s="351">
        <f t="shared" si="16"/>
        <v>0.12741765103148106</v>
      </c>
      <c r="AF17" s="351">
        <f t="shared" si="17"/>
        <v>3.4444217180650363E-3</v>
      </c>
      <c r="AG17" s="351">
        <f t="shared" si="18"/>
        <v>0.14765004442487445</v>
      </c>
      <c r="AH17" s="351">
        <f t="shared" si="19"/>
        <v>0.60757890486189781</v>
      </c>
      <c r="AI17" s="351">
        <f t="shared" si="20"/>
        <v>1.2182020145895041E-3</v>
      </c>
      <c r="AJ17" s="351">
        <f t="shared" si="21"/>
        <v>8.3724217180650359E-3</v>
      </c>
      <c r="AK17" s="351">
        <f t="shared" si="22"/>
        <v>9.5925869317203989E-3</v>
      </c>
      <c r="AL17" s="351">
        <f t="shared" si="23"/>
        <v>4.9280000000000001E-3</v>
      </c>
      <c r="AM17" s="351">
        <f t="shared" si="24"/>
        <v>6.16704E-2</v>
      </c>
      <c r="AN17" s="351">
        <f t="shared" si="25"/>
        <v>3.733297857880939E-3</v>
      </c>
      <c r="AO17" s="351">
        <f t="shared" si="26"/>
        <v>8.3999999999999993E-4</v>
      </c>
      <c r="AP17" s="351">
        <f>'Variable Management'!$B$347</f>
        <v>0.41183999999999998</v>
      </c>
      <c r="AQ17" s="351">
        <f t="shared" si="27"/>
        <v>0.36108727954971853</v>
      </c>
      <c r="AR17" s="351">
        <f t="shared" si="28"/>
        <v>0.32603999999999994</v>
      </c>
      <c r="AS17" s="351">
        <f t="shared" si="47"/>
        <v>0.41267999999999999</v>
      </c>
      <c r="AT17" s="351">
        <f t="shared" si="40"/>
        <v>1.0524480164904606</v>
      </c>
      <c r="AU17">
        <f t="shared" si="29"/>
        <v>2</v>
      </c>
      <c r="AV17" s="521">
        <f t="shared" si="41"/>
        <v>0.6552118133364615</v>
      </c>
      <c r="AW17" s="530">
        <f t="shared" si="30"/>
        <v>7.9108053538447267</v>
      </c>
      <c r="AX17" s="530">
        <f t="shared" si="31"/>
        <v>1.197752757268816</v>
      </c>
      <c r="AY17" s="9"/>
      <c r="AZ17" s="4">
        <f t="shared" si="42"/>
        <v>65.521181333646155</v>
      </c>
      <c r="BA17" s="351">
        <f t="shared" si="32"/>
        <v>0.41180988988980649</v>
      </c>
      <c r="BB17" s="351">
        <f t="shared" si="43"/>
        <v>0.21891303135659484</v>
      </c>
      <c r="BC17" s="351">
        <f t="shared" si="44"/>
        <v>0.18835250842487444</v>
      </c>
      <c r="BD17" s="351">
        <f t="shared" si="45"/>
        <v>2.9943818931720399E-2</v>
      </c>
      <c r="BE17" s="351">
        <f t="shared" si="46"/>
        <v>3.733297857880939E-3</v>
      </c>
      <c r="BJ17" s="18"/>
      <c r="BK17" s="18"/>
      <c r="BL17" s="18"/>
      <c r="BM17" s="19"/>
    </row>
    <row r="18" spans="1:65" x14ac:dyDescent="0.25">
      <c r="A18" s="35" t="s">
        <v>56</v>
      </c>
      <c r="B18" s="38">
        <f>Lo_2*1000000</f>
        <v>4.7</v>
      </c>
      <c r="C18" s="428" t="s">
        <v>10</v>
      </c>
      <c r="D18" s="427" t="s">
        <v>456</v>
      </c>
      <c r="G18">
        <v>9</v>
      </c>
      <c r="H18" s="527">
        <f t="shared" si="0"/>
        <v>24</v>
      </c>
      <c r="I18" s="4">
        <f t="shared" si="1"/>
        <v>1</v>
      </c>
      <c r="J18" s="351">
        <f t="shared" si="33"/>
        <v>0.45</v>
      </c>
      <c r="K18" s="4">
        <f t="shared" si="2"/>
        <v>0.10416666666666666</v>
      </c>
      <c r="L18" s="4"/>
      <c r="M18" s="351">
        <f t="shared" si="3"/>
        <v>0.20902957288973997</v>
      </c>
      <c r="N18" s="4">
        <f t="shared" si="4"/>
        <v>1.9188470047506021</v>
      </c>
      <c r="O18" s="4">
        <f t="shared" si="34"/>
        <v>1.409423502375301</v>
      </c>
      <c r="P18" s="4">
        <f t="shared" si="35"/>
        <v>-0.5094235023753011</v>
      </c>
      <c r="Q18" s="4">
        <f t="shared" si="5"/>
        <v>16.980783412510039</v>
      </c>
      <c r="R18" s="4">
        <f t="shared" si="6"/>
        <v>0.71367440216345379</v>
      </c>
      <c r="S18" s="351">
        <f t="shared" si="7"/>
        <v>1.2478613231432401E-2</v>
      </c>
      <c r="T18" s="351">
        <f t="shared" si="8"/>
        <v>0.4</v>
      </c>
      <c r="U18" s="351">
        <f t="shared" si="9"/>
        <v>0.4128907975970349</v>
      </c>
      <c r="V18" s="4">
        <f t="shared" si="36"/>
        <v>0.55392341736323369</v>
      </c>
      <c r="W18" s="351">
        <f t="shared" si="10"/>
        <v>3.0683115230336315E-4</v>
      </c>
      <c r="X18" s="351">
        <f t="shared" si="37"/>
        <v>3.0683115230336315E-4</v>
      </c>
      <c r="Y18" s="4">
        <f t="shared" si="11"/>
        <v>0.29019111398441194</v>
      </c>
      <c r="Z18" s="351">
        <f t="shared" si="12"/>
        <v>8.4210882635513961E-5</v>
      </c>
      <c r="AA18" s="520">
        <f t="shared" si="38"/>
        <v>8.4210882635513961E-5</v>
      </c>
      <c r="AB18" s="351">
        <f t="shared" si="13"/>
        <v>0.32629016722146426</v>
      </c>
      <c r="AC18" s="351">
        <f t="shared" si="14"/>
        <v>1.2243506420922276E-3</v>
      </c>
      <c r="AD18" s="351">
        <f t="shared" si="15"/>
        <v>1.7595128571428573E-2</v>
      </c>
      <c r="AE18" s="351">
        <f t="shared" si="16"/>
        <v>0.16587619067164755</v>
      </c>
      <c r="AF18" s="351">
        <f t="shared" si="17"/>
        <v>3.1380487746318548E-3</v>
      </c>
      <c r="AG18" s="351">
        <f t="shared" si="18"/>
        <v>0.18787052176283231</v>
      </c>
      <c r="AH18" s="351">
        <f t="shared" si="19"/>
        <v>0.6347171646315799</v>
      </c>
      <c r="AI18" s="351">
        <f t="shared" si="20"/>
        <v>1.3294574009572421E-3</v>
      </c>
      <c r="AJ18" s="351">
        <f t="shared" si="21"/>
        <v>8.682048774631853E-3</v>
      </c>
      <c r="AK18" s="351">
        <f t="shared" si="22"/>
        <v>1.0013742733446324E-2</v>
      </c>
      <c r="AL18" s="351">
        <f t="shared" si="23"/>
        <v>5.5439999999999994E-3</v>
      </c>
      <c r="AM18" s="351">
        <f t="shared" si="24"/>
        <v>6.9379200000000016E-2</v>
      </c>
      <c r="AN18" s="351">
        <f t="shared" si="25"/>
        <v>4.0746492184269055E-3</v>
      </c>
      <c r="AO18" s="351">
        <f t="shared" si="26"/>
        <v>8.3999999999999993E-4</v>
      </c>
      <c r="AP18" s="351">
        <f>'Variable Management'!$B$347</f>
        <v>0.41183999999999998</v>
      </c>
      <c r="AQ18" s="351">
        <f t="shared" si="27"/>
        <v>0.36108727954971853</v>
      </c>
      <c r="AR18" s="351">
        <f t="shared" si="28"/>
        <v>0.32603999999999994</v>
      </c>
      <c r="AS18" s="351">
        <f t="shared" si="47"/>
        <v>0.41267999999999999</v>
      </c>
      <c r="AT18" s="351">
        <f t="shared" si="40"/>
        <v>1.1028439533466792</v>
      </c>
      <c r="AU18">
        <f t="shared" si="29"/>
        <v>2.25</v>
      </c>
      <c r="AV18" s="521">
        <f t="shared" si="41"/>
        <v>0.67107209023376624</v>
      </c>
      <c r="AW18" s="530">
        <f t="shared" si="30"/>
        <v>9.813753338038957</v>
      </c>
      <c r="AX18" s="530">
        <f t="shared" si="31"/>
        <v>1.3163551493378534</v>
      </c>
      <c r="AY18" s="9"/>
      <c r="AZ18" s="4">
        <f t="shared" si="42"/>
        <v>67.107209023376626</v>
      </c>
      <c r="BA18" s="351">
        <f t="shared" si="32"/>
        <v>0.4128907975970349</v>
      </c>
      <c r="BB18" s="351">
        <f t="shared" si="43"/>
        <v>0.26726346449627864</v>
      </c>
      <c r="BC18" s="351">
        <f t="shared" si="44"/>
        <v>0.23366079376283233</v>
      </c>
      <c r="BD18" s="351">
        <f t="shared" si="45"/>
        <v>3.2908878733446334E-2</v>
      </c>
      <c r="BE18" s="351">
        <f t="shared" si="46"/>
        <v>4.0746492184269055E-3</v>
      </c>
      <c r="BK18" s="18"/>
      <c r="BL18" s="19"/>
    </row>
    <row r="19" spans="1:65" x14ac:dyDescent="0.25">
      <c r="A19" s="35" t="s">
        <v>11</v>
      </c>
      <c r="B19" s="39">
        <f>Rdcr2*1000</f>
        <v>24.5</v>
      </c>
      <c r="C19" s="429" t="s">
        <v>454</v>
      </c>
      <c r="D19" s="427" t="s">
        <v>457</v>
      </c>
      <c r="G19">
        <v>10</v>
      </c>
      <c r="H19" s="527">
        <f t="shared" si="0"/>
        <v>24</v>
      </c>
      <c r="I19" s="4">
        <f t="shared" si="1"/>
        <v>1</v>
      </c>
      <c r="J19" s="351">
        <f t="shared" si="33"/>
        <v>0.5</v>
      </c>
      <c r="K19" s="4">
        <f t="shared" si="2"/>
        <v>0.11574074074074073</v>
      </c>
      <c r="L19" s="4"/>
      <c r="M19" s="351">
        <f t="shared" si="3"/>
        <v>0.20910693155114082</v>
      </c>
      <c r="N19" s="4">
        <f t="shared" si="4"/>
        <v>1.9193751328354713</v>
      </c>
      <c r="O19" s="4">
        <f t="shared" si="34"/>
        <v>1.4596875664177356</v>
      </c>
      <c r="P19" s="4">
        <f t="shared" si="35"/>
        <v>-0.45968756641773567</v>
      </c>
      <c r="Q19" s="4">
        <f t="shared" si="5"/>
        <v>15.322918880591191</v>
      </c>
      <c r="R19" s="4">
        <f t="shared" si="6"/>
        <v>0.7463243765586105</v>
      </c>
      <c r="S19" s="351">
        <f t="shared" si="7"/>
        <v>1.3646501838617169E-2</v>
      </c>
      <c r="T19" s="351">
        <f t="shared" si="8"/>
        <v>0.4</v>
      </c>
      <c r="U19" s="351">
        <f t="shared" si="9"/>
        <v>0.41409858160303431</v>
      </c>
      <c r="V19" s="4">
        <f t="shared" si="36"/>
        <v>0.55407587480921661</v>
      </c>
      <c r="W19" s="351">
        <f t="shared" si="10"/>
        <v>3.0700007504559868E-4</v>
      </c>
      <c r="X19" s="351">
        <f t="shared" si="37"/>
        <v>3.0700007504559868E-4</v>
      </c>
      <c r="Y19" s="4">
        <f t="shared" si="11"/>
        <v>0.30350840757853109</v>
      </c>
      <c r="Z19" s="351">
        <f t="shared" si="12"/>
        <v>9.2117353470855761E-5</v>
      </c>
      <c r="AA19" s="520">
        <f t="shared" si="38"/>
        <v>9.2117353470855761E-5</v>
      </c>
      <c r="AB19" s="351">
        <f t="shared" si="13"/>
        <v>0.34128078845217802</v>
      </c>
      <c r="AC19" s="351">
        <f t="shared" si="14"/>
        <v>1.3394346305152132E-3</v>
      </c>
      <c r="AD19" s="351">
        <f t="shared" si="15"/>
        <v>1.9550142857142856E-2</v>
      </c>
      <c r="AE19" s="351">
        <f t="shared" si="16"/>
        <v>0.20388974408218641</v>
      </c>
      <c r="AF19" s="351">
        <f t="shared" si="17"/>
        <v>2.8316754091332517E-3</v>
      </c>
      <c r="AG19" s="351">
        <f t="shared" si="18"/>
        <v>0.22765978664333067</v>
      </c>
      <c r="AH19" s="351">
        <f t="shared" si="19"/>
        <v>0.66372245590989187</v>
      </c>
      <c r="AI19" s="351">
        <f t="shared" si="20"/>
        <v>1.4537407449808925E-3</v>
      </c>
      <c r="AJ19" s="351">
        <f t="shared" si="21"/>
        <v>8.9916754091332509E-3</v>
      </c>
      <c r="AK19" s="351">
        <f t="shared" si="22"/>
        <v>1.0447967845055991E-2</v>
      </c>
      <c r="AL19" s="351">
        <f t="shared" si="23"/>
        <v>6.1599999999999997E-3</v>
      </c>
      <c r="AM19" s="351">
        <f t="shared" si="24"/>
        <v>7.7088000000000018E-2</v>
      </c>
      <c r="AN19" s="351">
        <f t="shared" si="25"/>
        <v>4.4560006003647899E-3</v>
      </c>
      <c r="AO19" s="351">
        <f t="shared" si="26"/>
        <v>8.3999999999999993E-4</v>
      </c>
      <c r="AP19" s="351">
        <f>'Variable Management'!$B$347</f>
        <v>0.41183999999999998</v>
      </c>
      <c r="AQ19" s="351">
        <f t="shared" si="27"/>
        <v>0.36108727954971853</v>
      </c>
      <c r="AR19" s="351">
        <f t="shared" si="28"/>
        <v>0.32603999999999994</v>
      </c>
      <c r="AS19" s="351">
        <f t="shared" si="47"/>
        <v>0.41267999999999999</v>
      </c>
      <c r="AT19" s="351">
        <f t="shared" si="40"/>
        <v>1.1529894541203023</v>
      </c>
      <c r="AU19">
        <f t="shared" si="29"/>
        <v>2.5</v>
      </c>
      <c r="AV19" s="521">
        <f t="shared" si="41"/>
        <v>0.68437098748812009</v>
      </c>
      <c r="AW19" s="530">
        <f t="shared" si="30"/>
        <v>11.698590399019889</v>
      </c>
      <c r="AX19" s="530">
        <f t="shared" si="31"/>
        <v>1.4354803138022398</v>
      </c>
      <c r="AY19" s="9"/>
      <c r="AZ19" s="4">
        <f t="shared" si="42"/>
        <v>68.437098748812005</v>
      </c>
      <c r="BA19" s="351">
        <f t="shared" si="32"/>
        <v>0.41409858160303431</v>
      </c>
      <c r="BB19" s="351">
        <f t="shared" si="43"/>
        <v>0.31519575448838666</v>
      </c>
      <c r="BC19" s="351">
        <f t="shared" si="44"/>
        <v>0.27853786664333069</v>
      </c>
      <c r="BD19" s="351">
        <f t="shared" si="45"/>
        <v>3.5887007845055996E-2</v>
      </c>
      <c r="BE19" s="351">
        <f t="shared" si="46"/>
        <v>4.4560006003647899E-3</v>
      </c>
      <c r="BK19" s="18"/>
      <c r="BL19" s="19"/>
    </row>
    <row r="20" spans="1:65" x14ac:dyDescent="0.25">
      <c r="A20" s="35" t="s">
        <v>82</v>
      </c>
      <c r="B20" s="39">
        <f>Ltc*1000000</f>
        <v>4000</v>
      </c>
      <c r="C20" s="428" t="s">
        <v>81</v>
      </c>
      <c r="D20" s="21" t="s">
        <v>97</v>
      </c>
      <c r="G20">
        <v>11</v>
      </c>
      <c r="H20" s="527">
        <f t="shared" si="0"/>
        <v>24</v>
      </c>
      <c r="I20" s="4">
        <f t="shared" si="1"/>
        <v>1</v>
      </c>
      <c r="J20" s="351">
        <f t="shared" si="33"/>
        <v>0.55000000000000004</v>
      </c>
      <c r="K20" s="4">
        <f t="shared" si="2"/>
        <v>0.1273148148148148</v>
      </c>
      <c r="L20" s="4"/>
      <c r="M20" s="351">
        <f t="shared" si="3"/>
        <v>0.20918428995468413</v>
      </c>
      <c r="N20" s="4">
        <f t="shared" si="4"/>
        <v>1.9199031238867967</v>
      </c>
      <c r="O20" s="4">
        <f t="shared" si="34"/>
        <v>1.5099515619433985</v>
      </c>
      <c r="P20" s="4">
        <f t="shared" si="35"/>
        <v>-0.40995156194339832</v>
      </c>
      <c r="Q20" s="4">
        <f t="shared" si="5"/>
        <v>13.665052064779944</v>
      </c>
      <c r="R20" s="4">
        <f t="shared" si="6"/>
        <v>0.7808130380736843</v>
      </c>
      <c r="S20" s="351">
        <f t="shared" si="7"/>
        <v>1.4936890510433492E-2</v>
      </c>
      <c r="T20" s="351">
        <f t="shared" si="8"/>
        <v>0.4</v>
      </c>
      <c r="U20" s="351">
        <f t="shared" si="9"/>
        <v>0.41543331306336267</v>
      </c>
      <c r="V20" s="4">
        <f t="shared" si="36"/>
        <v>0.55422829269702278</v>
      </c>
      <c r="W20" s="351">
        <f t="shared" si="10"/>
        <v>3.0716900042585676E-4</v>
      </c>
      <c r="X20" s="351">
        <f t="shared" si="37"/>
        <v>3.0716900042585676E-4</v>
      </c>
      <c r="Y20" s="4">
        <f t="shared" si="11"/>
        <v>0.3175771400669698</v>
      </c>
      <c r="Z20" s="351">
        <f t="shared" si="12"/>
        <v>1.0085523989311574E-4</v>
      </c>
      <c r="AA20" s="520">
        <f t="shared" si="38"/>
        <v>1.0085523989311574E-4</v>
      </c>
      <c r="AB20" s="351">
        <f t="shared" si="13"/>
        <v>0.35711787544376</v>
      </c>
      <c r="AC20" s="351">
        <f t="shared" si="14"/>
        <v>1.466631535056846E-3</v>
      </c>
      <c r="AD20" s="351">
        <f t="shared" si="15"/>
        <v>2.1505157142857147E-2</v>
      </c>
      <c r="AE20" s="351">
        <f t="shared" si="16"/>
        <v>0.24145830942355784</v>
      </c>
      <c r="AF20" s="351">
        <f t="shared" si="17"/>
        <v>2.5253016215713337E-3</v>
      </c>
      <c r="AG20" s="351">
        <f t="shared" si="18"/>
        <v>0.26701805845983784</v>
      </c>
      <c r="AH20" s="351">
        <f t="shared" si="19"/>
        <v>0.69436000998357617</v>
      </c>
      <c r="AI20" s="351">
        <f t="shared" si="20"/>
        <v>1.5910482174324935E-3</v>
      </c>
      <c r="AJ20" s="351">
        <f t="shared" si="21"/>
        <v>9.301301621571334E-3</v>
      </c>
      <c r="AK20" s="351">
        <f t="shared" si="22"/>
        <v>1.0895262100077416E-2</v>
      </c>
      <c r="AL20" s="351">
        <f t="shared" si="23"/>
        <v>6.7759999999999999E-3</v>
      </c>
      <c r="AM20" s="351">
        <f t="shared" si="24"/>
        <v>8.4796800000000019E-2</v>
      </c>
      <c r="AN20" s="351">
        <f t="shared" si="25"/>
        <v>4.8773520034068544E-3</v>
      </c>
      <c r="AO20" s="351">
        <f t="shared" si="26"/>
        <v>8.3999999999999993E-4</v>
      </c>
      <c r="AP20" s="351">
        <f>'Variable Management'!$B$347</f>
        <v>0.41183999999999998</v>
      </c>
      <c r="AQ20" s="351">
        <f t="shared" si="27"/>
        <v>0.36108727954971853</v>
      </c>
      <c r="AR20" s="351">
        <f t="shared" si="28"/>
        <v>0.32603999999999994</v>
      </c>
      <c r="AS20" s="351">
        <f t="shared" si="47"/>
        <v>0.41267999999999999</v>
      </c>
      <c r="AT20" s="351">
        <f t="shared" si="40"/>
        <v>1.2028848098670037</v>
      </c>
      <c r="AU20">
        <f t="shared" si="29"/>
        <v>2.75</v>
      </c>
      <c r="AV20" s="521">
        <f t="shared" si="41"/>
        <v>0.69569444400089275</v>
      </c>
      <c r="AW20" s="530">
        <f t="shared" si="30"/>
        <v>13.565325751313189</v>
      </c>
      <c r="AX20" s="530">
        <f t="shared" si="31"/>
        <v>1.5551282440030969</v>
      </c>
      <c r="AY20" s="9"/>
      <c r="AZ20" s="4">
        <f t="shared" si="42"/>
        <v>69.569444400089282</v>
      </c>
      <c r="BA20" s="351">
        <f t="shared" si="32"/>
        <v>0.41543331306336267</v>
      </c>
      <c r="BB20" s="351">
        <f t="shared" si="43"/>
        <v>0.36271012055991525</v>
      </c>
      <c r="BC20" s="351">
        <f t="shared" si="44"/>
        <v>0.32298394645983786</v>
      </c>
      <c r="BD20" s="351">
        <f t="shared" si="45"/>
        <v>3.8878206100077424E-2</v>
      </c>
      <c r="BE20" s="351">
        <f t="shared" si="46"/>
        <v>4.8773520034068544E-3</v>
      </c>
      <c r="BK20" s="18"/>
      <c r="BL20" s="19"/>
    </row>
    <row r="21" spans="1:65" x14ac:dyDescent="0.25">
      <c r="A21" s="25" t="s">
        <v>129</v>
      </c>
      <c r="B21" s="39">
        <f>ThetaCa</f>
        <v>20</v>
      </c>
      <c r="C21" s="428" t="s">
        <v>202</v>
      </c>
      <c r="D21" s="26" t="s">
        <v>130</v>
      </c>
      <c r="G21">
        <v>12</v>
      </c>
      <c r="H21" s="527">
        <f t="shared" si="0"/>
        <v>24</v>
      </c>
      <c r="I21" s="4">
        <f t="shared" si="1"/>
        <v>1</v>
      </c>
      <c r="J21" s="351">
        <f t="shared" si="33"/>
        <v>0.6</v>
      </c>
      <c r="K21" s="4">
        <f t="shared" si="2"/>
        <v>0.13888888888888887</v>
      </c>
      <c r="L21" s="4"/>
      <c r="M21" s="351">
        <f t="shared" si="3"/>
        <v>0.20926164810037134</v>
      </c>
      <c r="N21" s="4">
        <f t="shared" si="4"/>
        <v>1.9204309779052648</v>
      </c>
      <c r="O21" s="4">
        <f t="shared" si="34"/>
        <v>1.5602154889526325</v>
      </c>
      <c r="P21" s="4">
        <f t="shared" si="35"/>
        <v>-0.36021548895263245</v>
      </c>
      <c r="Q21" s="4">
        <f t="shared" si="5"/>
        <v>12.007182965087749</v>
      </c>
      <c r="R21" s="4">
        <f t="shared" si="6"/>
        <v>0.81690753969355734</v>
      </c>
      <c r="S21" s="351">
        <f t="shared" si="7"/>
        <v>1.6349779246000434E-2</v>
      </c>
      <c r="T21" s="351">
        <f t="shared" si="8"/>
        <v>0.4</v>
      </c>
      <c r="U21" s="351">
        <f t="shared" si="9"/>
        <v>0.41689507063589187</v>
      </c>
      <c r="V21" s="4">
        <f t="shared" si="36"/>
        <v>0.55438067102685051</v>
      </c>
      <c r="W21" s="351">
        <f t="shared" si="10"/>
        <v>3.0733792840818104E-4</v>
      </c>
      <c r="X21" s="351">
        <f t="shared" si="37"/>
        <v>3.0733792840818104E-4</v>
      </c>
      <c r="Y21" s="4">
        <f t="shared" si="11"/>
        <v>0.33230289644070221</v>
      </c>
      <c r="Z21" s="351">
        <f t="shared" si="12"/>
        <v>1.1042521498288006E-4</v>
      </c>
      <c r="AA21" s="520">
        <f t="shared" si="38"/>
        <v>1.1042521498288006E-4</v>
      </c>
      <c r="AB21" s="351">
        <f t="shared" si="13"/>
        <v>0.37369537692963711</v>
      </c>
      <c r="AC21" s="351">
        <f t="shared" si="14"/>
        <v>1.6059546994937109E-3</v>
      </c>
      <c r="AD21" s="351">
        <f t="shared" si="15"/>
        <v>2.3460171428571427E-2</v>
      </c>
      <c r="AE21" s="351">
        <f t="shared" si="16"/>
        <v>0.27858188485623042</v>
      </c>
      <c r="AF21" s="351">
        <f t="shared" si="17"/>
        <v>2.2189274119482159E-3</v>
      </c>
      <c r="AG21" s="351">
        <f t="shared" si="18"/>
        <v>0.30594555194775414</v>
      </c>
      <c r="AH21" s="351">
        <f t="shared" si="19"/>
        <v>0.7264225310861423</v>
      </c>
      <c r="AI21" s="351">
        <f t="shared" si="20"/>
        <v>1.7413759891096714E-3</v>
      </c>
      <c r="AJ21" s="351">
        <f t="shared" si="21"/>
        <v>9.6109274119482151E-3</v>
      </c>
      <c r="AK21" s="351">
        <f t="shared" si="22"/>
        <v>1.1355625502541249E-2</v>
      </c>
      <c r="AL21" s="351">
        <f t="shared" si="23"/>
        <v>7.3919999999999993E-3</v>
      </c>
      <c r="AM21" s="351">
        <f t="shared" si="24"/>
        <v>9.2505599999999993E-2</v>
      </c>
      <c r="AN21" s="351">
        <f t="shared" si="25"/>
        <v>5.338703427265448E-3</v>
      </c>
      <c r="AO21" s="351">
        <f t="shared" si="26"/>
        <v>8.3999999999999993E-4</v>
      </c>
      <c r="AP21" s="351">
        <f>'Variable Management'!$B$347</f>
        <v>0.41183999999999998</v>
      </c>
      <c r="AQ21" s="351">
        <f t="shared" si="27"/>
        <v>0.36108727954971853</v>
      </c>
      <c r="AR21" s="351">
        <f t="shared" si="28"/>
        <v>0.32603999999999994</v>
      </c>
      <c r="AS21" s="351">
        <f t="shared" si="47"/>
        <v>0.41267999999999999</v>
      </c>
      <c r="AT21" s="351">
        <f t="shared" si="40"/>
        <v>1.2525303146568436</v>
      </c>
      <c r="AU21">
        <f t="shared" si="29"/>
        <v>3</v>
      </c>
      <c r="AV21" s="521">
        <f t="shared" si="41"/>
        <v>0.70546234312784284</v>
      </c>
      <c r="AW21" s="530">
        <f t="shared" si="30"/>
        <v>15.413968413805673</v>
      </c>
      <c r="AX21" s="530">
        <f t="shared" si="31"/>
        <v>1.67529894010165</v>
      </c>
      <c r="AY21" s="9"/>
      <c r="AZ21" s="4">
        <f t="shared" si="42"/>
        <v>70.546234312784279</v>
      </c>
      <c r="BA21" s="351">
        <f t="shared" si="32"/>
        <v>0.41689507063589187</v>
      </c>
      <c r="BB21" s="351">
        <f t="shared" si="43"/>
        <v>0.40980677745029537</v>
      </c>
      <c r="BC21" s="351">
        <f t="shared" si="44"/>
        <v>0.36699924794775413</v>
      </c>
      <c r="BD21" s="351">
        <f t="shared" si="45"/>
        <v>4.1882473502541248E-2</v>
      </c>
      <c r="BE21" s="351">
        <f t="shared" si="46"/>
        <v>5.338703427265448E-3</v>
      </c>
      <c r="BK21" s="18"/>
      <c r="BL21" s="19"/>
    </row>
    <row r="22" spans="1:65" x14ac:dyDescent="0.25">
      <c r="A22" s="36" t="s">
        <v>57</v>
      </c>
      <c r="B22" s="39">
        <f>Cin*1000000</f>
        <v>40</v>
      </c>
      <c r="C22" s="430" t="s">
        <v>455</v>
      </c>
      <c r="D22" s="427" t="s">
        <v>472</v>
      </c>
      <c r="G22">
        <v>13</v>
      </c>
      <c r="H22" s="527">
        <f t="shared" si="0"/>
        <v>24</v>
      </c>
      <c r="I22" s="4">
        <f t="shared" si="1"/>
        <v>1</v>
      </c>
      <c r="J22" s="351">
        <f t="shared" si="33"/>
        <v>0.65</v>
      </c>
      <c r="K22" s="4">
        <f t="shared" si="2"/>
        <v>0.15046296296296297</v>
      </c>
      <c r="L22" s="4"/>
      <c r="M22" s="351">
        <f t="shared" si="3"/>
        <v>0.20933900598820357</v>
      </c>
      <c r="N22" s="4">
        <f t="shared" si="4"/>
        <v>1.9209586948915591</v>
      </c>
      <c r="O22" s="4">
        <f t="shared" si="34"/>
        <v>1.6104793474457795</v>
      </c>
      <c r="P22" s="4">
        <f t="shared" si="35"/>
        <v>-0.31047934744577954</v>
      </c>
      <c r="Q22" s="4">
        <f t="shared" si="5"/>
        <v>10.349311581525985</v>
      </c>
      <c r="R22" s="4">
        <f t="shared" si="6"/>
        <v>0.85440438842308364</v>
      </c>
      <c r="S22" s="351">
        <f t="shared" si="7"/>
        <v>1.7885168044437277E-2</v>
      </c>
      <c r="T22" s="351">
        <f t="shared" si="8"/>
        <v>0.4</v>
      </c>
      <c r="U22" s="351">
        <f t="shared" si="9"/>
        <v>0.41848394049240573</v>
      </c>
      <c r="V22" s="4">
        <f t="shared" si="36"/>
        <v>0.55453300979889697</v>
      </c>
      <c r="W22" s="351">
        <f t="shared" si="10"/>
        <v>3.0750685895662358E-4</v>
      </c>
      <c r="X22" s="351">
        <f t="shared" si="37"/>
        <v>3.0750685895662358E-4</v>
      </c>
      <c r="Y22" s="4">
        <f t="shared" si="11"/>
        <v>0.34760315225440414</v>
      </c>
      <c r="Z22" s="351">
        <f t="shared" si="12"/>
        <v>1.2082795145719847E-4</v>
      </c>
      <c r="AA22" s="520">
        <f t="shared" si="38"/>
        <v>1.2082795145719847E-4</v>
      </c>
      <c r="AB22" s="351">
        <f t="shared" si="13"/>
        <v>0.39092059323927958</v>
      </c>
      <c r="AC22" s="351">
        <f t="shared" si="14"/>
        <v>1.7574174675133282E-3</v>
      </c>
      <c r="AD22" s="351">
        <f t="shared" si="15"/>
        <v>2.5415185714285717E-2</v>
      </c>
      <c r="AE22" s="351">
        <f t="shared" si="16"/>
        <v>0.31526046854068401</v>
      </c>
      <c r="AF22" s="351">
        <f t="shared" si="17"/>
        <v>1.9125527802660021E-3</v>
      </c>
      <c r="AG22" s="351">
        <f t="shared" si="18"/>
        <v>0.3444424771789007</v>
      </c>
      <c r="AH22" s="351">
        <f t="shared" si="19"/>
        <v>0.75972886527897132</v>
      </c>
      <c r="AI22" s="351">
        <f t="shared" si="20"/>
        <v>1.904720230835642E-3</v>
      </c>
      <c r="AJ22" s="351">
        <f t="shared" si="21"/>
        <v>9.9205527802660003E-3</v>
      </c>
      <c r="AK22" s="351">
        <f t="shared" si="22"/>
        <v>1.1829058226916421E-2</v>
      </c>
      <c r="AL22" s="351">
        <f t="shared" si="23"/>
        <v>8.0079999999999995E-3</v>
      </c>
      <c r="AM22" s="351">
        <f t="shared" si="24"/>
        <v>0.10021440000000001</v>
      </c>
      <c r="AN22" s="351">
        <f t="shared" si="25"/>
        <v>5.8400548716529884E-3</v>
      </c>
      <c r="AO22" s="351">
        <f t="shared" si="26"/>
        <v>8.3999999999999993E-4</v>
      </c>
      <c r="AP22" s="351">
        <f>'Variable Management'!$B$347</f>
        <v>0.41183999999999998</v>
      </c>
      <c r="AQ22" s="351">
        <f t="shared" si="27"/>
        <v>0.36108727954971853</v>
      </c>
      <c r="AR22" s="351">
        <f t="shared" si="28"/>
        <v>0.32603999999999994</v>
      </c>
      <c r="AS22" s="351">
        <f t="shared" si="47"/>
        <v>0.41267999999999999</v>
      </c>
      <c r="AT22" s="351">
        <f t="shared" si="40"/>
        <v>1.3019262655802897</v>
      </c>
      <c r="AU22">
        <f t="shared" si="29"/>
        <v>3.25</v>
      </c>
      <c r="AV22" s="521">
        <f t="shared" si="41"/>
        <v>0.71398344577220041</v>
      </c>
      <c r="AW22" s="530">
        <f t="shared" si="30"/>
        <v>17.24452720951383</v>
      </c>
      <c r="AX22" s="530">
        <f t="shared" si="31"/>
        <v>1.7959924090766568</v>
      </c>
      <c r="AY22" s="9"/>
      <c r="AZ22" s="4">
        <f t="shared" si="42"/>
        <v>71.398344577220044</v>
      </c>
      <c r="BA22" s="351">
        <f t="shared" si="32"/>
        <v>0.41848394049240573</v>
      </c>
      <c r="BB22" s="351">
        <f t="shared" si="43"/>
        <v>0.45648593540581717</v>
      </c>
      <c r="BC22" s="351">
        <f t="shared" si="44"/>
        <v>0.41058398117890071</v>
      </c>
      <c r="BD22" s="351">
        <f t="shared" si="45"/>
        <v>4.4899810226916421E-2</v>
      </c>
      <c r="BE22" s="351">
        <f t="shared" si="46"/>
        <v>5.8400548716529884E-3</v>
      </c>
      <c r="BK22" s="18"/>
      <c r="BL22" s="19"/>
    </row>
    <row r="23" spans="1:65" x14ac:dyDescent="0.25">
      <c r="A23" s="36" t="s">
        <v>86</v>
      </c>
      <c r="B23" s="39">
        <f>RCinEsr*1000</f>
        <v>1</v>
      </c>
      <c r="C23" s="429" t="s">
        <v>454</v>
      </c>
      <c r="D23" s="427" t="s">
        <v>468</v>
      </c>
      <c r="G23">
        <v>14</v>
      </c>
      <c r="H23" s="527">
        <f t="shared" si="0"/>
        <v>24</v>
      </c>
      <c r="I23" s="4">
        <f t="shared" si="1"/>
        <v>1</v>
      </c>
      <c r="J23" s="351">
        <f t="shared" si="33"/>
        <v>0.7</v>
      </c>
      <c r="K23" s="4">
        <f t="shared" si="2"/>
        <v>0.16203703703703703</v>
      </c>
      <c r="L23" s="4"/>
      <c r="M23" s="351">
        <f t="shared" si="3"/>
        <v>0.20941636361818225</v>
      </c>
      <c r="N23" s="4">
        <f t="shared" si="4"/>
        <v>1.9214862748463657</v>
      </c>
      <c r="O23" s="4">
        <f t="shared" si="34"/>
        <v>1.6607431374231827</v>
      </c>
      <c r="P23" s="4">
        <f t="shared" si="35"/>
        <v>-0.26074313742318289</v>
      </c>
      <c r="Q23" s="4">
        <f t="shared" si="5"/>
        <v>8.6914379141060962</v>
      </c>
      <c r="R23" s="4">
        <f t="shared" si="6"/>
        <v>0.89312697419529707</v>
      </c>
      <c r="S23" s="351">
        <f t="shared" si="7"/>
        <v>1.9543056904863548E-2</v>
      </c>
      <c r="T23" s="351">
        <f t="shared" si="8"/>
        <v>0.4</v>
      </c>
      <c r="U23" s="351">
        <f t="shared" si="9"/>
        <v>0.4202000163313106</v>
      </c>
      <c r="V23" s="4">
        <f t="shared" si="36"/>
        <v>0.55468530901336022</v>
      </c>
      <c r="W23" s="351">
        <f t="shared" si="10"/>
        <v>3.0767579203524694E-4</v>
      </c>
      <c r="X23" s="351">
        <f t="shared" si="37"/>
        <v>3.0767579203524694E-4</v>
      </c>
      <c r="Y23" s="4">
        <f t="shared" si="11"/>
        <v>0.36340627632113215</v>
      </c>
      <c r="Z23" s="351">
        <f t="shared" si="12"/>
        <v>1.3206412166959106E-4</v>
      </c>
      <c r="AA23" s="520">
        <f t="shared" si="38"/>
        <v>1.3206412166959106E-4</v>
      </c>
      <c r="AB23" s="351">
        <f t="shared" si="13"/>
        <v>0.408713057919948</v>
      </c>
      <c r="AC23" s="351">
        <f t="shared" si="14"/>
        <v>1.9210331827141597E-3</v>
      </c>
      <c r="AD23" s="351">
        <f t="shared" si="15"/>
        <v>2.7370199999999997E-2</v>
      </c>
      <c r="AE23" s="351">
        <f t="shared" si="16"/>
        <v>0.3514940586374069</v>
      </c>
      <c r="AF23" s="351">
        <f t="shared" si="17"/>
        <v>1.6061777265268065E-3</v>
      </c>
      <c r="AG23" s="351">
        <f t="shared" si="18"/>
        <v>0.38250903955587584</v>
      </c>
      <c r="AH23" s="351">
        <f t="shared" si="19"/>
        <v>0.7941217969058475</v>
      </c>
      <c r="AI23" s="351">
        <f t="shared" si="20"/>
        <v>2.0810771134592079E-3</v>
      </c>
      <c r="AJ23" s="351">
        <f t="shared" si="21"/>
        <v>1.0230177726526804E-2</v>
      </c>
      <c r="AK23" s="351">
        <f t="shared" si="22"/>
        <v>1.2315560618051408E-2</v>
      </c>
      <c r="AL23" s="351">
        <f t="shared" si="23"/>
        <v>8.6239999999999997E-3</v>
      </c>
      <c r="AM23" s="351">
        <f t="shared" si="24"/>
        <v>0.1079232</v>
      </c>
      <c r="AN23" s="351">
        <f t="shared" si="25"/>
        <v>6.3814063362819745E-3</v>
      </c>
      <c r="AO23" s="351">
        <f t="shared" si="26"/>
        <v>8.3999999999999993E-4</v>
      </c>
      <c r="AP23" s="351">
        <f>'Variable Management'!$B$347</f>
        <v>0.41183999999999998</v>
      </c>
      <c r="AQ23" s="351">
        <f t="shared" si="27"/>
        <v>0.36108727954971853</v>
      </c>
      <c r="AR23" s="351">
        <f t="shared" si="28"/>
        <v>0.32603999999999994</v>
      </c>
      <c r="AS23" s="351">
        <f t="shared" si="47"/>
        <v>0.41267999999999999</v>
      </c>
      <c r="AT23" s="351">
        <f t="shared" si="40"/>
        <v>1.3510729627552245</v>
      </c>
      <c r="AU23">
        <f t="shared" si="29"/>
        <v>3.5</v>
      </c>
      <c r="AV23" s="521">
        <f t="shared" si="41"/>
        <v>0.72148986974051477</v>
      </c>
      <c r="AW23" s="530">
        <f t="shared" si="30"/>
        <v>19.057010765346785</v>
      </c>
      <c r="AX23" s="530">
        <f t="shared" si="31"/>
        <v>1.9172086647220565</v>
      </c>
      <c r="AY23" s="9"/>
      <c r="AZ23" s="4">
        <f t="shared" si="42"/>
        <v>72.148986974051482</v>
      </c>
      <c r="BA23" s="351">
        <f t="shared" si="32"/>
        <v>0.4202000163313106</v>
      </c>
      <c r="BB23" s="351">
        <f t="shared" si="43"/>
        <v>0.50274780017392717</v>
      </c>
      <c r="BC23" s="351">
        <f t="shared" si="44"/>
        <v>0.45373835155587583</v>
      </c>
      <c r="BD23" s="351">
        <f t="shared" si="45"/>
        <v>4.7930216618051413E-2</v>
      </c>
      <c r="BE23" s="351">
        <f t="shared" si="46"/>
        <v>6.3814063362819745E-3</v>
      </c>
      <c r="BK23" s="18"/>
      <c r="BL23" s="19"/>
    </row>
    <row r="24" spans="1:65" x14ac:dyDescent="0.25">
      <c r="A24" s="35" t="s">
        <v>25</v>
      </c>
      <c r="B24" s="39">
        <f>Cout2*1000000</f>
        <v>66</v>
      </c>
      <c r="C24" s="428" t="s">
        <v>455</v>
      </c>
      <c r="D24" s="427" t="s">
        <v>471</v>
      </c>
      <c r="G24">
        <v>15</v>
      </c>
      <c r="H24" s="527">
        <f t="shared" si="0"/>
        <v>24</v>
      </c>
      <c r="I24" s="4">
        <f t="shared" si="1"/>
        <v>1</v>
      </c>
      <c r="J24" s="351">
        <f t="shared" si="33"/>
        <v>0.75</v>
      </c>
      <c r="K24" s="4">
        <f t="shared" si="2"/>
        <v>0.1736111111111111</v>
      </c>
      <c r="L24" s="4"/>
      <c r="M24" s="351">
        <f t="shared" si="3"/>
        <v>0.20949372099030858</v>
      </c>
      <c r="N24" s="4">
        <f t="shared" si="4"/>
        <v>1.9220137177703698</v>
      </c>
      <c r="O24" s="4">
        <f t="shared" si="34"/>
        <v>1.711006858885185</v>
      </c>
      <c r="P24" s="4">
        <f t="shared" si="35"/>
        <v>-0.21100685888518489</v>
      </c>
      <c r="Q24" s="4">
        <f t="shared" si="5"/>
        <v>7.0335619628394959</v>
      </c>
      <c r="R24" s="4">
        <f t="shared" si="6"/>
        <v>0.93292268040182369</v>
      </c>
      <c r="S24" s="351">
        <f t="shared" si="7"/>
        <v>2.1323445826399022E-2</v>
      </c>
      <c r="T24" s="351">
        <f t="shared" si="8"/>
        <v>0.4</v>
      </c>
      <c r="U24" s="351">
        <f t="shared" si="9"/>
        <v>0.42204339939146407</v>
      </c>
      <c r="V24" s="4">
        <f t="shared" si="36"/>
        <v>0.55483756867043821</v>
      </c>
      <c r="W24" s="351">
        <f t="shared" si="10"/>
        <v>3.0784472760812326E-4</v>
      </c>
      <c r="X24" s="351">
        <f t="shared" si="37"/>
        <v>3.0784472760812326E-4</v>
      </c>
      <c r="Y24" s="4">
        <f t="shared" si="11"/>
        <v>0.37965036232045679</v>
      </c>
      <c r="Z24" s="351">
        <f t="shared" si="12"/>
        <v>1.4413439761005412E-4</v>
      </c>
      <c r="AA24" s="520">
        <f t="shared" si="38"/>
        <v>1.4413439761005412E-4</v>
      </c>
      <c r="AB24" s="351">
        <f t="shared" si="13"/>
        <v>0.42700322660481416</v>
      </c>
      <c r="AC24" s="351">
        <f t="shared" si="14"/>
        <v>2.0968151886056061E-3</v>
      </c>
      <c r="AD24" s="351">
        <f t="shared" si="15"/>
        <v>2.9325214285714284E-2</v>
      </c>
      <c r="AE24" s="351">
        <f t="shared" si="16"/>
        <v>0.38728265330689765</v>
      </c>
      <c r="AF24" s="351">
        <f t="shared" si="17"/>
        <v>1.2998022507327389E-3</v>
      </c>
      <c r="AG24" s="351">
        <f t="shared" si="18"/>
        <v>0.42014543980628771</v>
      </c>
      <c r="AH24" s="351">
        <f t="shared" si="19"/>
        <v>0.82946547371014845</v>
      </c>
      <c r="AI24" s="351">
        <f t="shared" si="20"/>
        <v>2.2704428078547628E-3</v>
      </c>
      <c r="AJ24" s="351">
        <f t="shared" si="21"/>
        <v>1.0539802250732739E-2</v>
      </c>
      <c r="AK24" s="351">
        <f t="shared" si="22"/>
        <v>1.2815133191121063E-2</v>
      </c>
      <c r="AL24" s="351">
        <f t="shared" si="23"/>
        <v>9.2399999999999999E-3</v>
      </c>
      <c r="AM24" s="351">
        <f t="shared" si="24"/>
        <v>0.11563200000000001</v>
      </c>
      <c r="AN24" s="351">
        <f t="shared" si="25"/>
        <v>6.9627578208649871E-3</v>
      </c>
      <c r="AO24" s="351">
        <f t="shared" si="26"/>
        <v>8.3999999999999993E-4</v>
      </c>
      <c r="AP24" s="351">
        <f>'Variable Management'!$B$347</f>
        <v>0.41183999999999998</v>
      </c>
      <c r="AQ24" s="351">
        <f t="shared" si="27"/>
        <v>0.36108727954971853</v>
      </c>
      <c r="AR24" s="351">
        <f t="shared" si="28"/>
        <v>0.32603999999999994</v>
      </c>
      <c r="AS24" s="351">
        <f t="shared" si="47"/>
        <v>0.41267999999999999</v>
      </c>
      <c r="AT24" s="351">
        <f t="shared" si="40"/>
        <v>1.399970709334956</v>
      </c>
      <c r="AU24">
        <f t="shared" si="29"/>
        <v>3.75</v>
      </c>
      <c r="AV24" s="521">
        <f t="shared" si="41"/>
        <v>0.72815948121853658</v>
      </c>
      <c r="AW24" s="530">
        <f t="shared" si="30"/>
        <v>20.851427511864085</v>
      </c>
      <c r="AX24" s="530">
        <f t="shared" si="31"/>
        <v>2.0389477276448429</v>
      </c>
      <c r="AY24" s="9"/>
      <c r="AZ24" s="4">
        <f t="shared" si="42"/>
        <v>72.815948121853651</v>
      </c>
      <c r="BA24" s="351">
        <f t="shared" si="32"/>
        <v>0.42204339939146407</v>
      </c>
      <c r="BB24" s="351">
        <f t="shared" si="43"/>
        <v>0.54859257299740882</v>
      </c>
      <c r="BC24" s="351">
        <f t="shared" si="44"/>
        <v>0.49646255980628773</v>
      </c>
      <c r="BD24" s="351">
        <f t="shared" si="45"/>
        <v>5.0973693191121071E-2</v>
      </c>
      <c r="BE24" s="351">
        <f t="shared" si="46"/>
        <v>6.9627578208649871E-3</v>
      </c>
      <c r="BK24" s="18"/>
      <c r="BL24" s="19"/>
    </row>
    <row r="25" spans="1:65" x14ac:dyDescent="0.25">
      <c r="A25" s="35" t="s">
        <v>85</v>
      </c>
      <c r="B25" s="40">
        <f>Cout2_ESR*1000</f>
        <v>1</v>
      </c>
      <c r="C25" s="429" t="s">
        <v>454</v>
      </c>
      <c r="D25" s="427" t="s">
        <v>470</v>
      </c>
      <c r="G25">
        <v>16</v>
      </c>
      <c r="H25" s="527">
        <f t="shared" si="0"/>
        <v>24</v>
      </c>
      <c r="I25" s="4">
        <f t="shared" si="1"/>
        <v>1</v>
      </c>
      <c r="J25" s="351">
        <f t="shared" si="33"/>
        <v>0.8</v>
      </c>
      <c r="K25" s="4">
        <f t="shared" si="2"/>
        <v>0.18518518518518517</v>
      </c>
      <c r="L25" s="4"/>
      <c r="M25" s="351">
        <f t="shared" si="3"/>
        <v>0.20957107810458386</v>
      </c>
      <c r="N25" s="4">
        <f t="shared" si="4"/>
        <v>1.9225410236642557</v>
      </c>
      <c r="O25" s="4">
        <f t="shared" si="34"/>
        <v>1.7612705118321279</v>
      </c>
      <c r="P25" s="4">
        <f t="shared" si="35"/>
        <v>-0.16127051183212782</v>
      </c>
      <c r="Q25" s="4">
        <f t="shared" si="5"/>
        <v>5.3756837277375942</v>
      </c>
      <c r="R25" s="4">
        <f t="shared" si="6"/>
        <v>0.97365993326178002</v>
      </c>
      <c r="S25" s="351">
        <f t="shared" si="7"/>
        <v>2.322633480816368E-2</v>
      </c>
      <c r="T25" s="351">
        <f t="shared" si="8"/>
        <v>0.4</v>
      </c>
      <c r="U25" s="351">
        <f t="shared" si="9"/>
        <v>0.42401419846712474</v>
      </c>
      <c r="V25" s="4">
        <f t="shared" si="36"/>
        <v>0.55498978877032834</v>
      </c>
      <c r="W25" s="351">
        <f t="shared" si="10"/>
        <v>3.0801366563933368E-4</v>
      </c>
      <c r="X25" s="351">
        <f t="shared" si="37"/>
        <v>3.0801366563933368E-4</v>
      </c>
      <c r="Y25" s="4">
        <f t="shared" si="11"/>
        <v>0.39628203454744915</v>
      </c>
      <c r="Z25" s="351">
        <f t="shared" si="12"/>
        <v>1.5703945090506568E-4</v>
      </c>
      <c r="AA25" s="520">
        <f t="shared" si="38"/>
        <v>1.5703945090506568E-4</v>
      </c>
      <c r="AB25" s="351">
        <f t="shared" si="13"/>
        <v>0.44573113641063228</v>
      </c>
      <c r="AC25" s="351">
        <f t="shared" si="14"/>
        <v>2.2847768286080074E-3</v>
      </c>
      <c r="AD25" s="351">
        <f t="shared" si="15"/>
        <v>3.1280228571428578E-2</v>
      </c>
      <c r="AE25" s="351">
        <f t="shared" si="16"/>
        <v>0.4226262507096647</v>
      </c>
      <c r="AF25" s="351">
        <f t="shared" si="17"/>
        <v>9.9342635288590729E-4</v>
      </c>
      <c r="AG25" s="351">
        <f t="shared" si="18"/>
        <v>0.45735187397685645</v>
      </c>
      <c r="AH25" s="351">
        <f t="shared" si="19"/>
        <v>0.86564277832915593</v>
      </c>
      <c r="AI25" s="351">
        <f t="shared" si="20"/>
        <v>2.4728134849222867E-3</v>
      </c>
      <c r="AJ25" s="351">
        <f t="shared" si="21"/>
        <v>1.0849426352885907E-2</v>
      </c>
      <c r="AK25" s="351">
        <f t="shared" si="22"/>
        <v>1.3327776631578999E-2</v>
      </c>
      <c r="AL25" s="351">
        <f t="shared" si="23"/>
        <v>9.8560000000000002E-3</v>
      </c>
      <c r="AM25" s="351">
        <f t="shared" si="24"/>
        <v>0.1233408</v>
      </c>
      <c r="AN25" s="351">
        <f t="shared" si="25"/>
        <v>7.5841093251146708E-3</v>
      </c>
      <c r="AO25" s="351">
        <f t="shared" si="26"/>
        <v>8.3999999999999993E-4</v>
      </c>
      <c r="AP25" s="351">
        <f>'Variable Management'!$B$347</f>
        <v>0.41183999999999998</v>
      </c>
      <c r="AQ25" s="351">
        <f t="shared" si="27"/>
        <v>0.36108727954971853</v>
      </c>
      <c r="AR25" s="351">
        <f t="shared" si="28"/>
        <v>0.32603999999999994</v>
      </c>
      <c r="AS25" s="351">
        <f t="shared" si="47"/>
        <v>0.41267999999999999</v>
      </c>
      <c r="AT25" s="351">
        <f t="shared" si="40"/>
        <v>1.4486198115172193</v>
      </c>
      <c r="AU25">
        <f t="shared" si="29"/>
        <v>4</v>
      </c>
      <c r="AV25" s="521">
        <f t="shared" si="41"/>
        <v>0.73413086953596096</v>
      </c>
      <c r="AW25" s="530">
        <f t="shared" si="30"/>
        <v>22.627785683027973</v>
      </c>
      <c r="AX25" s="530">
        <f t="shared" si="31"/>
        <v>2.1612096252631599</v>
      </c>
      <c r="AY25" s="9"/>
      <c r="AZ25" s="4">
        <f t="shared" si="42"/>
        <v>73.413086953596093</v>
      </c>
      <c r="BA25" s="351">
        <f t="shared" si="32"/>
        <v>0.42401419846712474</v>
      </c>
      <c r="BB25" s="351">
        <f t="shared" si="43"/>
        <v>0.59402045060843545</v>
      </c>
      <c r="BC25" s="351">
        <f t="shared" si="44"/>
        <v>0.53875680197685649</v>
      </c>
      <c r="BD25" s="351">
        <f t="shared" si="45"/>
        <v>5.4030240631578998E-2</v>
      </c>
      <c r="BE25" s="351">
        <f t="shared" si="46"/>
        <v>7.5841093251146708E-3</v>
      </c>
    </row>
    <row r="26" spans="1:65" x14ac:dyDescent="0.25">
      <c r="A26" s="24" t="s">
        <v>112</v>
      </c>
      <c r="B26" s="37" t="s">
        <v>111</v>
      </c>
      <c r="C26" s="24" t="s">
        <v>76</v>
      </c>
      <c r="D26" s="17" t="s">
        <v>107</v>
      </c>
      <c r="G26">
        <v>17</v>
      </c>
      <c r="H26" s="527">
        <f t="shared" si="0"/>
        <v>24</v>
      </c>
      <c r="I26" s="4">
        <f t="shared" si="1"/>
        <v>1</v>
      </c>
      <c r="J26" s="351">
        <f t="shared" si="33"/>
        <v>0.85</v>
      </c>
      <c r="K26" s="4">
        <f t="shared" si="2"/>
        <v>0.19675925925925924</v>
      </c>
      <c r="L26" s="4"/>
      <c r="M26" s="351">
        <f t="shared" si="3"/>
        <v>0.20964843496100943</v>
      </c>
      <c r="N26" s="4">
        <f t="shared" si="4"/>
        <v>1.9230681925287101</v>
      </c>
      <c r="O26" s="4">
        <f t="shared" si="34"/>
        <v>1.8115340962643551</v>
      </c>
      <c r="P26" s="4">
        <f t="shared" si="35"/>
        <v>-0.11153409626435506</v>
      </c>
      <c r="Q26" s="4">
        <f t="shared" si="5"/>
        <v>3.7178032088118358</v>
      </c>
      <c r="R26" s="4">
        <f t="shared" si="6"/>
        <v>1.0152253966942366</v>
      </c>
      <c r="S26" s="351">
        <f t="shared" si="7"/>
        <v>2.525172384927777E-2</v>
      </c>
      <c r="T26" s="351">
        <f t="shared" si="8"/>
        <v>0.4</v>
      </c>
      <c r="U26" s="351">
        <f t="shared" si="9"/>
        <v>0.42611252992402648</v>
      </c>
      <c r="V26" s="4">
        <f t="shared" si="36"/>
        <v>0.5551419693132289</v>
      </c>
      <c r="W26" s="351">
        <f t="shared" si="10"/>
        <v>3.0818260609296997E-4</v>
      </c>
      <c r="X26" s="351">
        <f t="shared" si="37"/>
        <v>3.0818260609296997E-4</v>
      </c>
      <c r="Y26" s="4">
        <f t="shared" si="11"/>
        <v>0.41325531190487103</v>
      </c>
      <c r="Z26" s="351">
        <f t="shared" si="12"/>
        <v>1.7077995281759224E-4</v>
      </c>
      <c r="AA26" s="520">
        <f t="shared" si="38"/>
        <v>1.7077995281759224E-4</v>
      </c>
      <c r="AB26" s="351">
        <f t="shared" si="13"/>
        <v>0.4648451304562905</v>
      </c>
      <c r="AC26" s="351">
        <f t="shared" si="14"/>
        <v>2.4849314460526459E-3</v>
      </c>
      <c r="AD26" s="351">
        <f t="shared" si="15"/>
        <v>3.3235242857142855E-2</v>
      </c>
      <c r="AE26" s="351">
        <f t="shared" si="16"/>
        <v>0.45752484900622548</v>
      </c>
      <c r="AF26" s="351">
        <f t="shared" si="17"/>
        <v>6.8705003298842723E-4</v>
      </c>
      <c r="AG26" s="351">
        <f t="shared" si="18"/>
        <v>0.49412853342738633</v>
      </c>
      <c r="AH26" s="351">
        <f t="shared" si="19"/>
        <v>0.90255282991304409</v>
      </c>
      <c r="AI26" s="351">
        <f t="shared" si="20"/>
        <v>2.6881853155873458E-3</v>
      </c>
      <c r="AJ26" s="351">
        <f t="shared" si="21"/>
        <v>1.1159050032988426E-2</v>
      </c>
      <c r="AK26" s="351">
        <f t="shared" si="22"/>
        <v>1.3853491795115597E-2</v>
      </c>
      <c r="AL26" s="351">
        <f t="shared" si="23"/>
        <v>1.0471999999999999E-2</v>
      </c>
      <c r="AM26" s="351">
        <f t="shared" si="24"/>
        <v>0.13104959999999999</v>
      </c>
      <c r="AN26" s="351">
        <f t="shared" si="25"/>
        <v>8.2454608487437606E-3</v>
      </c>
      <c r="AO26" s="351">
        <f t="shared" si="26"/>
        <v>8.3999999999999993E-4</v>
      </c>
      <c r="AP26" s="351">
        <f>'Variable Management'!$B$347</f>
        <v>0.41183999999999998</v>
      </c>
      <c r="AQ26" s="351">
        <f t="shared" si="27"/>
        <v>0.36108727954971853</v>
      </c>
      <c r="AR26" s="351">
        <f t="shared" si="28"/>
        <v>0.32603999999999994</v>
      </c>
      <c r="AS26" s="351">
        <f t="shared" si="47"/>
        <v>0.41267999999999999</v>
      </c>
      <c r="AT26" s="351">
        <f t="shared" si="40"/>
        <v>1.4970205785541828</v>
      </c>
      <c r="AU26">
        <f t="shared" si="29"/>
        <v>4.25</v>
      </c>
      <c r="AV26" s="521">
        <f t="shared" si="41"/>
        <v>0.73951362134659371</v>
      </c>
      <c r="AW26" s="530">
        <f t="shared" si="30"/>
        <v>24.386093315950227</v>
      </c>
      <c r="AX26" s="530">
        <f t="shared" si="31"/>
        <v>2.2839943918046242</v>
      </c>
      <c r="AY26" s="9"/>
      <c r="AZ26" s="4">
        <f t="shared" si="42"/>
        <v>73.951362134659377</v>
      </c>
      <c r="BA26" s="351">
        <f t="shared" si="32"/>
        <v>0.42611252992402648</v>
      </c>
      <c r="BB26" s="351">
        <f t="shared" si="43"/>
        <v>0.6390316252225019</v>
      </c>
      <c r="BC26" s="351">
        <f t="shared" si="44"/>
        <v>0.58062126942738634</v>
      </c>
      <c r="BD26" s="351">
        <f t="shared" si="45"/>
        <v>5.7099859795115601E-2</v>
      </c>
      <c r="BE26" s="351">
        <f t="shared" si="46"/>
        <v>8.2454608487437606E-3</v>
      </c>
    </row>
    <row r="27" spans="1:65" x14ac:dyDescent="0.25">
      <c r="A27" s="22" t="s">
        <v>61</v>
      </c>
      <c r="B27" s="5">
        <f>RdsonDRT</f>
        <v>1</v>
      </c>
      <c r="C27" s="431" t="s">
        <v>116</v>
      </c>
      <c r="D27" s="427" t="s">
        <v>495</v>
      </c>
      <c r="G27">
        <v>18</v>
      </c>
      <c r="H27" s="527">
        <f t="shared" si="0"/>
        <v>24</v>
      </c>
      <c r="I27" s="4">
        <f t="shared" si="1"/>
        <v>1</v>
      </c>
      <c r="J27" s="351">
        <f t="shared" si="33"/>
        <v>0.9</v>
      </c>
      <c r="K27" s="4">
        <f t="shared" si="2"/>
        <v>0.20833333333333331</v>
      </c>
      <c r="L27" s="4"/>
      <c r="M27" s="351">
        <f t="shared" si="3"/>
        <v>0.20972579155958654</v>
      </c>
      <c r="N27" s="4">
        <f t="shared" si="4"/>
        <v>1.9235952243644165</v>
      </c>
      <c r="O27" s="4">
        <f t="shared" si="34"/>
        <v>1.8617976121822082</v>
      </c>
      <c r="P27" s="4">
        <f t="shared" si="35"/>
        <v>-6.179761218220825E-2</v>
      </c>
      <c r="Q27" s="4">
        <f t="shared" si="5"/>
        <v>2.0599204060736085</v>
      </c>
      <c r="R27" s="4">
        <f t="shared" si="6"/>
        <v>1.0575214177183989</v>
      </c>
      <c r="S27" s="351">
        <f t="shared" si="7"/>
        <v>2.7399612948861743E-2</v>
      </c>
      <c r="T27" s="351">
        <f t="shared" si="8"/>
        <v>0.4</v>
      </c>
      <c r="U27" s="351">
        <f t="shared" si="9"/>
        <v>0.4283385177165836</v>
      </c>
      <c r="V27" s="4">
        <f t="shared" si="36"/>
        <v>0.55529411029933728</v>
      </c>
      <c r="W27" s="351">
        <f t="shared" si="10"/>
        <v>3.0835154893313257E-4</v>
      </c>
      <c r="X27" s="351">
        <f t="shared" si="37"/>
        <v>3.0835154893313257E-4</v>
      </c>
      <c r="Y27" s="4">
        <f t="shared" si="11"/>
        <v>0.43053057295283259</v>
      </c>
      <c r="Z27" s="351">
        <f t="shared" si="12"/>
        <v>1.8535657424709431E-4</v>
      </c>
      <c r="AA27" s="520">
        <f t="shared" si="38"/>
        <v>1.8535657424709431E-4</v>
      </c>
      <c r="AB27" s="351">
        <f t="shared" si="13"/>
        <v>0.48430069568594558</v>
      </c>
      <c r="AC27" s="351">
        <f t="shared" si="14"/>
        <v>2.697292384181745E-3</v>
      </c>
      <c r="AD27" s="351">
        <f t="shared" si="15"/>
        <v>3.5190257142857145E-2</v>
      </c>
      <c r="AE27" s="351">
        <f t="shared" si="16"/>
        <v>0.49197844635710836</v>
      </c>
      <c r="AF27" s="351">
        <f t="shared" si="17"/>
        <v>3.8067329104240274E-4</v>
      </c>
      <c r="AG27" s="351">
        <f t="shared" si="18"/>
        <v>0.53047560482461165</v>
      </c>
      <c r="AH27" s="351">
        <f t="shared" si="19"/>
        <v>0.94010870918806066</v>
      </c>
      <c r="AI27" s="351">
        <f t="shared" si="20"/>
        <v>2.9165544708010973E-3</v>
      </c>
      <c r="AJ27" s="351">
        <f t="shared" si="21"/>
        <v>1.1468673291042402E-2</v>
      </c>
      <c r="AK27" s="351">
        <f t="shared" si="22"/>
        <v>1.4392279707621516E-2</v>
      </c>
      <c r="AL27" s="351">
        <f t="shared" si="23"/>
        <v>1.1087999999999999E-2</v>
      </c>
      <c r="AM27" s="351">
        <f t="shared" si="24"/>
        <v>0.13875840000000003</v>
      </c>
      <c r="AN27" s="351">
        <f t="shared" si="25"/>
        <v>8.9468123914650585E-3</v>
      </c>
      <c r="AO27" s="351">
        <f t="shared" si="26"/>
        <v>8.3999999999999993E-4</v>
      </c>
      <c r="AP27" s="351">
        <f>'Variable Management'!$B$347</f>
        <v>0.41183999999999998</v>
      </c>
      <c r="AQ27" s="351">
        <f t="shared" si="27"/>
        <v>0.36108727954971853</v>
      </c>
      <c r="AR27" s="351">
        <f t="shared" si="28"/>
        <v>0.32603999999999994</v>
      </c>
      <c r="AS27" s="351">
        <f t="shared" si="47"/>
        <v>0.41267999999999999</v>
      </c>
      <c r="AT27" s="351">
        <f t="shared" si="40"/>
        <v>1.5451733227634619</v>
      </c>
      <c r="AU27">
        <f t="shared" si="29"/>
        <v>4.5</v>
      </c>
      <c r="AV27" s="521">
        <f t="shared" si="41"/>
        <v>0.74439553007603276</v>
      </c>
      <c r="AW27" s="530">
        <f t="shared" si="30"/>
        <v>26.12635825063369</v>
      </c>
      <c r="AX27" s="530">
        <f t="shared" si="31"/>
        <v>2.4073020683048614</v>
      </c>
      <c r="AY27" s="9"/>
      <c r="AZ27" s="4">
        <f t="shared" si="42"/>
        <v>74.43955300760328</v>
      </c>
      <c r="BA27" s="351">
        <f t="shared" si="32"/>
        <v>0.4283385177165836</v>
      </c>
      <c r="BB27" s="351">
        <f t="shared" si="43"/>
        <v>0.68362628453223317</v>
      </c>
      <c r="BC27" s="351">
        <f t="shared" si="44"/>
        <v>0.62205614882461169</v>
      </c>
      <c r="BD27" s="351">
        <f t="shared" si="45"/>
        <v>6.0182551707621532E-2</v>
      </c>
      <c r="BE27" s="351">
        <f t="shared" si="46"/>
        <v>8.9468123914650585E-3</v>
      </c>
    </row>
    <row r="28" spans="1:65" x14ac:dyDescent="0.25">
      <c r="A28" s="22" t="s">
        <v>126</v>
      </c>
      <c r="B28" s="5">
        <f>RdsonDRT2</f>
        <v>0.5</v>
      </c>
      <c r="C28" s="431" t="s">
        <v>116</v>
      </c>
      <c r="D28" s="427" t="s">
        <v>494</v>
      </c>
      <c r="G28">
        <v>19</v>
      </c>
      <c r="H28" s="527">
        <f t="shared" si="0"/>
        <v>24</v>
      </c>
      <c r="I28" s="4">
        <f t="shared" si="1"/>
        <v>1</v>
      </c>
      <c r="J28" s="351">
        <f t="shared" si="33"/>
        <v>0.95</v>
      </c>
      <c r="K28" s="4">
        <f t="shared" si="2"/>
        <v>0.21990740740740738</v>
      </c>
      <c r="L28" s="4"/>
      <c r="M28" s="351">
        <f t="shared" si="3"/>
        <v>0.20980314790031648</v>
      </c>
      <c r="N28" s="4">
        <f t="shared" si="4"/>
        <v>1.9241221191720612</v>
      </c>
      <c r="O28" s="4">
        <f t="shared" si="34"/>
        <v>1.9120610595860306</v>
      </c>
      <c r="P28" s="4">
        <f t="shared" si="35"/>
        <v>-1.2061059586030654E-2</v>
      </c>
      <c r="Q28" s="4">
        <f t="shared" si="5"/>
        <v>0.40203531953435512</v>
      </c>
      <c r="R28" s="4">
        <f t="shared" si="6"/>
        <v>1.1004637632034651</v>
      </c>
      <c r="S28" s="351">
        <f t="shared" si="7"/>
        <v>2.9670002106036333E-2</v>
      </c>
      <c r="T28" s="351">
        <f t="shared" si="8"/>
        <v>0.4</v>
      </c>
      <c r="U28" s="351">
        <f t="shared" si="9"/>
        <v>0.43069229340622966</v>
      </c>
      <c r="V28" s="4">
        <f t="shared" si="36"/>
        <v>0.55544621172885145</v>
      </c>
      <c r="W28" s="351">
        <f t="shared" si="10"/>
        <v>3.0852049412393205E-4</v>
      </c>
      <c r="X28" s="351">
        <f t="shared" si="37"/>
        <v>3.0852049412393205E-4</v>
      </c>
      <c r="Y28" s="4">
        <f t="shared" si="11"/>
        <v>0.44807363873534523</v>
      </c>
      <c r="Z28" s="351">
        <f t="shared" si="12"/>
        <v>2.0076998572953267E-4</v>
      </c>
      <c r="AA28" s="520">
        <f t="shared" si="38"/>
        <v>2.0076998572953267E-4</v>
      </c>
      <c r="AB28" s="351">
        <f t="shared" si="13"/>
        <v>0.5040594328439828</v>
      </c>
      <c r="AC28" s="351">
        <f t="shared" si="14"/>
        <v>2.9218729861484722E-3</v>
      </c>
      <c r="AD28" s="351">
        <f t="shared" si="15"/>
        <v>3.7145271428571422E-2</v>
      </c>
      <c r="AE28" s="351">
        <f t="shared" si="16"/>
        <v>0.5259870409228502</v>
      </c>
      <c r="AF28" s="351">
        <f t="shared" si="17"/>
        <v>7.4296127049948817E-5</v>
      </c>
      <c r="AG28" s="351">
        <f t="shared" si="18"/>
        <v>0.56639327013590735</v>
      </c>
      <c r="AH28" s="351">
        <f t="shared" si="19"/>
        <v>0.97823544317558553</v>
      </c>
      <c r="AI28" s="351">
        <f t="shared" si="20"/>
        <v>3.1579171215402827E-3</v>
      </c>
      <c r="AJ28" s="351">
        <f t="shared" si="21"/>
        <v>1.1778296127049948E-2</v>
      </c>
      <c r="AK28" s="351">
        <f t="shared" si="22"/>
        <v>1.4944141565156806E-2</v>
      </c>
      <c r="AL28" s="351">
        <f t="shared" si="23"/>
        <v>1.1703999999999999E-2</v>
      </c>
      <c r="AM28" s="351">
        <f t="shared" si="24"/>
        <v>0.14646719999999999</v>
      </c>
      <c r="AN28" s="351">
        <f t="shared" si="25"/>
        <v>9.6881639529914562E-3</v>
      </c>
      <c r="AO28" s="351">
        <f t="shared" si="26"/>
        <v>8.3999999999999993E-4</v>
      </c>
      <c r="AP28" s="351">
        <f>'Variable Management'!$B$347</f>
        <v>0.41183999999999998</v>
      </c>
      <c r="AQ28" s="351">
        <f t="shared" si="27"/>
        <v>0.36108727954971853</v>
      </c>
      <c r="AR28" s="351">
        <f t="shared" si="28"/>
        <v>0.32603999999999994</v>
      </c>
      <c r="AS28" s="351">
        <f t="shared" si="47"/>
        <v>0.41267999999999999</v>
      </c>
      <c r="AT28" s="351">
        <f t="shared" si="40"/>
        <v>1.5930783595401388</v>
      </c>
      <c r="AU28">
        <f t="shared" si="29"/>
        <v>4.75</v>
      </c>
      <c r="AV28" s="521">
        <f t="shared" si="41"/>
        <v>0.74884775668203574</v>
      </c>
      <c r="AW28" s="530">
        <f t="shared" si="30"/>
        <v>27.848588129708109</v>
      </c>
      <c r="AX28" s="530">
        <f t="shared" si="31"/>
        <v>2.5311327026062722</v>
      </c>
      <c r="AY28" s="9"/>
      <c r="AZ28" s="4">
        <f t="shared" si="42"/>
        <v>74.884775668203574</v>
      </c>
      <c r="BA28" s="351">
        <f t="shared" si="32"/>
        <v>0.43069229340622966</v>
      </c>
      <c r="BB28" s="351">
        <f t="shared" si="43"/>
        <v>0.72780461170106414</v>
      </c>
      <c r="BC28" s="351">
        <f t="shared" si="44"/>
        <v>0.66306162213590736</v>
      </c>
      <c r="BD28" s="351">
        <f t="shared" si="45"/>
        <v>6.3278317565156811E-2</v>
      </c>
      <c r="BE28" s="351">
        <f t="shared" si="46"/>
        <v>9.6881639529914562E-3</v>
      </c>
    </row>
    <row r="29" spans="1:65" x14ac:dyDescent="0.25">
      <c r="A29" s="24" t="s">
        <v>113</v>
      </c>
      <c r="B29" s="15" t="s">
        <v>111</v>
      </c>
      <c r="C29" s="24" t="s">
        <v>76</v>
      </c>
      <c r="D29" s="17" t="s">
        <v>107</v>
      </c>
      <c r="G29">
        <v>20</v>
      </c>
      <c r="H29" s="527">
        <f t="shared" si="0"/>
        <v>24</v>
      </c>
      <c r="I29" s="4">
        <f t="shared" si="1"/>
        <v>1</v>
      </c>
      <c r="J29" s="351">
        <f t="shared" si="33"/>
        <v>1</v>
      </c>
      <c r="K29" s="4">
        <f t="shared" si="2"/>
        <v>0.23148148148148145</v>
      </c>
      <c r="L29" s="4"/>
      <c r="M29" s="351">
        <f t="shared" si="3"/>
        <v>0.20988050398320054</v>
      </c>
      <c r="N29" s="4">
        <f t="shared" si="4"/>
        <v>1.9246488769523282</v>
      </c>
      <c r="O29" s="4">
        <f t="shared" si="34"/>
        <v>1.962324438476164</v>
      </c>
      <c r="P29" s="4">
        <f t="shared" si="35"/>
        <v>3.7675561523835888E-2</v>
      </c>
      <c r="Q29" s="4">
        <f t="shared" si="5"/>
        <v>0</v>
      </c>
      <c r="R29" s="4">
        <f t="shared" si="6"/>
        <v>1.1439796508808573</v>
      </c>
      <c r="S29" s="351">
        <f t="shared" si="7"/>
        <v>3.206289131992246E-2</v>
      </c>
      <c r="T29" s="351">
        <f t="shared" si="8"/>
        <v>0.4</v>
      </c>
      <c r="U29" s="351">
        <f t="shared" si="9"/>
        <v>0.43317399618089564</v>
      </c>
      <c r="V29" s="4">
        <f t="shared" si="36"/>
        <v>0.5555982736019689</v>
      </c>
      <c r="W29" s="351">
        <f t="shared" si="10"/>
        <v>3.0868944162948831E-4</v>
      </c>
      <c r="X29" s="351">
        <f t="shared" si="37"/>
        <v>3.0868944162948831E-4</v>
      </c>
      <c r="Y29" s="4">
        <f t="shared" si="11"/>
        <v>0.4658549746835105</v>
      </c>
      <c r="Z29" s="351">
        <f t="shared" si="12"/>
        <v>2.170208574373742E-4</v>
      </c>
      <c r="AA29" s="520">
        <f t="shared" si="38"/>
        <v>2.170208574373742E-4</v>
      </c>
      <c r="AB29" s="351">
        <f t="shared" si="13"/>
        <v>0.52408816010924175</v>
      </c>
      <c r="AC29" s="351">
        <f t="shared" si="14"/>
        <v>3.1586865950169372E-3</v>
      </c>
      <c r="AD29" s="351">
        <f t="shared" si="15"/>
        <v>3.9100285714285712E-2</v>
      </c>
      <c r="AE29" s="351">
        <f t="shared" si="16"/>
        <v>0.53416704000000004</v>
      </c>
      <c r="AF29" s="351">
        <f t="shared" si="17"/>
        <v>0</v>
      </c>
      <c r="AG29" s="351">
        <f t="shared" si="18"/>
        <v>0.57671747947274632</v>
      </c>
      <c r="AH29" s="351">
        <f t="shared" si="19"/>
        <v>1.0168682520674928</v>
      </c>
      <c r="AI29" s="351">
        <f t="shared" si="20"/>
        <v>3.4122694388072335E-3</v>
      </c>
      <c r="AJ29" s="351">
        <f t="shared" si="21"/>
        <v>1.2319999999999999E-2</v>
      </c>
      <c r="AK29" s="351">
        <f t="shared" si="22"/>
        <v>1.5741293312535643E-2</v>
      </c>
      <c r="AL29" s="351">
        <f t="shared" si="23"/>
        <v>1.2319999999999999E-2</v>
      </c>
      <c r="AM29" s="351">
        <f t="shared" si="24"/>
        <v>0.15417600000000004</v>
      </c>
      <c r="AN29" s="351">
        <f t="shared" si="25"/>
        <v>1.0469515533035904E-2</v>
      </c>
      <c r="AO29" s="351">
        <f t="shared" si="26"/>
        <v>8.3999999999999993E-4</v>
      </c>
      <c r="AP29" s="351">
        <f>'Variable Management'!$B$347</f>
        <v>0.41183999999999998</v>
      </c>
      <c r="AQ29" s="351">
        <f t="shared" si="27"/>
        <v>0.36108727954971853</v>
      </c>
      <c r="AR29" s="351">
        <f t="shared" si="28"/>
        <v>0.32603999999999994</v>
      </c>
      <c r="AS29" s="351">
        <f t="shared" si="47"/>
        <v>0.41267999999999999</v>
      </c>
      <c r="AT29" s="351">
        <f t="shared" si="40"/>
        <v>1.6158039947982803</v>
      </c>
      <c r="AU29">
        <f t="shared" si="29"/>
        <v>5</v>
      </c>
      <c r="AV29" s="521">
        <f t="shared" si="41"/>
        <v>0.75576604203076192</v>
      </c>
      <c r="AW29" s="530">
        <f t="shared" si="30"/>
        <v>28.495892857855345</v>
      </c>
      <c r="AX29" s="530">
        <f t="shared" si="31"/>
        <v>2.6647749325014263</v>
      </c>
      <c r="AY29" s="9"/>
      <c r="AZ29" s="4">
        <f t="shared" si="42"/>
        <v>75.576604203076187</v>
      </c>
      <c r="BA29" s="351">
        <f t="shared" si="32"/>
        <v>0.43317399618089564</v>
      </c>
      <c r="BB29" s="351">
        <f t="shared" si="43"/>
        <v>0.74663477278528201</v>
      </c>
      <c r="BC29" s="351">
        <f t="shared" si="44"/>
        <v>0.6784736394727463</v>
      </c>
      <c r="BD29" s="351">
        <f t="shared" si="45"/>
        <v>6.661937331253566E-2</v>
      </c>
      <c r="BE29" s="351">
        <f t="shared" si="46"/>
        <v>1.0469515533035904E-2</v>
      </c>
    </row>
    <row r="30" spans="1:65" x14ac:dyDescent="0.25">
      <c r="A30" s="22" t="s">
        <v>60</v>
      </c>
      <c r="B30" s="27">
        <f>RdsonDRB</f>
        <v>1</v>
      </c>
      <c r="C30" s="431" t="s">
        <v>116</v>
      </c>
      <c r="D30" s="427" t="s">
        <v>493</v>
      </c>
      <c r="G30">
        <v>21</v>
      </c>
      <c r="H30" s="527">
        <f t="shared" si="0"/>
        <v>24</v>
      </c>
      <c r="I30" s="4">
        <f t="shared" si="1"/>
        <v>1</v>
      </c>
      <c r="J30" s="351">
        <f t="shared" si="33"/>
        <v>1.05</v>
      </c>
      <c r="K30" s="4">
        <f t="shared" si="2"/>
        <v>0.24305555555555555</v>
      </c>
      <c r="L30" s="4"/>
      <c r="M30" s="351">
        <f t="shared" si="3"/>
        <v>0.20995785980824003</v>
      </c>
      <c r="N30" s="4">
        <f t="shared" si="4"/>
        <v>1.9251754977059037</v>
      </c>
      <c r="O30" s="4">
        <f t="shared" si="34"/>
        <v>2.012587748852952</v>
      </c>
      <c r="P30" s="4">
        <f t="shared" si="35"/>
        <v>8.7412251147048203E-2</v>
      </c>
      <c r="Q30" s="4">
        <f t="shared" si="5"/>
        <v>0</v>
      </c>
      <c r="R30" s="4">
        <f t="shared" si="6"/>
        <v>1.1880060569769546</v>
      </c>
      <c r="S30" s="351">
        <f t="shared" si="7"/>
        <v>3.4578280589641318E-2</v>
      </c>
      <c r="T30" s="351">
        <f t="shared" si="8"/>
        <v>0.4</v>
      </c>
      <c r="U30" s="351">
        <f t="shared" si="9"/>
        <v>0.4357837728756338</v>
      </c>
      <c r="V30" s="4">
        <f t="shared" si="36"/>
        <v>0.55575029591888769</v>
      </c>
      <c r="W30" s="351">
        <f t="shared" si="10"/>
        <v>3.0885839141393123E-4</v>
      </c>
      <c r="X30" s="351">
        <f t="shared" si="37"/>
        <v>3.0885839141393123E-4</v>
      </c>
      <c r="Y30" s="4">
        <f t="shared" si="11"/>
        <v>0.48384900452475699</v>
      </c>
      <c r="Z30" s="351">
        <f t="shared" si="12"/>
        <v>2.3410985917959832E-4</v>
      </c>
      <c r="AA30" s="520">
        <f t="shared" si="38"/>
        <v>2.3410985917959832E-4</v>
      </c>
      <c r="AB30" s="351">
        <f t="shared" si="13"/>
        <v>0.54435814247944281</v>
      </c>
      <c r="AC30" s="351">
        <f t="shared" si="14"/>
        <v>3.4077465537621977E-3</v>
      </c>
      <c r="AD30" s="351">
        <f t="shared" si="15"/>
        <v>4.105530000000001E-2</v>
      </c>
      <c r="AE30" s="351">
        <f t="shared" si="16"/>
        <v>0.53416704000000004</v>
      </c>
      <c r="AF30" s="351">
        <f t="shared" si="17"/>
        <v>0</v>
      </c>
      <c r="AG30" s="351">
        <f t="shared" si="18"/>
        <v>0.57894575061559839</v>
      </c>
      <c r="AH30" s="351">
        <f t="shared" si="19"/>
        <v>1.0559510424874166</v>
      </c>
      <c r="AI30" s="351">
        <f t="shared" si="20"/>
        <v>3.6796075936298641E-3</v>
      </c>
      <c r="AJ30" s="351">
        <f t="shared" si="21"/>
        <v>1.2936E-2</v>
      </c>
      <c r="AK30" s="351">
        <f t="shared" si="22"/>
        <v>1.6625885284899049E-2</v>
      </c>
      <c r="AL30" s="351">
        <f t="shared" si="23"/>
        <v>1.2936E-2</v>
      </c>
      <c r="AM30" s="351">
        <f t="shared" si="24"/>
        <v>0.16188480000000002</v>
      </c>
      <c r="AN30" s="351">
        <f t="shared" si="25"/>
        <v>1.1290867131311449E-2</v>
      </c>
      <c r="AO30" s="351">
        <f t="shared" si="26"/>
        <v>8.3999999999999993E-4</v>
      </c>
      <c r="AP30" s="351">
        <f>'Variable Management'!$B$347</f>
        <v>0.41183999999999998</v>
      </c>
      <c r="AQ30" s="351">
        <f t="shared" si="27"/>
        <v>0.36108727954971853</v>
      </c>
      <c r="AR30" s="351">
        <f t="shared" si="28"/>
        <v>0.32603999999999994</v>
      </c>
      <c r="AS30" s="351">
        <f t="shared" si="47"/>
        <v>0.41267999999999999</v>
      </c>
      <c r="AT30" s="351">
        <f t="shared" si="40"/>
        <v>1.6306900441580361</v>
      </c>
      <c r="AU30">
        <f t="shared" si="29"/>
        <v>5.25</v>
      </c>
      <c r="AV30" s="521">
        <f t="shared" si="41"/>
        <v>0.7630048681610716</v>
      </c>
      <c r="AW30" s="530">
        <f t="shared" si="30"/>
        <v>28.803168181855135</v>
      </c>
      <c r="AX30" s="530">
        <f t="shared" si="31"/>
        <v>2.8019147713959622</v>
      </c>
      <c r="AY30" s="9"/>
      <c r="AZ30" s="4">
        <f t="shared" si="42"/>
        <v>76.300486816107167</v>
      </c>
      <c r="BA30" s="351">
        <f t="shared" si="32"/>
        <v>0.4357837728756338</v>
      </c>
      <c r="BB30" s="351">
        <f t="shared" si="43"/>
        <v>0.75745643590049749</v>
      </c>
      <c r="BC30" s="351">
        <f t="shared" si="44"/>
        <v>0.68578971861559845</v>
      </c>
      <c r="BD30" s="351">
        <f t="shared" si="45"/>
        <v>7.0047869284899061E-2</v>
      </c>
      <c r="BE30" s="351">
        <f t="shared" si="46"/>
        <v>1.1290867131311449E-2</v>
      </c>
    </row>
    <row r="31" spans="1:65" x14ac:dyDescent="0.25">
      <c r="A31" s="22" t="s">
        <v>125</v>
      </c>
      <c r="B31" s="27">
        <v>1</v>
      </c>
      <c r="C31" s="431" t="s">
        <v>116</v>
      </c>
      <c r="D31" s="427" t="s">
        <v>492</v>
      </c>
      <c r="G31">
        <v>22</v>
      </c>
      <c r="H31" s="527">
        <f t="shared" si="0"/>
        <v>24</v>
      </c>
      <c r="I31" s="4">
        <f t="shared" si="1"/>
        <v>1</v>
      </c>
      <c r="J31" s="351">
        <f t="shared" si="33"/>
        <v>1.1000000000000001</v>
      </c>
      <c r="K31" s="4">
        <f t="shared" si="2"/>
        <v>0.25462962962962959</v>
      </c>
      <c r="L31" s="4"/>
      <c r="M31" s="351">
        <f t="shared" si="3"/>
        <v>0.21003521537543626</v>
      </c>
      <c r="N31" s="4">
        <f t="shared" si="4"/>
        <v>1.9257019814334728</v>
      </c>
      <c r="O31" s="4">
        <f t="shared" si="34"/>
        <v>2.0628509907167363</v>
      </c>
      <c r="P31" s="4">
        <f t="shared" si="35"/>
        <v>0.13714900928326368</v>
      </c>
      <c r="Q31" s="4">
        <f t="shared" si="5"/>
        <v>0</v>
      </c>
      <c r="R31" s="4">
        <f t="shared" si="6"/>
        <v>1.2324882731455908</v>
      </c>
      <c r="S31" s="351">
        <f t="shared" si="7"/>
        <v>3.7216169914314312E-2</v>
      </c>
      <c r="T31" s="351">
        <f t="shared" si="8"/>
        <v>0.4</v>
      </c>
      <c r="U31" s="351">
        <f t="shared" si="9"/>
        <v>0.43852177799439163</v>
      </c>
      <c r="V31" s="4">
        <f t="shared" si="36"/>
        <v>0.55590227867980568</v>
      </c>
      <c r="W31" s="351">
        <f t="shared" si="10"/>
        <v>3.0902734344140034E-4</v>
      </c>
      <c r="X31" s="351">
        <f t="shared" si="37"/>
        <v>3.0902734344140034E-4</v>
      </c>
      <c r="Y31" s="4">
        <f t="shared" si="11"/>
        <v>0.50203352517705679</v>
      </c>
      <c r="Z31" s="351">
        <f t="shared" si="12"/>
        <v>2.5203766040170249E-4</v>
      </c>
      <c r="AA31" s="520">
        <f t="shared" si="38"/>
        <v>2.5203766040170249E-4</v>
      </c>
      <c r="AB31" s="351">
        <f t="shared" si="13"/>
        <v>0.56484443454892197</v>
      </c>
      <c r="AC31" s="351">
        <f t="shared" si="14"/>
        <v>3.6690662052702512E-3</v>
      </c>
      <c r="AD31" s="351">
        <f t="shared" si="15"/>
        <v>4.3010314285714293E-2</v>
      </c>
      <c r="AE31" s="351">
        <f t="shared" si="16"/>
        <v>0.53416704000000004</v>
      </c>
      <c r="AF31" s="351">
        <f t="shared" si="17"/>
        <v>0</v>
      </c>
      <c r="AG31" s="351">
        <f t="shared" si="18"/>
        <v>0.58118760702023908</v>
      </c>
      <c r="AH31" s="351">
        <f t="shared" si="19"/>
        <v>1.0954351227710883</v>
      </c>
      <c r="AI31" s="351">
        <f t="shared" si="20"/>
        <v>3.9599277570616809E-3</v>
      </c>
      <c r="AJ31" s="351">
        <f t="shared" si="21"/>
        <v>1.3552E-2</v>
      </c>
      <c r="AK31" s="351">
        <f t="shared" si="22"/>
        <v>1.7523585635432729E-2</v>
      </c>
      <c r="AL31" s="351">
        <f t="shared" si="23"/>
        <v>1.3552E-2</v>
      </c>
      <c r="AM31" s="351">
        <f t="shared" si="24"/>
        <v>0.16959360000000004</v>
      </c>
      <c r="AN31" s="351">
        <f t="shared" si="25"/>
        <v>1.2152218747531205E-2</v>
      </c>
      <c r="AO31" s="351">
        <f t="shared" si="26"/>
        <v>8.3999999999999993E-4</v>
      </c>
      <c r="AP31" s="351">
        <f>'Variable Management'!$B$347</f>
        <v>0.41183999999999998</v>
      </c>
      <c r="AQ31" s="351">
        <f t="shared" si="27"/>
        <v>0.36108727954971853</v>
      </c>
      <c r="AR31" s="351">
        <f t="shared" si="28"/>
        <v>0.32603999999999994</v>
      </c>
      <c r="AS31" s="351">
        <f t="shared" si="47"/>
        <v>0.41267999999999999</v>
      </c>
      <c r="AT31" s="351">
        <f t="shared" si="40"/>
        <v>1.6457718544014377</v>
      </c>
      <c r="AU31">
        <f t="shared" si="29"/>
        <v>5.5</v>
      </c>
      <c r="AV31" s="521">
        <f t="shared" si="41"/>
        <v>0.76968592225796795</v>
      </c>
      <c r="AW31" s="530">
        <f t="shared" si="30"/>
        <v>29.111014086850044</v>
      </c>
      <c r="AX31" s="530">
        <f t="shared" si="31"/>
        <v>2.9395789454173094</v>
      </c>
      <c r="AY31" s="9"/>
      <c r="AZ31" s="4">
        <f t="shared" si="42"/>
        <v>76.968592225796797</v>
      </c>
      <c r="BA31" s="351">
        <f t="shared" si="32"/>
        <v>0.43852177799439163</v>
      </c>
      <c r="BB31" s="351">
        <f t="shared" si="43"/>
        <v>0.76830479265567186</v>
      </c>
      <c r="BC31" s="351">
        <f t="shared" si="44"/>
        <v>0.69311938302023912</v>
      </c>
      <c r="BD31" s="351">
        <f t="shared" si="45"/>
        <v>7.3489473635432734E-2</v>
      </c>
      <c r="BE31" s="351">
        <f t="shared" si="46"/>
        <v>1.2152218747531205E-2</v>
      </c>
    </row>
    <row r="32" spans="1:65" x14ac:dyDescent="0.25">
      <c r="A32" s="24" t="s">
        <v>62</v>
      </c>
      <c r="B32" s="15" t="s">
        <v>111</v>
      </c>
      <c r="C32" s="24" t="s">
        <v>76</v>
      </c>
      <c r="D32" s="17" t="s">
        <v>107</v>
      </c>
      <c r="G32">
        <v>23</v>
      </c>
      <c r="H32" s="527">
        <f t="shared" si="0"/>
        <v>24</v>
      </c>
      <c r="I32" s="4">
        <f t="shared" si="1"/>
        <v>1</v>
      </c>
      <c r="J32" s="351">
        <f t="shared" si="33"/>
        <v>1.1499999999999999</v>
      </c>
      <c r="K32" s="4">
        <f t="shared" si="2"/>
        <v>0.26620370370370366</v>
      </c>
      <c r="L32" s="4"/>
      <c r="M32" s="351">
        <f t="shared" si="3"/>
        <v>0.21011257068479039</v>
      </c>
      <c r="N32" s="4">
        <f t="shared" si="4"/>
        <v>1.9262283281357191</v>
      </c>
      <c r="O32" s="4">
        <f t="shared" si="34"/>
        <v>2.1131141640678592</v>
      </c>
      <c r="P32" s="4">
        <f t="shared" si="35"/>
        <v>0.18688583593214037</v>
      </c>
      <c r="Q32" s="4">
        <f t="shared" si="5"/>
        <v>0</v>
      </c>
      <c r="R32" s="4">
        <f t="shared" si="6"/>
        <v>1.2773786821753539</v>
      </c>
      <c r="S32" s="351">
        <f t="shared" si="7"/>
        <v>3.9976559293063076E-2</v>
      </c>
      <c r="T32" s="351">
        <f t="shared" si="8"/>
        <v>0.4</v>
      </c>
      <c r="U32" s="351">
        <f t="shared" si="9"/>
        <v>0.44138817373294248</v>
      </c>
      <c r="V32" s="4">
        <f t="shared" si="36"/>
        <v>0.55605422188492015</v>
      </c>
      <c r="W32" s="351">
        <f t="shared" si="10"/>
        <v>3.09196297676044E-4</v>
      </c>
      <c r="X32" s="351">
        <f t="shared" si="37"/>
        <v>3.09196297676044E-4</v>
      </c>
      <c r="Y32" s="4">
        <f t="shared" si="11"/>
        <v>0.5203892102894796</v>
      </c>
      <c r="Z32" s="351">
        <f t="shared" si="12"/>
        <v>2.7080493018570822E-4</v>
      </c>
      <c r="AA32" s="520">
        <f t="shared" si="38"/>
        <v>2.7080493018570822E-4</v>
      </c>
      <c r="AB32" s="351">
        <f t="shared" si="13"/>
        <v>0.58552532283545899</v>
      </c>
      <c r="AC32" s="351">
        <f t="shared" si="14"/>
        <v>3.9426588923380376E-3</v>
      </c>
      <c r="AD32" s="351">
        <f t="shared" si="15"/>
        <v>4.4965328571428563E-2</v>
      </c>
      <c r="AE32" s="351">
        <f t="shared" si="16"/>
        <v>0.53416704000000004</v>
      </c>
      <c r="AF32" s="351">
        <f t="shared" si="17"/>
        <v>0</v>
      </c>
      <c r="AG32" s="351">
        <f t="shared" si="18"/>
        <v>0.58344307819023056</v>
      </c>
      <c r="AH32" s="351">
        <f t="shared" si="19"/>
        <v>1.1352781130606171</v>
      </c>
      <c r="AI32" s="351">
        <f t="shared" si="20"/>
        <v>4.253226100181768E-3</v>
      </c>
      <c r="AJ32" s="351">
        <f t="shared" si="21"/>
        <v>1.4167999999999998E-2</v>
      </c>
      <c r="AK32" s="351">
        <f t="shared" si="22"/>
        <v>1.8434398251697688E-2</v>
      </c>
      <c r="AL32" s="351">
        <f t="shared" si="23"/>
        <v>1.4167999999999998E-2</v>
      </c>
      <c r="AM32" s="351">
        <f t="shared" si="24"/>
        <v>0.1773024</v>
      </c>
      <c r="AN32" s="351">
        <f t="shared" si="25"/>
        <v>1.3053570381408352E-2</v>
      </c>
      <c r="AO32" s="351">
        <f t="shared" si="26"/>
        <v>8.3999999999999993E-4</v>
      </c>
      <c r="AP32" s="351">
        <f>'Variable Management'!$B$347</f>
        <v>0.41183999999999998</v>
      </c>
      <c r="AQ32" s="351">
        <f t="shared" si="27"/>
        <v>0.36108727954971853</v>
      </c>
      <c r="AR32" s="351">
        <f t="shared" si="28"/>
        <v>0.32603999999999994</v>
      </c>
      <c r="AS32" s="351">
        <f t="shared" si="47"/>
        <v>0.41267999999999999</v>
      </c>
      <c r="AT32" s="351">
        <f t="shared" si="40"/>
        <v>1.6610496217841408</v>
      </c>
      <c r="AU32">
        <f t="shared" si="29"/>
        <v>5.75</v>
      </c>
      <c r="AV32" s="521">
        <f t="shared" si="41"/>
        <v>0.7758685062772176</v>
      </c>
      <c r="AW32" s="530">
        <f t="shared" si="30"/>
        <v>29.419431811989682</v>
      </c>
      <c r="AX32" s="530">
        <f t="shared" si="31"/>
        <v>3.0777676100679074</v>
      </c>
      <c r="AY32" s="9"/>
      <c r="AZ32" s="4">
        <f t="shared" si="42"/>
        <v>77.586850627721759</v>
      </c>
      <c r="BA32" s="351">
        <f t="shared" si="32"/>
        <v>0.44138817373294248</v>
      </c>
      <c r="BB32" s="351">
        <f t="shared" si="43"/>
        <v>0.77917987644192821</v>
      </c>
      <c r="BC32" s="351">
        <f t="shared" si="44"/>
        <v>0.70046266219023057</v>
      </c>
      <c r="BD32" s="351">
        <f t="shared" si="45"/>
        <v>7.6944190251697686E-2</v>
      </c>
      <c r="BE32" s="351">
        <f t="shared" si="46"/>
        <v>1.3053570381408352E-2</v>
      </c>
    </row>
    <row r="33" spans="1:57" x14ac:dyDescent="0.25">
      <c r="A33" s="22" t="s">
        <v>62</v>
      </c>
      <c r="B33" s="5">
        <f>Deadtime1*1000000000</f>
        <v>20</v>
      </c>
      <c r="C33" s="427" t="s">
        <v>75</v>
      </c>
      <c r="D33" s="21" t="s">
        <v>98</v>
      </c>
      <c r="G33">
        <v>24</v>
      </c>
      <c r="H33" s="527">
        <f t="shared" si="0"/>
        <v>24</v>
      </c>
      <c r="I33" s="4">
        <f t="shared" si="1"/>
        <v>1</v>
      </c>
      <c r="J33" s="351">
        <f t="shared" si="33"/>
        <v>1.2</v>
      </c>
      <c r="K33" s="4">
        <f t="shared" si="2"/>
        <v>0.27777777777777773</v>
      </c>
      <c r="L33" s="4"/>
      <c r="M33" s="351">
        <f t="shared" si="3"/>
        <v>0.21018992573630391</v>
      </c>
      <c r="N33" s="4">
        <f t="shared" si="4"/>
        <v>1.9267545378133297</v>
      </c>
      <c r="O33" s="4">
        <f t="shared" si="34"/>
        <v>2.1633772689066646</v>
      </c>
      <c r="P33" s="4">
        <f t="shared" si="35"/>
        <v>0.23662273109333509</v>
      </c>
      <c r="Q33" s="4">
        <f t="shared" si="5"/>
        <v>0</v>
      </c>
      <c r="R33" s="4">
        <f t="shared" si="6"/>
        <v>1.3226357223672818</v>
      </c>
      <c r="S33" s="351">
        <f t="shared" si="7"/>
        <v>4.2859448725009519E-2</v>
      </c>
      <c r="T33" s="351">
        <f t="shared" si="8"/>
        <v>0.4</v>
      </c>
      <c r="U33" s="351">
        <f t="shared" si="9"/>
        <v>0.4443831300029793</v>
      </c>
      <c r="V33" s="4">
        <f t="shared" si="36"/>
        <v>0.5562061255344295</v>
      </c>
      <c r="W33" s="351">
        <f t="shared" si="10"/>
        <v>3.0936525408202157E-4</v>
      </c>
      <c r="X33" s="351">
        <f t="shared" si="37"/>
        <v>3.0936525408202157E-4</v>
      </c>
      <c r="Y33" s="4">
        <f t="shared" si="11"/>
        <v>0.53889919024820221</v>
      </c>
      <c r="Z33" s="351">
        <f t="shared" si="12"/>
        <v>2.9041233725016804E-4</v>
      </c>
      <c r="AA33" s="520">
        <f t="shared" si="38"/>
        <v>2.9041233725016804E-4</v>
      </c>
      <c r="AB33" s="351">
        <f t="shared" si="13"/>
        <v>0.60638185398408029</v>
      </c>
      <c r="AC33" s="351">
        <f t="shared" si="14"/>
        <v>4.2285379576734606E-3</v>
      </c>
      <c r="AD33" s="351">
        <f t="shared" si="15"/>
        <v>4.6920342857142854E-2</v>
      </c>
      <c r="AE33" s="351">
        <f t="shared" si="16"/>
        <v>0.53416704000000004</v>
      </c>
      <c r="AF33" s="351">
        <f t="shared" si="17"/>
        <v>0</v>
      </c>
      <c r="AG33" s="351">
        <f t="shared" si="18"/>
        <v>0.58571219381382655</v>
      </c>
      <c r="AH33" s="351">
        <f t="shared" si="19"/>
        <v>1.1754430233919682</v>
      </c>
      <c r="AI33" s="351">
        <f t="shared" si="20"/>
        <v>4.5594987940948085E-3</v>
      </c>
      <c r="AJ33" s="351">
        <f t="shared" si="21"/>
        <v>1.4783999999999999E-2</v>
      </c>
      <c r="AK33" s="351">
        <f t="shared" si="22"/>
        <v>1.9358327191368242E-2</v>
      </c>
      <c r="AL33" s="351">
        <f t="shared" si="23"/>
        <v>1.4783999999999999E-2</v>
      </c>
      <c r="AM33" s="351">
        <f t="shared" si="24"/>
        <v>0.18501119999999999</v>
      </c>
      <c r="AN33" s="351">
        <f t="shared" si="25"/>
        <v>1.3994922032656171E-2</v>
      </c>
      <c r="AO33" s="351">
        <f t="shared" si="26"/>
        <v>8.3999999999999993E-4</v>
      </c>
      <c r="AP33" s="351">
        <f>'Variable Management'!$B$347</f>
        <v>0.41183999999999998</v>
      </c>
      <c r="AQ33" s="351">
        <f t="shared" si="27"/>
        <v>0.36108727954971853</v>
      </c>
      <c r="AR33" s="351">
        <f t="shared" si="28"/>
        <v>0.32603999999999994</v>
      </c>
      <c r="AS33" s="351">
        <f t="shared" si="47"/>
        <v>0.41267999999999999</v>
      </c>
      <c r="AT33" s="351">
        <f t="shared" si="40"/>
        <v>1.6765235506321621</v>
      </c>
      <c r="AU33">
        <f t="shared" si="29"/>
        <v>6</v>
      </c>
      <c r="AV33" s="521">
        <f t="shared" si="41"/>
        <v>0.7816038028706237</v>
      </c>
      <c r="AW33" s="530">
        <f t="shared" si="30"/>
        <v>29.728422604180714</v>
      </c>
      <c r="AX33" s="530">
        <f t="shared" si="31"/>
        <v>3.2164809276547297</v>
      </c>
      <c r="AY33" s="9"/>
      <c r="AZ33" s="4">
        <f t="shared" si="42"/>
        <v>78.160380287062367</v>
      </c>
      <c r="BA33" s="351">
        <f t="shared" si="32"/>
        <v>0.4443831300029793</v>
      </c>
      <c r="BB33" s="351">
        <f t="shared" si="43"/>
        <v>0.79008172100519469</v>
      </c>
      <c r="BC33" s="351">
        <f t="shared" si="44"/>
        <v>0.70781958581382654</v>
      </c>
      <c r="BD33" s="351">
        <f t="shared" si="45"/>
        <v>8.041202319136824E-2</v>
      </c>
      <c r="BE33" s="351">
        <f t="shared" si="46"/>
        <v>1.3994922032656171E-2</v>
      </c>
    </row>
    <row r="34" spans="1:57" x14ac:dyDescent="0.25">
      <c r="A34" s="24" t="s">
        <v>52</v>
      </c>
      <c r="B34" s="15" t="s">
        <v>111</v>
      </c>
      <c r="C34" s="24" t="s">
        <v>76</v>
      </c>
      <c r="D34" s="17" t="s">
        <v>107</v>
      </c>
      <c r="G34">
        <v>25</v>
      </c>
      <c r="H34" s="527">
        <f t="shared" si="0"/>
        <v>24</v>
      </c>
      <c r="I34" s="4">
        <f t="shared" si="1"/>
        <v>1</v>
      </c>
      <c r="J34" s="351">
        <f t="shared" si="33"/>
        <v>1.25</v>
      </c>
      <c r="K34" s="4">
        <f t="shared" si="2"/>
        <v>0.28935185185185186</v>
      </c>
      <c r="L34" s="4"/>
      <c r="M34" s="351">
        <f t="shared" si="3"/>
        <v>0.2102672805299779</v>
      </c>
      <c r="N34" s="4">
        <f t="shared" si="4"/>
        <v>1.9272806104669875</v>
      </c>
      <c r="O34" s="4">
        <f t="shared" si="34"/>
        <v>2.2136403052334939</v>
      </c>
      <c r="P34" s="4">
        <f t="shared" si="35"/>
        <v>0.28635969476650625</v>
      </c>
      <c r="Q34" s="4">
        <f t="shared" si="5"/>
        <v>0</v>
      </c>
      <c r="R34" s="4">
        <f t="shared" si="6"/>
        <v>1.3682230127517592</v>
      </c>
      <c r="S34" s="351">
        <f t="shared" si="7"/>
        <v>4.5864838209275768E-2</v>
      </c>
      <c r="T34" s="351">
        <f t="shared" si="8"/>
        <v>0.4</v>
      </c>
      <c r="U34" s="351">
        <f t="shared" si="9"/>
        <v>0.44750682445737855</v>
      </c>
      <c r="V34" s="4">
        <f t="shared" si="36"/>
        <v>0.55635798962853078</v>
      </c>
      <c r="W34" s="351">
        <f t="shared" si="10"/>
        <v>3.0953421262350033E-4</v>
      </c>
      <c r="X34" s="351">
        <f t="shared" si="37"/>
        <v>3.0953421262350033E-4</v>
      </c>
      <c r="Y34" s="4">
        <f t="shared" si="11"/>
        <v>0.55754869738003188</v>
      </c>
      <c r="Z34" s="351">
        <f t="shared" si="12"/>
        <v>3.1086054995017035E-4</v>
      </c>
      <c r="AA34" s="520">
        <f t="shared" si="38"/>
        <v>3.1086054995017035E-4</v>
      </c>
      <c r="AB34" s="351">
        <f t="shared" si="13"/>
        <v>0.62739743619767996</v>
      </c>
      <c r="AC34" s="351">
        <f t="shared" si="14"/>
        <v>4.5267167438953516E-3</v>
      </c>
      <c r="AD34" s="351">
        <f t="shared" si="15"/>
        <v>4.8875357142857144E-2</v>
      </c>
      <c r="AE34" s="351">
        <f t="shared" si="16"/>
        <v>0.53416704000000004</v>
      </c>
      <c r="AF34" s="351">
        <f t="shared" si="17"/>
        <v>0</v>
      </c>
      <c r="AG34" s="351">
        <f t="shared" si="18"/>
        <v>0.58799498376488624</v>
      </c>
      <c r="AH34" s="351">
        <f t="shared" si="19"/>
        <v>1.2158974749854854</v>
      </c>
      <c r="AI34" s="351">
        <f t="shared" si="20"/>
        <v>4.8787420099310613E-3</v>
      </c>
      <c r="AJ34" s="351">
        <f t="shared" si="21"/>
        <v>1.5399999999999999E-2</v>
      </c>
      <c r="AK34" s="351">
        <f t="shared" si="22"/>
        <v>2.029537668227803E-2</v>
      </c>
      <c r="AL34" s="351">
        <f t="shared" si="23"/>
        <v>1.5399999999999999E-2</v>
      </c>
      <c r="AM34" s="351">
        <f t="shared" si="24"/>
        <v>0.19272</v>
      </c>
      <c r="AN34" s="351">
        <f t="shared" si="25"/>
        <v>1.4976273700988006E-2</v>
      </c>
      <c r="AO34" s="351">
        <f t="shared" si="26"/>
        <v>8.3999999999999993E-4</v>
      </c>
      <c r="AP34" s="351">
        <f>'Variable Management'!$B$347</f>
        <v>0.41183999999999998</v>
      </c>
      <c r="AQ34" s="351">
        <f t="shared" si="27"/>
        <v>0.36108727954971853</v>
      </c>
      <c r="AR34" s="351">
        <f t="shared" si="28"/>
        <v>0.32603999999999994</v>
      </c>
      <c r="AS34" s="351">
        <f t="shared" si="47"/>
        <v>0.41267999999999999</v>
      </c>
      <c r="AT34" s="351">
        <f t="shared" si="40"/>
        <v>1.6921938533681045</v>
      </c>
      <c r="AU34">
        <f t="shared" si="29"/>
        <v>6.25</v>
      </c>
      <c r="AV34" s="521">
        <f t="shared" si="41"/>
        <v>0.78693621880678677</v>
      </c>
      <c r="AW34" s="530">
        <f t="shared" si="30"/>
        <v>30.037987718125219</v>
      </c>
      <c r="AX34" s="530">
        <f t="shared" si="31"/>
        <v>3.3557190672911212</v>
      </c>
      <c r="AY34" s="9"/>
      <c r="AZ34" s="4">
        <f t="shared" si="42"/>
        <v>78.693621880678677</v>
      </c>
      <c r="BA34" s="351">
        <f t="shared" si="32"/>
        <v>0.44750682445737855</v>
      </c>
      <c r="BB34" s="351">
        <f t="shared" si="43"/>
        <v>0.80101036044716423</v>
      </c>
      <c r="BC34" s="351">
        <f t="shared" si="44"/>
        <v>0.71519018376488619</v>
      </c>
      <c r="BD34" s="351">
        <f t="shared" si="45"/>
        <v>8.3892976682278034E-2</v>
      </c>
      <c r="BE34" s="351">
        <f t="shared" si="46"/>
        <v>1.4976273700988006E-2</v>
      </c>
    </row>
    <row r="35" spans="1:57" x14ac:dyDescent="0.25">
      <c r="A35" s="22" t="s">
        <v>128</v>
      </c>
      <c r="B35" s="5">
        <f>Iq*1000</f>
        <v>3.4999999999999996E-2</v>
      </c>
      <c r="C35" s="427" t="s">
        <v>64</v>
      </c>
      <c r="D35" s="21" t="s">
        <v>131</v>
      </c>
      <c r="G35">
        <v>26</v>
      </c>
      <c r="H35" s="527">
        <f t="shared" si="0"/>
        <v>24</v>
      </c>
      <c r="I35" s="4">
        <f t="shared" si="1"/>
        <v>1</v>
      </c>
      <c r="J35" s="351">
        <f t="shared" si="33"/>
        <v>1.3</v>
      </c>
      <c r="K35" s="4">
        <f t="shared" si="2"/>
        <v>0.30092592592592593</v>
      </c>
      <c r="L35" s="4"/>
      <c r="M35" s="351">
        <f t="shared" si="3"/>
        <v>0.21034463506581383</v>
      </c>
      <c r="N35" s="4">
        <f t="shared" si="4"/>
        <v>1.9278065460973803</v>
      </c>
      <c r="O35" s="4">
        <f t="shared" si="34"/>
        <v>2.2639032730486903</v>
      </c>
      <c r="P35" s="4">
        <f t="shared" si="35"/>
        <v>0.33609672695130988</v>
      </c>
      <c r="Q35" s="4">
        <f t="shared" si="5"/>
        <v>0</v>
      </c>
      <c r="R35" s="4">
        <f t="shared" si="6"/>
        <v>1.4141086143803308</v>
      </c>
      <c r="S35" s="351">
        <f t="shared" si="7"/>
        <v>4.8992727744984151E-2</v>
      </c>
      <c r="T35" s="351">
        <f t="shared" si="8"/>
        <v>0.4</v>
      </c>
      <c r="U35" s="351">
        <f t="shared" si="9"/>
        <v>0.45075944251664007</v>
      </c>
      <c r="V35" s="4">
        <f t="shared" si="36"/>
        <v>0.55650981416742262</v>
      </c>
      <c r="W35" s="351">
        <f t="shared" si="10"/>
        <v>3.0970317326465922E-4</v>
      </c>
      <c r="X35" s="351">
        <f t="shared" si="37"/>
        <v>3.0970317326465922E-4</v>
      </c>
      <c r="Y35" s="4">
        <f t="shared" si="11"/>
        <v>0.57632476632307417</v>
      </c>
      <c r="Z35" s="351">
        <f t="shared" si="12"/>
        <v>3.3215023627734602E-4</v>
      </c>
      <c r="AA35" s="520">
        <f t="shared" si="38"/>
        <v>3.3215023627734602E-4</v>
      </c>
      <c r="AB35" s="351">
        <f t="shared" si="13"/>
        <v>0.64855750263203693</v>
      </c>
      <c r="AC35" s="351">
        <f t="shared" si="14"/>
        <v>4.8372085935335027E-3</v>
      </c>
      <c r="AD35" s="351">
        <f t="shared" si="15"/>
        <v>5.0830371428571434E-2</v>
      </c>
      <c r="AE35" s="351">
        <f t="shared" si="16"/>
        <v>0.53416704000000004</v>
      </c>
      <c r="AF35" s="351">
        <f t="shared" si="17"/>
        <v>0</v>
      </c>
      <c r="AG35" s="351">
        <f t="shared" si="18"/>
        <v>0.59029147810379667</v>
      </c>
      <c r="AH35" s="351">
        <f t="shared" si="19"/>
        <v>1.2566130426843241</v>
      </c>
      <c r="AI35" s="351">
        <f t="shared" si="20"/>
        <v>5.2109519188463706E-3</v>
      </c>
      <c r="AJ35" s="351">
        <f t="shared" si="21"/>
        <v>1.6015999999999999E-2</v>
      </c>
      <c r="AK35" s="351">
        <f t="shared" si="22"/>
        <v>2.1245551122471652E-2</v>
      </c>
      <c r="AL35" s="351">
        <f t="shared" si="23"/>
        <v>1.6015999999999999E-2</v>
      </c>
      <c r="AM35" s="351">
        <f t="shared" si="24"/>
        <v>0.20042880000000002</v>
      </c>
      <c r="AN35" s="351">
        <f t="shared" si="25"/>
        <v>1.5997625386117272E-2</v>
      </c>
      <c r="AO35" s="351">
        <f t="shared" si="26"/>
        <v>8.3999999999999993E-4</v>
      </c>
      <c r="AP35" s="351">
        <f>'Variable Management'!$B$347</f>
        <v>0.41183999999999998</v>
      </c>
      <c r="AQ35" s="351">
        <f t="shared" si="27"/>
        <v>0.36108727954971853</v>
      </c>
      <c r="AR35" s="351">
        <f t="shared" si="28"/>
        <v>0.32603999999999994</v>
      </c>
      <c r="AS35" s="351">
        <f t="shared" si="47"/>
        <v>0.41267999999999999</v>
      </c>
      <c r="AT35" s="351">
        <f t="shared" si="40"/>
        <v>1.7080607505385679</v>
      </c>
      <c r="AU35">
        <f t="shared" si="29"/>
        <v>6.5</v>
      </c>
      <c r="AV35" s="521">
        <f t="shared" si="41"/>
        <v>0.79190447019699572</v>
      </c>
      <c r="AW35" s="530">
        <f t="shared" si="30"/>
        <v>30.348128416359462</v>
      </c>
      <c r="AX35" s="530">
        <f t="shared" si="31"/>
        <v>3.4954822048988667</v>
      </c>
      <c r="AY35" s="9"/>
      <c r="AZ35" s="4">
        <f t="shared" si="42"/>
        <v>79.190447019699576</v>
      </c>
      <c r="BA35" s="351">
        <f t="shared" si="32"/>
        <v>0.45075944251664007</v>
      </c>
      <c r="BB35" s="351">
        <f t="shared" si="43"/>
        <v>0.81196582922626837</v>
      </c>
      <c r="BC35" s="351">
        <f t="shared" si="44"/>
        <v>0.72257448610379671</v>
      </c>
      <c r="BD35" s="351">
        <f t="shared" si="45"/>
        <v>8.7387055122471663E-2</v>
      </c>
      <c r="BE35" s="351">
        <f t="shared" si="46"/>
        <v>1.5997625386117272E-2</v>
      </c>
    </row>
    <row r="36" spans="1:57" x14ac:dyDescent="0.25">
      <c r="A36" s="24" t="s">
        <v>512</v>
      </c>
      <c r="B36" s="15" t="s">
        <v>111</v>
      </c>
      <c r="C36" s="24" t="s">
        <v>76</v>
      </c>
      <c r="D36" s="17" t="s">
        <v>107</v>
      </c>
      <c r="G36">
        <v>27</v>
      </c>
      <c r="H36" s="527">
        <f t="shared" si="0"/>
        <v>24</v>
      </c>
      <c r="I36" s="4">
        <f t="shared" si="1"/>
        <v>1</v>
      </c>
      <c r="J36" s="351">
        <f t="shared" si="33"/>
        <v>1.35</v>
      </c>
      <c r="K36" s="4">
        <f t="shared" si="2"/>
        <v>0.3125</v>
      </c>
      <c r="L36" s="4"/>
      <c r="M36" s="351">
        <f t="shared" si="3"/>
        <v>0.21042198934381284</v>
      </c>
      <c r="N36" s="4">
        <f t="shared" si="4"/>
        <v>1.9283323447051908</v>
      </c>
      <c r="O36" s="4">
        <f t="shared" si="34"/>
        <v>2.3141661723525955</v>
      </c>
      <c r="P36" s="4">
        <f t="shared" si="35"/>
        <v>0.3858338276474047</v>
      </c>
      <c r="Q36" s="4">
        <f t="shared" si="5"/>
        <v>0</v>
      </c>
      <c r="R36" s="4">
        <f t="shared" si="6"/>
        <v>1.4602644061846077</v>
      </c>
      <c r="S36" s="351">
        <f t="shared" si="7"/>
        <v>5.2243117331257284E-2</v>
      </c>
      <c r="T36" s="351">
        <f t="shared" si="8"/>
        <v>0.4</v>
      </c>
      <c r="U36" s="351">
        <f t="shared" si="9"/>
        <v>0.45414117739651183</v>
      </c>
      <c r="V36" s="4">
        <f t="shared" si="36"/>
        <v>0.55666159915130209</v>
      </c>
      <c r="W36" s="351">
        <f t="shared" si="10"/>
        <v>3.0987213596968494E-4</v>
      </c>
      <c r="X36" s="351">
        <f t="shared" si="37"/>
        <v>3.0987213596968494E-4</v>
      </c>
      <c r="Y36" s="4">
        <f t="shared" si="11"/>
        <v>0.59521598085054328</v>
      </c>
      <c r="Z36" s="351">
        <f t="shared" si="12"/>
        <v>3.5428206385987435E-4</v>
      </c>
      <c r="AA36" s="520">
        <f t="shared" si="38"/>
        <v>3.5428206385987435E-4</v>
      </c>
      <c r="AB36" s="351">
        <f t="shared" si="13"/>
        <v>0.66984922696981331</v>
      </c>
      <c r="AC36" s="351">
        <f t="shared" si="14"/>
        <v>5.1600268490286493E-3</v>
      </c>
      <c r="AD36" s="351">
        <f t="shared" si="15"/>
        <v>5.2785385714285718E-2</v>
      </c>
      <c r="AE36" s="351">
        <f t="shared" si="16"/>
        <v>0.53416704000000004</v>
      </c>
      <c r="AF36" s="351">
        <f t="shared" si="17"/>
        <v>0</v>
      </c>
      <c r="AG36" s="351">
        <f t="shared" si="18"/>
        <v>0.59260170707840309</v>
      </c>
      <c r="AH36" s="351">
        <f t="shared" si="19"/>
        <v>1.2975646993879066</v>
      </c>
      <c r="AI36" s="351">
        <f t="shared" si="20"/>
        <v>5.5561246920221739E-3</v>
      </c>
      <c r="AJ36" s="351">
        <f t="shared" si="21"/>
        <v>1.6632000000000001E-2</v>
      </c>
      <c r="AK36" s="351">
        <f t="shared" si="22"/>
        <v>2.2208855080261797E-2</v>
      </c>
      <c r="AL36" s="351">
        <f t="shared" si="23"/>
        <v>1.6632000000000001E-2</v>
      </c>
      <c r="AM36" s="351">
        <f t="shared" si="24"/>
        <v>0.20813760000000001</v>
      </c>
      <c r="AN36" s="351">
        <f t="shared" si="25"/>
        <v>1.7058977087757481E-2</v>
      </c>
      <c r="AO36" s="351">
        <f t="shared" si="26"/>
        <v>8.3999999999999993E-4</v>
      </c>
      <c r="AP36" s="351">
        <f>'Variable Management'!$B$347</f>
        <v>0.41183999999999998</v>
      </c>
      <c r="AQ36" s="351">
        <f t="shared" si="27"/>
        <v>0.36108727954971853</v>
      </c>
      <c r="AR36" s="351">
        <f t="shared" si="28"/>
        <v>0.32603999999999994</v>
      </c>
      <c r="AS36" s="351">
        <f t="shared" si="47"/>
        <v>0.41267999999999999</v>
      </c>
      <c r="AT36" s="351">
        <f t="shared" si="40"/>
        <v>1.7241244708427634</v>
      </c>
      <c r="AU36">
        <f t="shared" si="29"/>
        <v>6.75</v>
      </c>
      <c r="AV36" s="521">
        <f t="shared" si="41"/>
        <v>0.79654246562284714</v>
      </c>
      <c r="AW36" s="530">
        <f t="shared" si="30"/>
        <v>30.65884596929293</v>
      </c>
      <c r="AX36" s="530">
        <f t="shared" si="31"/>
        <v>3.6357705232104722</v>
      </c>
      <c r="AY36" s="9"/>
      <c r="AZ36" s="4">
        <f t="shared" si="42"/>
        <v>79.654246562284712</v>
      </c>
      <c r="BA36" s="351">
        <f t="shared" si="32"/>
        <v>0.45414117739651183</v>
      </c>
      <c r="BB36" s="351">
        <f t="shared" si="43"/>
        <v>0.82294816215866495</v>
      </c>
      <c r="BC36" s="351">
        <f t="shared" si="44"/>
        <v>0.7299725230784031</v>
      </c>
      <c r="BD36" s="351">
        <f t="shared" si="45"/>
        <v>9.08942630802618E-2</v>
      </c>
      <c r="BE36" s="351">
        <f t="shared" si="46"/>
        <v>1.7058977087757481E-2</v>
      </c>
    </row>
    <row r="37" spans="1:57" x14ac:dyDescent="0.25">
      <c r="A37" s="23" t="s">
        <v>71</v>
      </c>
      <c r="B37" s="5">
        <f>Rdson3*1000</f>
        <v>11.5</v>
      </c>
      <c r="C37" s="429" t="s">
        <v>454</v>
      </c>
      <c r="D37" s="427" t="s">
        <v>515</v>
      </c>
      <c r="G37">
        <v>28</v>
      </c>
      <c r="H37" s="527">
        <f t="shared" si="0"/>
        <v>24</v>
      </c>
      <c r="I37" s="4">
        <f t="shared" si="1"/>
        <v>1</v>
      </c>
      <c r="J37" s="351">
        <f t="shared" si="33"/>
        <v>1.4</v>
      </c>
      <c r="K37" s="4">
        <f t="shared" si="2"/>
        <v>0.32407407407407407</v>
      </c>
      <c r="L37" s="4"/>
      <c r="M37" s="351">
        <f t="shared" si="3"/>
        <v>0.21049934336397635</v>
      </c>
      <c r="N37" s="4">
        <f t="shared" si="4"/>
        <v>1.9288580062911056</v>
      </c>
      <c r="O37" s="4">
        <f t="shared" si="34"/>
        <v>2.3644290031455526</v>
      </c>
      <c r="P37" s="4">
        <f t="shared" si="35"/>
        <v>0.43557099685444711</v>
      </c>
      <c r="Q37" s="4">
        <f t="shared" si="5"/>
        <v>0</v>
      </c>
      <c r="R37" s="4">
        <f t="shared" si="6"/>
        <v>1.5066655570174738</v>
      </c>
      <c r="S37" s="351">
        <f t="shared" si="7"/>
        <v>5.5616006967217975E-2</v>
      </c>
      <c r="T37" s="351">
        <f t="shared" si="8"/>
        <v>0.4</v>
      </c>
      <c r="U37" s="351">
        <f t="shared" si="9"/>
        <v>0.45765223013680612</v>
      </c>
      <c r="V37" s="4">
        <f t="shared" si="36"/>
        <v>0.55681334458036735</v>
      </c>
      <c r="W37" s="351">
        <f t="shared" si="10"/>
        <v>3.1004110070277489E-4</v>
      </c>
      <c r="X37" s="351">
        <f t="shared" si="37"/>
        <v>3.1004110070277489E-4</v>
      </c>
      <c r="Y37" s="4">
        <f t="shared" si="11"/>
        <v>0.61421225969732085</v>
      </c>
      <c r="Z37" s="351">
        <f t="shared" si="12"/>
        <v>3.7725669996248914E-4</v>
      </c>
      <c r="AA37" s="520">
        <f t="shared" si="38"/>
        <v>3.7725669996248914E-4</v>
      </c>
      <c r="AB37" s="351">
        <f t="shared" si="13"/>
        <v>0.6912612828064163</v>
      </c>
      <c r="AC37" s="351">
        <f t="shared" si="14"/>
        <v>5.4951848527324812E-3</v>
      </c>
      <c r="AD37" s="351">
        <f t="shared" si="15"/>
        <v>5.4740399999999995E-2</v>
      </c>
      <c r="AE37" s="351">
        <f t="shared" si="16"/>
        <v>0.53416704000000004</v>
      </c>
      <c r="AF37" s="351">
        <f t="shared" si="17"/>
        <v>0</v>
      </c>
      <c r="AG37" s="351">
        <f t="shared" si="18"/>
        <v>0.59492570112494425</v>
      </c>
      <c r="AH37" s="351">
        <f t="shared" si="19"/>
        <v>1.338730346109926</v>
      </c>
      <c r="AI37" s="351">
        <f t="shared" si="20"/>
        <v>5.9142565006654879E-3</v>
      </c>
      <c r="AJ37" s="351">
        <f t="shared" si="21"/>
        <v>1.7247999999999999E-2</v>
      </c>
      <c r="AK37" s="351">
        <f t="shared" si="22"/>
        <v>2.3185293294291868E-2</v>
      </c>
      <c r="AL37" s="351">
        <f t="shared" si="23"/>
        <v>1.7247999999999999E-2</v>
      </c>
      <c r="AM37" s="351">
        <f t="shared" si="24"/>
        <v>0.21584639999999999</v>
      </c>
      <c r="AN37" s="351">
        <f t="shared" si="25"/>
        <v>1.8160328805622197E-2</v>
      </c>
      <c r="AO37" s="351">
        <f t="shared" si="26"/>
        <v>8.3999999999999993E-4</v>
      </c>
      <c r="AP37" s="351">
        <f>'Variable Management'!$B$347</f>
        <v>0.41183999999999998</v>
      </c>
      <c r="AQ37" s="351">
        <f t="shared" si="27"/>
        <v>0.36108727954971853</v>
      </c>
      <c r="AR37" s="351">
        <f t="shared" si="28"/>
        <v>0.32603999999999994</v>
      </c>
      <c r="AS37" s="351">
        <f t="shared" si="47"/>
        <v>0.41267999999999999</v>
      </c>
      <c r="AT37" s="351">
        <f t="shared" si="40"/>
        <v>1.7403852511623297</v>
      </c>
      <c r="AU37">
        <f t="shared" si="29"/>
        <v>7</v>
      </c>
      <c r="AV37" s="521">
        <f t="shared" si="41"/>
        <v>0.80088002975259165</v>
      </c>
      <c r="AW37" s="530">
        <f t="shared" si="30"/>
        <v>30.970141655247659</v>
      </c>
      <c r="AX37" s="530">
        <f t="shared" si="31"/>
        <v>3.7765842117716746</v>
      </c>
      <c r="AY37" s="9"/>
      <c r="AZ37" s="4">
        <f t="shared" si="42"/>
        <v>80.088002975259158</v>
      </c>
      <c r="BA37" s="351">
        <f t="shared" si="32"/>
        <v>0.45765223013680612</v>
      </c>
      <c r="BB37" s="351">
        <f t="shared" si="43"/>
        <v>0.83395739441923611</v>
      </c>
      <c r="BC37" s="351">
        <f t="shared" si="44"/>
        <v>0.73738432512494423</v>
      </c>
      <c r="BD37" s="351">
        <f t="shared" si="45"/>
        <v>9.4414605294291867E-2</v>
      </c>
      <c r="BE37" s="351">
        <f t="shared" si="46"/>
        <v>1.8160328805622197E-2</v>
      </c>
    </row>
    <row r="38" spans="1:57" x14ac:dyDescent="0.25">
      <c r="A38" s="22" t="s">
        <v>79</v>
      </c>
      <c r="B38" s="5">
        <f>RdsonTopTc*1000000</f>
        <v>4000</v>
      </c>
      <c r="C38" s="427" t="s">
        <v>81</v>
      </c>
      <c r="D38" s="21" t="s">
        <v>109</v>
      </c>
      <c r="G38">
        <v>29</v>
      </c>
      <c r="H38" s="527">
        <f t="shared" si="0"/>
        <v>24</v>
      </c>
      <c r="I38" s="4">
        <f t="shared" si="1"/>
        <v>1</v>
      </c>
      <c r="J38" s="351">
        <f t="shared" si="33"/>
        <v>1.45</v>
      </c>
      <c r="K38" s="4">
        <f t="shared" si="2"/>
        <v>0.33564814814814814</v>
      </c>
      <c r="L38" s="4"/>
      <c r="M38" s="351">
        <f t="shared" si="3"/>
        <v>0.21057669712630556</v>
      </c>
      <c r="N38" s="4">
        <f t="shared" si="4"/>
        <v>1.9293835308558087</v>
      </c>
      <c r="O38" s="4">
        <f t="shared" si="34"/>
        <v>2.4146917654279045</v>
      </c>
      <c r="P38" s="4">
        <f t="shared" si="35"/>
        <v>0.4853082345720956</v>
      </c>
      <c r="Q38" s="4">
        <f t="shared" si="5"/>
        <v>0</v>
      </c>
      <c r="R38" s="4">
        <f t="shared" si="6"/>
        <v>1.5532900783266903</v>
      </c>
      <c r="S38" s="351">
        <f t="shared" si="7"/>
        <v>5.9111396651989327E-2</v>
      </c>
      <c r="T38" s="351">
        <f t="shared" si="8"/>
        <v>0.4</v>
      </c>
      <c r="U38" s="351">
        <f t="shared" si="9"/>
        <v>0.461292809631416</v>
      </c>
      <c r="V38" s="4">
        <f t="shared" si="36"/>
        <v>0.55696505045481592</v>
      </c>
      <c r="W38" s="351">
        <f t="shared" si="10"/>
        <v>3.1021006742813567E-4</v>
      </c>
      <c r="X38" s="351">
        <f t="shared" si="37"/>
        <v>3.1021006742813567E-4</v>
      </c>
      <c r="Y38" s="4">
        <f t="shared" si="11"/>
        <v>0.63330467508655297</v>
      </c>
      <c r="Z38" s="351">
        <f t="shared" si="12"/>
        <v>4.0107481148648447E-4</v>
      </c>
      <c r="AA38" s="520">
        <f t="shared" si="38"/>
        <v>4.0107481148648447E-4</v>
      </c>
      <c r="AB38" s="351">
        <f t="shared" si="13"/>
        <v>0.71278363976904158</v>
      </c>
      <c r="AC38" s="351">
        <f t="shared" si="14"/>
        <v>5.8426959469076323E-3</v>
      </c>
      <c r="AD38" s="351">
        <f t="shared" si="15"/>
        <v>5.6695414285714278E-2</v>
      </c>
      <c r="AE38" s="351">
        <f t="shared" si="16"/>
        <v>0.53416704000000004</v>
      </c>
      <c r="AF38" s="351">
        <f t="shared" si="17"/>
        <v>0</v>
      </c>
      <c r="AG38" s="351">
        <f t="shared" si="18"/>
        <v>0.59726349086899566</v>
      </c>
      <c r="AH38" s="351">
        <f t="shared" si="19"/>
        <v>1.3800904138156069</v>
      </c>
      <c r="AI38" s="351">
        <f t="shared" si="20"/>
        <v>6.2853435160089193E-3</v>
      </c>
      <c r="AJ38" s="351">
        <f t="shared" si="21"/>
        <v>1.7863999999999998E-2</v>
      </c>
      <c r="AK38" s="351">
        <f t="shared" si="22"/>
        <v>2.4174870673604215E-2</v>
      </c>
      <c r="AL38" s="351">
        <f t="shared" si="23"/>
        <v>1.7863999999999998E-2</v>
      </c>
      <c r="AM38" s="351">
        <f t="shared" si="24"/>
        <v>0.22355520000000001</v>
      </c>
      <c r="AN38" s="351">
        <f t="shared" si="25"/>
        <v>1.9301680539425086E-2</v>
      </c>
      <c r="AO38" s="351">
        <f t="shared" si="26"/>
        <v>8.3999999999999993E-4</v>
      </c>
      <c r="AP38" s="351">
        <f>'Variable Management'!$B$347</f>
        <v>0.41183999999999998</v>
      </c>
      <c r="AQ38" s="351">
        <f t="shared" si="27"/>
        <v>0.36108727954971853</v>
      </c>
      <c r="AR38" s="351">
        <f t="shared" si="28"/>
        <v>0.32603999999999994</v>
      </c>
      <c r="AS38" s="351">
        <f t="shared" si="47"/>
        <v>0.41267999999999999</v>
      </c>
      <c r="AT38" s="351">
        <f t="shared" si="40"/>
        <v>1.7568433365923557</v>
      </c>
      <c r="AU38">
        <f t="shared" si="29"/>
        <v>7.25</v>
      </c>
      <c r="AV38" s="521">
        <f t="shared" si="41"/>
        <v>0.80494350007679394</v>
      </c>
      <c r="AW38" s="530">
        <f t="shared" si="30"/>
        <v>31.282016760497822</v>
      </c>
      <c r="AX38" s="530">
        <f t="shared" si="31"/>
        <v>3.9179234669441687</v>
      </c>
      <c r="AY38" s="9"/>
      <c r="AZ38" s="4">
        <f t="shared" si="42"/>
        <v>80.494350007679401</v>
      </c>
      <c r="BA38" s="351">
        <f t="shared" si="32"/>
        <v>0.461292809631416</v>
      </c>
      <c r="BB38" s="351">
        <f t="shared" si="43"/>
        <v>0.84499356154259986</v>
      </c>
      <c r="BC38" s="351">
        <f t="shared" si="44"/>
        <v>0.74480992286899572</v>
      </c>
      <c r="BD38" s="351">
        <f t="shared" si="45"/>
        <v>9.7948086673604218E-2</v>
      </c>
      <c r="BE38" s="351">
        <f t="shared" si="46"/>
        <v>1.9301680539425086E-2</v>
      </c>
    </row>
    <row r="39" spans="1:57" x14ac:dyDescent="0.25">
      <c r="A39" s="23" t="s">
        <v>70</v>
      </c>
      <c r="B39" s="5">
        <f>Qg_Q3*1000000000</f>
        <v>8</v>
      </c>
      <c r="C39" s="427" t="s">
        <v>65</v>
      </c>
      <c r="D39" s="21" t="s">
        <v>99</v>
      </c>
      <c r="G39">
        <v>30</v>
      </c>
      <c r="H39" s="527">
        <f t="shared" si="0"/>
        <v>24</v>
      </c>
      <c r="I39" s="4">
        <f t="shared" si="1"/>
        <v>1</v>
      </c>
      <c r="J39" s="351">
        <f t="shared" si="33"/>
        <v>1.5</v>
      </c>
      <c r="K39" s="4">
        <f t="shared" si="2"/>
        <v>0.34722222222222221</v>
      </c>
      <c r="L39" s="4"/>
      <c r="M39" s="351">
        <f t="shared" si="3"/>
        <v>0.21065405063080178</v>
      </c>
      <c r="N39" s="4">
        <f t="shared" si="4"/>
        <v>1.9299089183999858</v>
      </c>
      <c r="O39" s="4">
        <f t="shared" si="34"/>
        <v>2.4649544591999928</v>
      </c>
      <c r="P39" s="4">
        <f t="shared" si="35"/>
        <v>0.5350455408000071</v>
      </c>
      <c r="Q39" s="4">
        <f t="shared" si="5"/>
        <v>0</v>
      </c>
      <c r="R39" s="4">
        <f t="shared" si="6"/>
        <v>1.6001184444002836</v>
      </c>
      <c r="S39" s="351">
        <f t="shared" si="7"/>
        <v>6.2729286384694605E-2</v>
      </c>
      <c r="T39" s="351">
        <f t="shared" si="8"/>
        <v>0.4</v>
      </c>
      <c r="U39" s="351">
        <f t="shared" si="9"/>
        <v>0.46506313265953969</v>
      </c>
      <c r="V39" s="4">
        <f t="shared" si="36"/>
        <v>0.55711671677484564</v>
      </c>
      <c r="W39" s="351">
        <f t="shared" si="10"/>
        <v>3.1037903610998361E-4</v>
      </c>
      <c r="X39" s="351">
        <f t="shared" si="37"/>
        <v>3.1037903610998361E-4</v>
      </c>
      <c r="Y39" s="4">
        <f t="shared" si="11"/>
        <v>0.65248529866175609</v>
      </c>
      <c r="Z39" s="351">
        <f t="shared" si="12"/>
        <v>4.2573706496972104E-4</v>
      </c>
      <c r="AA39" s="520">
        <f t="shared" si="38"/>
        <v>4.2573706496972104E-4</v>
      </c>
      <c r="AB39" s="351">
        <f t="shared" si="13"/>
        <v>0.73440739042220693</v>
      </c>
      <c r="AC39" s="351">
        <f t="shared" si="14"/>
        <v>6.2025734737276919E-3</v>
      </c>
      <c r="AD39" s="351">
        <f t="shared" si="15"/>
        <v>5.8650428571428569E-2</v>
      </c>
      <c r="AE39" s="351">
        <f t="shared" si="16"/>
        <v>0.53416704000000004</v>
      </c>
      <c r="AF39" s="351">
        <f t="shared" si="17"/>
        <v>0</v>
      </c>
      <c r="AG39" s="351">
        <f t="shared" si="18"/>
        <v>0.59961510712642163</v>
      </c>
      <c r="AH39" s="351">
        <f t="shared" si="19"/>
        <v>1.4216275254099533</v>
      </c>
      <c r="AI39" s="351">
        <f t="shared" si="20"/>
        <v>6.6693819093106505E-3</v>
      </c>
      <c r="AJ39" s="351">
        <f t="shared" si="21"/>
        <v>1.848E-2</v>
      </c>
      <c r="AK39" s="351">
        <f t="shared" si="22"/>
        <v>2.5177592297713831E-2</v>
      </c>
      <c r="AL39" s="351">
        <f t="shared" si="23"/>
        <v>1.848E-2</v>
      </c>
      <c r="AM39" s="351">
        <f t="shared" si="24"/>
        <v>0.23126400000000003</v>
      </c>
      <c r="AN39" s="351">
        <f t="shared" si="25"/>
        <v>2.048303228887987E-2</v>
      </c>
      <c r="AO39" s="351">
        <f t="shared" si="26"/>
        <v>8.3999999999999993E-4</v>
      </c>
      <c r="AP39" s="351">
        <f>'Variable Management'!$B$347</f>
        <v>0.41183999999999998</v>
      </c>
      <c r="AQ39" s="351">
        <f t="shared" si="27"/>
        <v>0.36108727954971853</v>
      </c>
      <c r="AR39" s="351">
        <f t="shared" si="28"/>
        <v>0.32603999999999994</v>
      </c>
      <c r="AS39" s="351">
        <f t="shared" si="47"/>
        <v>0.41267999999999999</v>
      </c>
      <c r="AT39" s="351">
        <f t="shared" si="40"/>
        <v>1.7734989804736345</v>
      </c>
      <c r="AU39">
        <f t="shared" si="29"/>
        <v>7.5</v>
      </c>
      <c r="AV39" s="521">
        <f t="shared" si="41"/>
        <v>0.80875622198180741</v>
      </c>
      <c r="AW39" s="530">
        <f t="shared" si="30"/>
        <v>31.594472579309709</v>
      </c>
      <c r="AX39" s="530">
        <f t="shared" si="31"/>
        <v>4.0597884919085541</v>
      </c>
      <c r="AY39" s="9"/>
      <c r="AZ39" s="4">
        <f t="shared" si="42"/>
        <v>80.875622198180736</v>
      </c>
      <c r="BA39" s="351">
        <f t="shared" si="32"/>
        <v>0.46506313265953969</v>
      </c>
      <c r="BB39" s="351">
        <f t="shared" si="43"/>
        <v>0.85605669942413554</v>
      </c>
      <c r="BC39" s="351">
        <f t="shared" si="44"/>
        <v>0.75224934712642166</v>
      </c>
      <c r="BD39" s="351">
        <f t="shared" si="45"/>
        <v>0.10149471229771384</v>
      </c>
      <c r="BE39" s="351">
        <f t="shared" si="46"/>
        <v>2.048303228887987E-2</v>
      </c>
    </row>
    <row r="40" spans="1:57" x14ac:dyDescent="0.25">
      <c r="A40" s="23" t="s">
        <v>120</v>
      </c>
      <c r="B40" s="5">
        <f>Qgd_Q3*1000000000</f>
        <v>2.8</v>
      </c>
      <c r="C40" s="427" t="s">
        <v>65</v>
      </c>
      <c r="D40" s="21" t="s">
        <v>121</v>
      </c>
      <c r="G40">
        <v>31</v>
      </c>
      <c r="H40" s="527">
        <f t="shared" si="0"/>
        <v>24</v>
      </c>
      <c r="I40" s="4">
        <f t="shared" si="1"/>
        <v>1</v>
      </c>
      <c r="J40" s="351">
        <f t="shared" si="33"/>
        <v>1.55</v>
      </c>
      <c r="K40" s="4">
        <f t="shared" si="2"/>
        <v>0.35879629629629628</v>
      </c>
      <c r="L40" s="4"/>
      <c r="M40" s="351">
        <f t="shared" si="3"/>
        <v>0.21073140387746633</v>
      </c>
      <c r="N40" s="4">
        <f t="shared" si="4"/>
        <v>1.9304341689243216</v>
      </c>
      <c r="O40" s="4">
        <f t="shared" si="34"/>
        <v>2.5152170844621606</v>
      </c>
      <c r="P40" s="4">
        <f t="shared" si="35"/>
        <v>0.58478291553783923</v>
      </c>
      <c r="Q40" s="4">
        <f t="shared" si="5"/>
        <v>0</v>
      </c>
      <c r="R40" s="4">
        <f t="shared" si="6"/>
        <v>1.6471332692628562</v>
      </c>
      <c r="S40" s="351">
        <f t="shared" si="7"/>
        <v>6.6469676164457356E-2</v>
      </c>
      <c r="T40" s="351">
        <f t="shared" si="8"/>
        <v>0.4</v>
      </c>
      <c r="U40" s="351">
        <f t="shared" si="9"/>
        <v>0.4689634239181224</v>
      </c>
      <c r="V40" s="4">
        <f t="shared" si="36"/>
        <v>0.55726834354065435</v>
      </c>
      <c r="W40" s="351">
        <f t="shared" si="10"/>
        <v>3.1054800671254481E-4</v>
      </c>
      <c r="X40" s="351">
        <f t="shared" si="37"/>
        <v>3.1054800671254481E-4</v>
      </c>
      <c r="Y40" s="4">
        <f t="shared" si="11"/>
        <v>0.67174707039676196</v>
      </c>
      <c r="Z40" s="351">
        <f t="shared" si="12"/>
        <v>4.5124412658663229E-4</v>
      </c>
      <c r="AA40" s="520">
        <f t="shared" si="38"/>
        <v>4.5124412658663229E-4</v>
      </c>
      <c r="AB40" s="351">
        <f t="shared" si="13"/>
        <v>0.75612460298650264</v>
      </c>
      <c r="AC40" s="351">
        <f t="shared" si="14"/>
        <v>6.5748307752772064E-3</v>
      </c>
      <c r="AD40" s="351">
        <f t="shared" si="15"/>
        <v>6.0605442857142866E-2</v>
      </c>
      <c r="AE40" s="351">
        <f t="shared" si="16"/>
        <v>0.53416704000000004</v>
      </c>
      <c r="AF40" s="351">
        <f t="shared" si="17"/>
        <v>0</v>
      </c>
      <c r="AG40" s="351">
        <f t="shared" si="18"/>
        <v>0.60198058090433193</v>
      </c>
      <c r="AH40" s="351">
        <f t="shared" si="19"/>
        <v>1.463326208154234</v>
      </c>
      <c r="AI40" s="351">
        <f t="shared" si="20"/>
        <v>7.0663678518544598E-3</v>
      </c>
      <c r="AJ40" s="351">
        <f t="shared" si="21"/>
        <v>1.9095999999999998E-2</v>
      </c>
      <c r="AK40" s="351">
        <f t="shared" si="22"/>
        <v>2.6193463416687612E-2</v>
      </c>
      <c r="AL40" s="351">
        <f t="shared" si="23"/>
        <v>1.9095999999999998E-2</v>
      </c>
      <c r="AM40" s="351">
        <f t="shared" si="24"/>
        <v>0.23897280000000007</v>
      </c>
      <c r="AN40" s="351">
        <f t="shared" si="25"/>
        <v>2.170438405370036E-2</v>
      </c>
      <c r="AO40" s="351">
        <f t="shared" si="26"/>
        <v>8.3999999999999993E-4</v>
      </c>
      <c r="AP40" s="351">
        <f>'Variable Management'!$B$347</f>
        <v>0.41183999999999998</v>
      </c>
      <c r="AQ40" s="351">
        <f t="shared" si="27"/>
        <v>0.36108727954971853</v>
      </c>
      <c r="AR40" s="351">
        <f t="shared" si="28"/>
        <v>0.32603999999999994</v>
      </c>
      <c r="AS40" s="351">
        <f t="shared" si="47"/>
        <v>0.41267999999999999</v>
      </c>
      <c r="AT40" s="351">
        <f t="shared" si="40"/>
        <v>1.7903524444261414</v>
      </c>
      <c r="AU40">
        <f t="shared" si="29"/>
        <v>7.75</v>
      </c>
      <c r="AV40" s="521">
        <f t="shared" si="41"/>
        <v>0.81233896180930543</v>
      </c>
      <c r="AW40" s="530">
        <f t="shared" si="30"/>
        <v>31.907510413981946</v>
      </c>
      <c r="AX40" s="530">
        <f t="shared" si="31"/>
        <v>4.2021794966675055</v>
      </c>
      <c r="AY40" s="9"/>
      <c r="AZ40" s="4">
        <f t="shared" si="42"/>
        <v>81.233896180930543</v>
      </c>
      <c r="BA40" s="351">
        <f t="shared" si="32"/>
        <v>0.4689634239181224</v>
      </c>
      <c r="BB40" s="351">
        <f t="shared" si="43"/>
        <v>0.86714684432101963</v>
      </c>
      <c r="BC40" s="351">
        <f t="shared" si="44"/>
        <v>0.75970262890433204</v>
      </c>
      <c r="BD40" s="351">
        <f t="shared" si="45"/>
        <v>0.10505448741668764</v>
      </c>
      <c r="BE40" s="351">
        <f t="shared" si="46"/>
        <v>2.170438405370036E-2</v>
      </c>
    </row>
    <row r="41" spans="1:57" x14ac:dyDescent="0.25">
      <c r="A41" s="23" t="s">
        <v>124</v>
      </c>
      <c r="B41" s="5">
        <f>Qgs_Q3*1000000000</f>
        <v>3.1</v>
      </c>
      <c r="C41" s="427" t="s">
        <v>65</v>
      </c>
      <c r="D41" s="21"/>
      <c r="G41">
        <v>32</v>
      </c>
      <c r="H41" s="527">
        <f t="shared" si="0"/>
        <v>24</v>
      </c>
      <c r="I41" s="4">
        <f t="shared" ref="I41:I72" si="48">MODE</f>
        <v>1</v>
      </c>
      <c r="J41" s="351">
        <f t="shared" si="33"/>
        <v>1.6</v>
      </c>
      <c r="K41" s="4">
        <f t="shared" ref="K41:K72" si="49">Vout2*J41/(Vin*Efficiency)</f>
        <v>0.37037037037037035</v>
      </c>
      <c r="L41" s="4"/>
      <c r="M41" s="351">
        <f t="shared" ref="M41:M72" si="50">(Vout2+(Rdson4+Rs+Rdcr)*J41)/(Vin+(Rs+Rdson2-Rdson1)*J41)</f>
        <v>0.21080875686630046</v>
      </c>
      <c r="N41" s="4">
        <f t="shared" ref="N41:N72" si="51">(Vin-(Rdson3+Rdcr2)*J41-Vout2)*M41/(Fsw*Lo_2)</f>
        <v>1.9309592824295017</v>
      </c>
      <c r="O41" s="4">
        <f t="shared" si="34"/>
        <v>2.5654796412147509</v>
      </c>
      <c r="P41" s="4">
        <f t="shared" si="35"/>
        <v>0.63452035878524926</v>
      </c>
      <c r="Q41" s="4">
        <f t="shared" ref="Q41:Q72" si="52">IF(MIN(Vin, -P41/(Coss_Q3+Coss_Q4)*0.00000002)&lt;0, 0, MIN(Vin, -P41/(Coss_Q3+Coss_Q4)*0.00000002))</f>
        <v>0</v>
      </c>
      <c r="R41" s="4">
        <f t="shared" ref="R41:R72" si="53">SQRT(J41^2+(N41^2)/12)</f>
        <v>1.694319031115467</v>
      </c>
      <c r="S41" s="351">
        <f t="shared" ref="S41:S72" si="54">R41^2*Rdcr2</f>
        <v>7.0332565990401344E-2</v>
      </c>
      <c r="T41" s="351">
        <f t="shared" ref="T41:T72" si="55">Core_Loss_Ch2</f>
        <v>0.4</v>
      </c>
      <c r="U41" s="351">
        <f t="shared" ref="U41:U72" si="56">(T41+S41*(1+Ltc*(Ta-25)))/(1-S41*Ltc*ThetaCa)</f>
        <v>0.47299391605552404</v>
      </c>
      <c r="V41" s="4">
        <f t="shared" si="36"/>
        <v>0.55741993075243967</v>
      </c>
      <c r="W41" s="351">
        <f t="shared" ref="W41:W72" si="57">Cout2_ESR*V41^2</f>
        <v>3.1071697920005464E-4</v>
      </c>
      <c r="X41" s="351">
        <f t="shared" si="37"/>
        <v>3.1071697920005464E-4</v>
      </c>
      <c r="Y41" s="4">
        <f t="shared" ref="Y41:Y72" si="58">SQRT(M41*(1-M41))*SQRT(J41^2+(N41^2)/12)</f>
        <v>0.69108368679070253</v>
      </c>
      <c r="Z41" s="351">
        <f t="shared" si="12"/>
        <v>4.7759666214822985E-4</v>
      </c>
      <c r="AA41" s="520">
        <f t="shared" si="38"/>
        <v>4.7759666214822985E-4</v>
      </c>
      <c r="AB41" s="351">
        <f t="shared" ref="AB41:AB72" si="59">SQRT(M41)*SQRT(J41^2+(N41^2)/12)</f>
        <v>0.77792819572255179</v>
      </c>
      <c r="AC41" s="351">
        <f t="shared" ref="AC41:AC72" si="60">Rdson3*AB41^2</f>
        <v>6.9594811935516651E-3</v>
      </c>
      <c r="AD41" s="351">
        <f t="shared" ref="AD41:AD72" si="61">(Vin*J41/2)*Fsw*(Tr_Ch2+Tf_Ch2)</f>
        <v>6.2560457142857157E-2</v>
      </c>
      <c r="AE41" s="351">
        <f t="shared" ref="AE41:AE72" si="62">(0.5*Coss_Q3*(Vin-Q41)^2-0.5*Coss_Q4*(Vin-Q41)^2+(Qoss_Q4*(Vin-Q41)/Vin)*Vin)*Fsw</f>
        <v>0.53416704000000004</v>
      </c>
      <c r="AF41" s="351">
        <f t="shared" ref="AF41:AF72" si="63">IF(J41&gt;N41/2,0,ABS(J41-N41/2)*Vsd_Q3*Deadtime1*Fsw)</f>
        <v>0</v>
      </c>
      <c r="AG41" s="351">
        <f t="shared" ref="AG41:AG72" si="64">(AF41+AE41+AD41+AC41*(1+RdsonTopTc*Ta-RdsonTopTc*25))/(1-AC41*RdsonTopTc*ThetaJA_Q2)</f>
        <v>0.60435994340204779</v>
      </c>
      <c r="AH41" s="351">
        <f t="shared" ref="AH41:AH72" si="65">SQRT((1-M41))*SQRT(J41^2+(N41^2)/12)</f>
        <v>1.5051726484028036</v>
      </c>
      <c r="AI41" s="351">
        <f t="shared" ref="AI41:AI72" si="66">Rdson4*AH41^2</f>
        <v>7.4762975149497025E-3</v>
      </c>
      <c r="AJ41" s="351">
        <f t="shared" ref="AJ41:AJ72" si="67">IF(J41&lt;N41/2,Deadtime1*Fsw*IF(VfdSky_Q4&gt;0,0,Vsd_Q4)*(J41+N41/2),2*Deadtime1*Fsw*IF(VfdSky_Q4&gt;0,0,Vsd_Q4)*J41)</f>
        <v>1.9712E-2</v>
      </c>
      <c r="AK41" s="351">
        <f t="shared" ref="AK41:AK72" si="68">(AJ41+AI41*(1+RdsonBotTc*Ta-RdsonBotTc*25))/(1-AI41*RdsonBotTc*ThetaJA_Q3)</f>
        <v>2.7222489451229175E-2</v>
      </c>
      <c r="AL41" s="351">
        <f t="shared" ref="AL41:AL72" si="69">2*Deadtime1*Fsw*IF(VfdSky_Q4&gt;0,VfdSky_Q4,Vsd_Q4)*J41</f>
        <v>1.9712E-2</v>
      </c>
      <c r="AM41" s="351">
        <f t="shared" ref="AM41:AM72" si="70">IF(QrrSky_Q4&gt;0,QrrSky_Q4,Qrr_Q4*J41/Iout2)*Fsw*Vin</f>
        <v>0.2466816</v>
      </c>
      <c r="AN41" s="351">
        <f t="shared" ref="AN41:AN72" si="71">CHOOSE(SENSING_TYPE, Rs_Ch2*R41^2, 0)</f>
        <v>2.2965735833600436E-2</v>
      </c>
      <c r="AO41" s="351">
        <f t="shared" ref="AO41:AO72" si="72">Iq*Vin</f>
        <v>8.3999999999999993E-4</v>
      </c>
      <c r="AP41" s="351">
        <f>'Variable Management'!$B$347</f>
        <v>0.41183999999999998</v>
      </c>
      <c r="AQ41" s="351">
        <f t="shared" ref="AQ41:AQ72" si="73">(Vin-VCC)*Fsw*(Qg_Q3+Qg_Q4)+(RdsonDRT+RdsonDRT2)*Fsw*Qg_Q3*VCC/(RdsonDRT+2*Rgate3+RdsonDRT2)+(RdsonDRB+RdsonDRB2)*Fsw*Qg_Q4*VCC/(RdsonDRB+2*Rgate4+RdsonDRB2)</f>
        <v>0.36108727954971853</v>
      </c>
      <c r="AR41" s="351">
        <f t="shared" ref="AR41:AR72" si="74">(Qg_Q3+Qg_Q4)*Fsw*(Vin-VCC)</f>
        <v>0.32603999999999994</v>
      </c>
      <c r="AS41" s="351">
        <f t="shared" si="47"/>
        <v>0.41267999999999999</v>
      </c>
      <c r="AT41" s="351">
        <f t="shared" si="40"/>
        <v>1.8074039983837498</v>
      </c>
      <c r="AU41">
        <f t="shared" ref="AU41:AU72" si="75">Vout2*J41</f>
        <v>8</v>
      </c>
      <c r="AV41" s="521">
        <f t="shared" si="41"/>
        <v>0.81571025332681224</v>
      </c>
      <c r="AW41" s="530">
        <f t="shared" ref="AW41:AW72" si="76">ThetaJA_Q1*BC41</f>
        <v>32.221131574886009</v>
      </c>
      <c r="AX41" s="530">
        <f t="shared" ref="AX41:AX72" si="77">ThetaJA_Q2*BD41</f>
        <v>4.3450966980491668</v>
      </c>
      <c r="AY41" s="9"/>
      <c r="AZ41" s="4">
        <f t="shared" si="42"/>
        <v>81.571025332681231</v>
      </c>
      <c r="BA41" s="351">
        <f t="shared" ref="BA41:BA72" si="78">U41</f>
        <v>0.47299391605552404</v>
      </c>
      <c r="BB41" s="351">
        <f t="shared" si="43"/>
        <v>0.87826403285327692</v>
      </c>
      <c r="BC41" s="351">
        <f t="shared" si="44"/>
        <v>0.76716979940204777</v>
      </c>
      <c r="BD41" s="351">
        <f t="shared" si="45"/>
        <v>0.10862741745122917</v>
      </c>
      <c r="BE41" s="351">
        <f t="shared" si="46"/>
        <v>2.2965735833600436E-2</v>
      </c>
    </row>
    <row r="42" spans="1:57" x14ac:dyDescent="0.25">
      <c r="A42" s="23" t="s">
        <v>90</v>
      </c>
      <c r="B42" s="5">
        <f>Rgate3</f>
        <v>1.2</v>
      </c>
      <c r="C42" s="431" t="s">
        <v>116</v>
      </c>
      <c r="D42" s="21" t="s">
        <v>100</v>
      </c>
      <c r="G42">
        <v>33</v>
      </c>
      <c r="H42" s="527">
        <f t="shared" si="0"/>
        <v>24</v>
      </c>
      <c r="I42" s="4">
        <f t="shared" si="48"/>
        <v>1</v>
      </c>
      <c r="J42" s="351">
        <f t="shared" ref="J42:J73" si="79">Iout2*G42/100</f>
        <v>1.65</v>
      </c>
      <c r="K42" s="4">
        <f t="shared" si="49"/>
        <v>0.38194444444444442</v>
      </c>
      <c r="L42" s="4"/>
      <c r="M42" s="351">
        <f t="shared" si="50"/>
        <v>0.21088610959730547</v>
      </c>
      <c r="N42" s="4">
        <f t="shared" si="51"/>
        <v>1.9314842589162109</v>
      </c>
      <c r="O42" s="4">
        <f t="shared" si="34"/>
        <v>2.6157421294581056</v>
      </c>
      <c r="P42" s="4">
        <f t="shared" si="35"/>
        <v>0.68425787054189446</v>
      </c>
      <c r="Q42" s="4">
        <f t="shared" si="52"/>
        <v>0</v>
      </c>
      <c r="R42" s="4">
        <f t="shared" si="53"/>
        <v>1.7416618367343182</v>
      </c>
      <c r="S42" s="351">
        <f t="shared" si="54"/>
        <v>7.4317955861650589E-2</v>
      </c>
      <c r="T42" s="351">
        <f t="shared" si="55"/>
        <v>0.4</v>
      </c>
      <c r="U42" s="351">
        <f t="shared" si="56"/>
        <v>0.47715484970642297</v>
      </c>
      <c r="V42" s="4">
        <f t="shared" si="36"/>
        <v>0.55757147841039967</v>
      </c>
      <c r="W42" s="351">
        <f t="shared" si="57"/>
        <v>3.1088595353675878E-4</v>
      </c>
      <c r="X42" s="351">
        <f t="shared" si="37"/>
        <v>3.1088595353675878E-4</v>
      </c>
      <c r="Y42" s="4">
        <f t="shared" si="58"/>
        <v>0.71048950527232269</v>
      </c>
      <c r="Z42" s="351">
        <f t="shared" si="12"/>
        <v>5.0479533710210995E-4</v>
      </c>
      <c r="AA42" s="520">
        <f t="shared" si="38"/>
        <v>5.0479533710210995E-4</v>
      </c>
      <c r="AB42" s="351">
        <f t="shared" si="59"/>
        <v>0.79981182952522023</v>
      </c>
      <c r="AC42" s="351">
        <f t="shared" si="60"/>
        <v>7.3565380704575193E-3</v>
      </c>
      <c r="AD42" s="351">
        <f t="shared" si="61"/>
        <v>6.4515471428571419E-2</v>
      </c>
      <c r="AE42" s="351">
        <f t="shared" si="62"/>
        <v>0.53416704000000004</v>
      </c>
      <c r="AF42" s="351">
        <f t="shared" si="63"/>
        <v>0</v>
      </c>
      <c r="AG42" s="351">
        <f t="shared" si="64"/>
        <v>0.60675322601207393</v>
      </c>
      <c r="AH42" s="351">
        <f t="shared" si="65"/>
        <v>1.5471544819080862</v>
      </c>
      <c r="AI42" s="351">
        <f t="shared" si="66"/>
        <v>7.8991670699313198E-3</v>
      </c>
      <c r="AJ42" s="351">
        <f t="shared" si="67"/>
        <v>2.0327999999999999E-2</v>
      </c>
      <c r="AK42" s="351">
        <f t="shared" si="68"/>
        <v>2.8264675992769168E-2</v>
      </c>
      <c r="AL42" s="351">
        <f t="shared" si="69"/>
        <v>2.0327999999999999E-2</v>
      </c>
      <c r="AM42" s="351">
        <f t="shared" si="70"/>
        <v>0.25439039999999996</v>
      </c>
      <c r="AN42" s="351">
        <f t="shared" si="71"/>
        <v>2.4267087628294073E-2</v>
      </c>
      <c r="AO42" s="351">
        <f t="shared" si="72"/>
        <v>8.3999999999999993E-4</v>
      </c>
      <c r="AP42" s="351">
        <f>'Variable Management'!$B$347</f>
        <v>0.41183999999999998</v>
      </c>
      <c r="AQ42" s="351">
        <f t="shared" si="73"/>
        <v>0.36108727954971853</v>
      </c>
      <c r="AR42" s="351">
        <f t="shared" si="74"/>
        <v>0.32603999999999994</v>
      </c>
      <c r="AS42" s="351">
        <f t="shared" si="47"/>
        <v>0.41267999999999999</v>
      </c>
      <c r="AT42" s="351">
        <f t="shared" si="40"/>
        <v>1.8246539206301986</v>
      </c>
      <c r="AU42">
        <f t="shared" si="75"/>
        <v>8.25</v>
      </c>
      <c r="AV42" s="521">
        <f t="shared" si="41"/>
        <v>0.81888668980541401</v>
      </c>
      <c r="AW42" s="530">
        <f t="shared" si="76"/>
        <v>32.535337380507102</v>
      </c>
      <c r="AX42" s="530">
        <f t="shared" si="77"/>
        <v>4.4885403197107667</v>
      </c>
      <c r="AY42" s="9"/>
      <c r="AZ42" s="4">
        <f t="shared" si="42"/>
        <v>81.888668980541397</v>
      </c>
      <c r="BA42" s="351">
        <f t="shared" si="78"/>
        <v>0.47715484970642297</v>
      </c>
      <c r="BB42" s="351">
        <f t="shared" si="43"/>
        <v>0.88940830200484311</v>
      </c>
      <c r="BC42" s="351">
        <f t="shared" si="44"/>
        <v>0.77465089001207388</v>
      </c>
      <c r="BD42" s="351">
        <f t="shared" si="45"/>
        <v>0.11221350799276916</v>
      </c>
      <c r="BE42" s="351">
        <f t="shared" si="46"/>
        <v>2.4267087628294073E-2</v>
      </c>
    </row>
    <row r="43" spans="1:57" x14ac:dyDescent="0.25">
      <c r="A43" s="23" t="s">
        <v>69</v>
      </c>
      <c r="B43" s="5">
        <f>Gfs_Q3</f>
        <v>55</v>
      </c>
      <c r="C43" s="427" t="s">
        <v>66</v>
      </c>
      <c r="D43" s="21" t="s">
        <v>101</v>
      </c>
      <c r="G43">
        <v>34</v>
      </c>
      <c r="H43" s="527">
        <f t="shared" si="0"/>
        <v>24</v>
      </c>
      <c r="I43" s="4">
        <f t="shared" si="48"/>
        <v>1</v>
      </c>
      <c r="J43" s="351">
        <f t="shared" si="79"/>
        <v>1.7</v>
      </c>
      <c r="K43" s="4">
        <f t="shared" si="49"/>
        <v>0.39351851851851849</v>
      </c>
      <c r="L43" s="4"/>
      <c r="M43" s="351">
        <f t="shared" si="50"/>
        <v>0.21096346207048269</v>
      </c>
      <c r="N43" s="4">
        <f t="shared" si="51"/>
        <v>1.9320090983851343</v>
      </c>
      <c r="O43" s="4">
        <f t="shared" si="34"/>
        <v>2.666004549192567</v>
      </c>
      <c r="P43" s="4">
        <f t="shared" si="35"/>
        <v>0.73399545080743278</v>
      </c>
      <c r="Q43" s="4">
        <f t="shared" si="52"/>
        <v>0</v>
      </c>
      <c r="R43" s="4">
        <f t="shared" si="53"/>
        <v>1.7891492195138201</v>
      </c>
      <c r="S43" s="351">
        <f t="shared" si="54"/>
        <v>7.8425845777329334E-2</v>
      </c>
      <c r="T43" s="351">
        <f t="shared" si="55"/>
        <v>0.4</v>
      </c>
      <c r="U43" s="351">
        <f t="shared" si="56"/>
        <v>0.48144647352796482</v>
      </c>
      <c r="V43" s="4">
        <f t="shared" si="36"/>
        <v>0.55772298651473173</v>
      </c>
      <c r="W43" s="351">
        <f t="shared" si="57"/>
        <v>3.1105492968691161E-4</v>
      </c>
      <c r="X43" s="351">
        <f t="shared" si="37"/>
        <v>3.1105492968691161E-4</v>
      </c>
      <c r="Y43" s="4">
        <f t="shared" si="58"/>
        <v>0.72995946225284314</v>
      </c>
      <c r="Z43" s="351">
        <f t="shared" si="12"/>
        <v>5.3284081653245995E-4</v>
      </c>
      <c r="AA43" s="520">
        <f t="shared" si="38"/>
        <v>5.3284081653245995E-4</v>
      </c>
      <c r="AB43" s="351">
        <f t="shared" si="59"/>
        <v>0.82176981585145636</v>
      </c>
      <c r="AC43" s="351">
        <f t="shared" si="60"/>
        <v>7.7660147478121697E-3</v>
      </c>
      <c r="AD43" s="351">
        <f t="shared" si="61"/>
        <v>6.647048571428571E-2</v>
      </c>
      <c r="AE43" s="351">
        <f t="shared" si="62"/>
        <v>0.53416704000000004</v>
      </c>
      <c r="AF43" s="351">
        <f t="shared" si="63"/>
        <v>0</v>
      </c>
      <c r="AG43" s="351">
        <f t="shared" si="64"/>
        <v>0.60916046032107984</v>
      </c>
      <c r="AH43" s="351">
        <f t="shared" si="65"/>
        <v>1.5892606140725867</v>
      </c>
      <c r="AI43" s="351">
        <f t="shared" si="66"/>
        <v>8.3349726881598377E-3</v>
      </c>
      <c r="AJ43" s="351">
        <f t="shared" si="67"/>
        <v>2.0943999999999997E-2</v>
      </c>
      <c r="AK43" s="351">
        <f t="shared" si="68"/>
        <v>2.9320028803561181E-2</v>
      </c>
      <c r="AL43" s="351">
        <f t="shared" si="69"/>
        <v>2.0943999999999997E-2</v>
      </c>
      <c r="AM43" s="351">
        <f t="shared" si="70"/>
        <v>0.26209919999999998</v>
      </c>
      <c r="AN43" s="351">
        <f t="shared" si="71"/>
        <v>2.5608439437495294E-2</v>
      </c>
      <c r="AO43" s="351">
        <f t="shared" si="72"/>
        <v>8.3999999999999993E-4</v>
      </c>
      <c r="AP43" s="351">
        <f>'Variable Management'!$B$347</f>
        <v>0.41183999999999998</v>
      </c>
      <c r="AQ43" s="351">
        <f t="shared" si="73"/>
        <v>0.36108727954971853</v>
      </c>
      <c r="AR43" s="351">
        <f t="shared" si="74"/>
        <v>0.32603999999999994</v>
      </c>
      <c r="AS43" s="351">
        <f t="shared" si="47"/>
        <v>0.41267999999999999</v>
      </c>
      <c r="AT43" s="351">
        <f t="shared" si="40"/>
        <v>1.8421024978363205</v>
      </c>
      <c r="AU43">
        <f t="shared" si="75"/>
        <v>8.5</v>
      </c>
      <c r="AV43" s="521">
        <f t="shared" si="41"/>
        <v>0.82188317141299772</v>
      </c>
      <c r="AW43" s="530">
        <f t="shared" si="76"/>
        <v>32.850129157485355</v>
      </c>
      <c r="AX43" s="530">
        <f t="shared" si="77"/>
        <v>4.632510592142447</v>
      </c>
      <c r="AY43" s="9"/>
      <c r="AZ43" s="4">
        <f t="shared" si="42"/>
        <v>82.188317141299777</v>
      </c>
      <c r="BA43" s="351">
        <f t="shared" si="78"/>
        <v>0.48144647352796482</v>
      </c>
      <c r="BB43" s="351">
        <f t="shared" si="43"/>
        <v>0.90057968912464104</v>
      </c>
      <c r="BC43" s="351">
        <f t="shared" si="44"/>
        <v>0.78214593232107987</v>
      </c>
      <c r="BD43" s="351">
        <f t="shared" si="45"/>
        <v>0.11581276480356117</v>
      </c>
      <c r="BE43" s="351">
        <f t="shared" si="46"/>
        <v>2.5608439437495294E-2</v>
      </c>
    </row>
    <row r="44" spans="1:57" x14ac:dyDescent="0.25">
      <c r="A44" s="23" t="s">
        <v>92</v>
      </c>
      <c r="B44" s="5">
        <f>Vth_Q3</f>
        <v>3</v>
      </c>
      <c r="C44" s="427" t="s">
        <v>0</v>
      </c>
      <c r="D44" s="21" t="s">
        <v>102</v>
      </c>
      <c r="G44">
        <v>35</v>
      </c>
      <c r="H44" s="527">
        <f t="shared" si="0"/>
        <v>24</v>
      </c>
      <c r="I44" s="4">
        <f t="shared" si="48"/>
        <v>1</v>
      </c>
      <c r="J44" s="351">
        <f t="shared" si="79"/>
        <v>1.75</v>
      </c>
      <c r="K44" s="4">
        <f t="shared" si="49"/>
        <v>0.40509259259259256</v>
      </c>
      <c r="L44" s="4"/>
      <c r="M44" s="351">
        <f t="shared" si="50"/>
        <v>0.21104081428583332</v>
      </c>
      <c r="N44" s="4">
        <f t="shared" si="51"/>
        <v>1.9325338008369564</v>
      </c>
      <c r="O44" s="4">
        <f t="shared" si="34"/>
        <v>2.7162669004184781</v>
      </c>
      <c r="P44" s="4">
        <f t="shared" si="35"/>
        <v>0.78373309958152182</v>
      </c>
      <c r="Q44" s="4">
        <f t="shared" si="52"/>
        <v>0</v>
      </c>
      <c r="R44" s="4">
        <f t="shared" si="53"/>
        <v>1.8367699658952337</v>
      </c>
      <c r="S44" s="351">
        <f t="shared" si="54"/>
        <v>8.265623573656207E-2</v>
      </c>
      <c r="T44" s="351">
        <f t="shared" si="55"/>
        <v>0.4</v>
      </c>
      <c r="U44" s="351">
        <f t="shared" si="56"/>
        <v>0.48586904423716731</v>
      </c>
      <c r="V44" s="4">
        <f t="shared" si="36"/>
        <v>0.55787445506563371</v>
      </c>
      <c r="W44" s="351">
        <f t="shared" si="57"/>
        <v>3.1122390761477778E-4</v>
      </c>
      <c r="X44" s="351">
        <f t="shared" si="37"/>
        <v>3.1122390761477778E-4</v>
      </c>
      <c r="Y44" s="4">
        <f t="shared" si="58"/>
        <v>0.74948900269454433</v>
      </c>
      <c r="Z44" s="351">
        <f t="shared" si="12"/>
        <v>5.6173376516006272E-4</v>
      </c>
      <c r="AA44" s="520">
        <f t="shared" si="38"/>
        <v>5.6173376516006272E-4</v>
      </c>
      <c r="AB44" s="351">
        <f t="shared" si="59"/>
        <v>0.84379703758582036</v>
      </c>
      <c r="AC44" s="351">
        <f t="shared" si="60"/>
        <v>8.1879245673439731E-3</v>
      </c>
      <c r="AD44" s="351">
        <f t="shared" si="61"/>
        <v>6.84255E-2</v>
      </c>
      <c r="AE44" s="351">
        <f t="shared" si="62"/>
        <v>0.53416704000000004</v>
      </c>
      <c r="AF44" s="351">
        <f t="shared" si="63"/>
        <v>0</v>
      </c>
      <c r="AG44" s="351">
        <f t="shared" si="64"/>
        <v>0.61158167811088671</v>
      </c>
      <c r="AH44" s="351">
        <f t="shared" si="65"/>
        <v>1.6314810654666425</v>
      </c>
      <c r="AI44" s="351">
        <f t="shared" si="66"/>
        <v>8.783710541021365E-3</v>
      </c>
      <c r="AJ44" s="351">
        <f t="shared" si="67"/>
        <v>2.1559999999999999E-2</v>
      </c>
      <c r="AK44" s="351">
        <f t="shared" si="68"/>
        <v>3.0388553816783157E-2</v>
      </c>
      <c r="AL44" s="351">
        <f t="shared" si="69"/>
        <v>2.1559999999999999E-2</v>
      </c>
      <c r="AM44" s="351">
        <f t="shared" si="70"/>
        <v>0.26980800000000005</v>
      </c>
      <c r="AN44" s="351">
        <f t="shared" si="71"/>
        <v>2.6989791260918224E-2</v>
      </c>
      <c r="AO44" s="351">
        <f t="shared" si="72"/>
        <v>8.3999999999999993E-4</v>
      </c>
      <c r="AP44" s="351">
        <f>'Variable Management'!$B$347</f>
        <v>0.41183999999999998</v>
      </c>
      <c r="AQ44" s="351">
        <f t="shared" si="73"/>
        <v>0.36108727954971853</v>
      </c>
      <c r="AR44" s="351">
        <f t="shared" si="74"/>
        <v>0.32603999999999994</v>
      </c>
      <c r="AS44" s="351">
        <f t="shared" si="47"/>
        <v>0.41267999999999999</v>
      </c>
      <c r="AT44" s="351">
        <f t="shared" si="40"/>
        <v>1.8597500250985304</v>
      </c>
      <c r="AU44">
        <f t="shared" si="75"/>
        <v>8.75</v>
      </c>
      <c r="AV44" s="521">
        <f t="shared" si="41"/>
        <v>0.8247131157002674</v>
      </c>
      <c r="AW44" s="530">
        <f t="shared" si="76"/>
        <v>33.165508240657239</v>
      </c>
      <c r="AX44" s="530">
        <f t="shared" si="77"/>
        <v>4.7770077526713264</v>
      </c>
      <c r="AY44" s="9"/>
      <c r="AZ44" s="4">
        <f t="shared" si="42"/>
        <v>82.471311570026742</v>
      </c>
      <c r="BA44" s="351">
        <f t="shared" si="78"/>
        <v>0.48586904423716731</v>
      </c>
      <c r="BB44" s="351">
        <f t="shared" si="43"/>
        <v>0.91177823192766994</v>
      </c>
      <c r="BC44" s="351">
        <f t="shared" si="44"/>
        <v>0.78965495811088671</v>
      </c>
      <c r="BD44" s="351">
        <f t="shared" si="45"/>
        <v>0.11942519381678317</v>
      </c>
      <c r="BE44" s="351">
        <f t="shared" si="46"/>
        <v>2.6989791260918224E-2</v>
      </c>
    </row>
    <row r="45" spans="1:57" x14ac:dyDescent="0.25">
      <c r="A45" s="28" t="s">
        <v>123</v>
      </c>
      <c r="B45" s="434">
        <f>Vsp_Q3</f>
        <v>3.0909090909090908</v>
      </c>
      <c r="C45" s="432" t="s">
        <v>0</v>
      </c>
      <c r="G45">
        <v>36</v>
      </c>
      <c r="H45" s="527">
        <f t="shared" si="0"/>
        <v>24</v>
      </c>
      <c r="I45" s="4">
        <f t="shared" si="48"/>
        <v>1</v>
      </c>
      <c r="J45" s="351">
        <f t="shared" si="79"/>
        <v>1.8</v>
      </c>
      <c r="K45" s="4">
        <f t="shared" si="49"/>
        <v>0.41666666666666663</v>
      </c>
      <c r="L45" s="4"/>
      <c r="M45" s="351">
        <f t="shared" si="50"/>
        <v>0.21111816624335875</v>
      </c>
      <c r="N45" s="4">
        <f t="shared" si="51"/>
        <v>1.9330583662723626</v>
      </c>
      <c r="O45" s="4">
        <f t="shared" si="34"/>
        <v>2.7665291831361811</v>
      </c>
      <c r="P45" s="4">
        <f t="shared" si="35"/>
        <v>0.83347081686381874</v>
      </c>
      <c r="Q45" s="4">
        <f t="shared" si="52"/>
        <v>0</v>
      </c>
      <c r="R45" s="4">
        <f t="shared" si="53"/>
        <v>1.8845139657971843</v>
      </c>
      <c r="S45" s="351">
        <f t="shared" si="54"/>
        <v>8.700912573847347E-2</v>
      </c>
      <c r="T45" s="351">
        <f t="shared" si="55"/>
        <v>0.4</v>
      </c>
      <c r="U45" s="351">
        <f t="shared" si="56"/>
        <v>0.49042282664959119</v>
      </c>
      <c r="V45" s="4">
        <f t="shared" si="36"/>
        <v>0.55802588406330345</v>
      </c>
      <c r="W45" s="351">
        <f t="shared" si="57"/>
        <v>3.1139288728463136E-4</v>
      </c>
      <c r="X45" s="351">
        <f t="shared" si="37"/>
        <v>3.1139288728463136E-4</v>
      </c>
      <c r="Y45" s="4">
        <f t="shared" si="58"/>
        <v>0.76907401941705522</v>
      </c>
      <c r="Z45" s="351">
        <f t="shared" si="12"/>
        <v>5.9147484734230508E-4</v>
      </c>
      <c r="AA45" s="520">
        <f t="shared" si="38"/>
        <v>5.9147484734230508E-4</v>
      </c>
      <c r="AB45" s="351">
        <f t="shared" si="59"/>
        <v>0.8658888808462889</v>
      </c>
      <c r="AC45" s="351">
        <f t="shared" si="60"/>
        <v>8.6222808706922453E-3</v>
      </c>
      <c r="AD45" s="351">
        <f t="shared" si="61"/>
        <v>7.0380514285714291E-2</v>
      </c>
      <c r="AE45" s="351">
        <f t="shared" si="62"/>
        <v>0.53416704000000004</v>
      </c>
      <c r="AF45" s="351">
        <f t="shared" si="63"/>
        <v>0</v>
      </c>
      <c r="AG45" s="351">
        <f t="shared" si="64"/>
        <v>0.61401691135946213</v>
      </c>
      <c r="AH45" s="351">
        <f t="shared" si="65"/>
        <v>1.6738068387097098</v>
      </c>
      <c r="AI45" s="351">
        <f t="shared" si="66"/>
        <v>9.2453767999275942E-3</v>
      </c>
      <c r="AJ45" s="351">
        <f t="shared" si="67"/>
        <v>2.2175999999999998E-2</v>
      </c>
      <c r="AK45" s="351">
        <f t="shared" si="68"/>
        <v>3.1470257136644364E-2</v>
      </c>
      <c r="AL45" s="351">
        <f t="shared" si="69"/>
        <v>2.2175999999999998E-2</v>
      </c>
      <c r="AM45" s="351">
        <f t="shared" si="70"/>
        <v>0.27751680000000006</v>
      </c>
      <c r="AN45" s="351">
        <f t="shared" si="71"/>
        <v>2.8411143098277053E-2</v>
      </c>
      <c r="AO45" s="351">
        <f t="shared" si="72"/>
        <v>8.3999999999999993E-4</v>
      </c>
      <c r="AP45" s="351">
        <f>'Variable Management'!$B$347</f>
        <v>0.41183999999999998</v>
      </c>
      <c r="AQ45" s="351">
        <f t="shared" si="73"/>
        <v>0.36108727954971853</v>
      </c>
      <c r="AR45" s="351">
        <f t="shared" si="74"/>
        <v>0.32603999999999994</v>
      </c>
      <c r="AS45" s="351">
        <f t="shared" si="47"/>
        <v>0.41267999999999999</v>
      </c>
      <c r="AT45" s="351">
        <f t="shared" si="40"/>
        <v>1.8775968059786017</v>
      </c>
      <c r="AU45">
        <f t="shared" si="75"/>
        <v>9</v>
      </c>
      <c r="AV45" s="521">
        <f t="shared" si="41"/>
        <v>0.82738863744732416</v>
      </c>
      <c r="AW45" s="530">
        <f t="shared" si="76"/>
        <v>33.48147597309741</v>
      </c>
      <c r="AX45" s="530">
        <f t="shared" si="77"/>
        <v>4.9220320454657758</v>
      </c>
      <c r="AY45" s="9"/>
      <c r="AZ45" s="4">
        <f t="shared" si="42"/>
        <v>82.738863744732413</v>
      </c>
      <c r="BA45" s="351">
        <f t="shared" si="78"/>
        <v>0.49042282664959119</v>
      </c>
      <c r="BB45" s="351">
        <f t="shared" si="43"/>
        <v>0.92300396849610666</v>
      </c>
      <c r="BC45" s="351">
        <f t="shared" si="44"/>
        <v>0.79717799935946221</v>
      </c>
      <c r="BD45" s="351">
        <f t="shared" si="45"/>
        <v>0.12305080113664439</v>
      </c>
      <c r="BE45" s="351">
        <f t="shared" si="46"/>
        <v>2.8411143098277053E-2</v>
      </c>
    </row>
    <row r="46" spans="1:57" x14ac:dyDescent="0.25">
      <c r="A46" s="75" t="s">
        <v>200</v>
      </c>
      <c r="B46" s="5">
        <f>Vsd_Q3</f>
        <v>0.7</v>
      </c>
      <c r="C46" s="432" t="s">
        <v>0</v>
      </c>
      <c r="G46">
        <v>37</v>
      </c>
      <c r="H46" s="527">
        <f t="shared" si="0"/>
        <v>24</v>
      </c>
      <c r="I46" s="4">
        <f t="shared" si="48"/>
        <v>1</v>
      </c>
      <c r="J46" s="351">
        <f t="shared" si="79"/>
        <v>1.85</v>
      </c>
      <c r="K46" s="4">
        <f t="shared" si="49"/>
        <v>0.4282407407407407</v>
      </c>
      <c r="L46" s="4"/>
      <c r="M46" s="351">
        <f t="shared" si="50"/>
        <v>0.21119551794306016</v>
      </c>
      <c r="N46" s="4">
        <f t="shared" si="51"/>
        <v>1.9335827946920383</v>
      </c>
      <c r="O46" s="4">
        <f t="shared" si="34"/>
        <v>2.8167913973460195</v>
      </c>
      <c r="P46" s="4">
        <f t="shared" si="35"/>
        <v>0.88320860265398093</v>
      </c>
      <c r="Q46" s="4">
        <f t="shared" si="52"/>
        <v>0</v>
      </c>
      <c r="R46" s="4">
        <f t="shared" si="53"/>
        <v>1.9323720833888995</v>
      </c>
      <c r="S46" s="351">
        <f t="shared" si="54"/>
        <v>9.1484515782188539E-2</v>
      </c>
      <c r="T46" s="351">
        <f t="shared" si="55"/>
        <v>0.4</v>
      </c>
      <c r="U46" s="351">
        <f t="shared" si="56"/>
        <v>0.49510809371928871</v>
      </c>
      <c r="V46" s="4">
        <f t="shared" si="36"/>
        <v>0.55817727350793866</v>
      </c>
      <c r="W46" s="351">
        <f t="shared" si="57"/>
        <v>3.1156186866075619E-4</v>
      </c>
      <c r="X46" s="351">
        <f t="shared" si="37"/>
        <v>3.1156186866075619E-4</v>
      </c>
      <c r="Y46" s="4">
        <f t="shared" si="58"/>
        <v>0.78871080065711119</v>
      </c>
      <c r="Z46" s="351">
        <f t="shared" si="12"/>
        <v>6.2206472707318136E-4</v>
      </c>
      <c r="AA46" s="520">
        <f t="shared" si="38"/>
        <v>6.2206472707318136E-4</v>
      </c>
      <c r="AB46" s="351">
        <f t="shared" si="59"/>
        <v>0.88804117606293431</v>
      </c>
      <c r="AC46" s="351">
        <f t="shared" si="60"/>
        <v>9.0690969994072553E-3</v>
      </c>
      <c r="AD46" s="351">
        <f t="shared" si="61"/>
        <v>7.2335528571428581E-2</v>
      </c>
      <c r="AE46" s="351">
        <f t="shared" si="62"/>
        <v>0.53416704000000004</v>
      </c>
      <c r="AF46" s="351">
        <f t="shared" si="63"/>
        <v>0</v>
      </c>
      <c r="AG46" s="351">
        <f t="shared" si="64"/>
        <v>0.61646619224192345</v>
      </c>
      <c r="AH46" s="351">
        <f t="shared" si="65"/>
        <v>1.716229803458009</v>
      </c>
      <c r="AI46" s="351">
        <f t="shared" si="66"/>
        <v>9.7199676363158034E-3</v>
      </c>
      <c r="AJ46" s="351">
        <f t="shared" si="67"/>
        <v>2.2792E-2</v>
      </c>
      <c r="AK46" s="351">
        <f t="shared" si="68"/>
        <v>3.2565145038497952E-2</v>
      </c>
      <c r="AL46" s="351">
        <f t="shared" si="69"/>
        <v>2.2792E-2</v>
      </c>
      <c r="AM46" s="351">
        <f t="shared" si="70"/>
        <v>0.28522560000000002</v>
      </c>
      <c r="AN46" s="351">
        <f t="shared" si="71"/>
        <v>2.9872494949286052E-2</v>
      </c>
      <c r="AO46" s="351">
        <f t="shared" si="72"/>
        <v>8.3999999999999993E-4</v>
      </c>
      <c r="AP46" s="351">
        <f>'Variable Management'!$B$347</f>
        <v>0.41183999999999998</v>
      </c>
      <c r="AQ46" s="351">
        <f t="shared" si="73"/>
        <v>0.36108727954971853</v>
      </c>
      <c r="AR46" s="351">
        <f t="shared" si="74"/>
        <v>0.32603999999999994</v>
      </c>
      <c r="AS46" s="351">
        <f t="shared" si="47"/>
        <v>0.41267999999999999</v>
      </c>
      <c r="AT46" s="351">
        <f t="shared" si="40"/>
        <v>1.8956431525447301</v>
      </c>
      <c r="AU46">
        <f t="shared" si="75"/>
        <v>9.25</v>
      </c>
      <c r="AV46" s="521">
        <f t="shared" si="41"/>
        <v>0.82992070295091724</v>
      </c>
      <c r="AW46" s="530">
        <f t="shared" si="76"/>
        <v>33.798033706160787</v>
      </c>
      <c r="AX46" s="530">
        <f t="shared" si="77"/>
        <v>5.0675837215399184</v>
      </c>
      <c r="AY46" s="9"/>
      <c r="AZ46" s="4">
        <f t="shared" si="42"/>
        <v>82.992070295091722</v>
      </c>
      <c r="BA46" s="351">
        <f t="shared" si="78"/>
        <v>0.49510809371928871</v>
      </c>
      <c r="BB46" s="351">
        <f t="shared" si="43"/>
        <v>0.93425693728042147</v>
      </c>
      <c r="BC46" s="351">
        <f t="shared" si="44"/>
        <v>0.8047150882419235</v>
      </c>
      <c r="BD46" s="351">
        <f t="shared" si="45"/>
        <v>0.12668959303849797</v>
      </c>
      <c r="BE46" s="351">
        <f t="shared" si="46"/>
        <v>2.9872494949286052E-2</v>
      </c>
    </row>
    <row r="47" spans="1:57" ht="15.6" x14ac:dyDescent="0.35">
      <c r="A47" s="433" t="s">
        <v>460</v>
      </c>
      <c r="B47" s="5">
        <f>ThetaJA_Q3</f>
        <v>42</v>
      </c>
      <c r="C47" s="428" t="s">
        <v>202</v>
      </c>
      <c r="D47" s="21" t="s">
        <v>103</v>
      </c>
      <c r="G47">
        <v>38</v>
      </c>
      <c r="H47" s="527">
        <f t="shared" si="0"/>
        <v>24</v>
      </c>
      <c r="I47" s="4">
        <f t="shared" si="48"/>
        <v>1</v>
      </c>
      <c r="J47" s="351">
        <f t="shared" si="79"/>
        <v>1.9</v>
      </c>
      <c r="K47" s="4">
        <f t="shared" si="49"/>
        <v>0.43981481481481477</v>
      </c>
      <c r="L47" s="4"/>
      <c r="M47" s="351">
        <f t="shared" si="50"/>
        <v>0.21127286938493897</v>
      </c>
      <c r="N47" s="4">
        <f t="shared" si="51"/>
        <v>1.9341070860966685</v>
      </c>
      <c r="O47" s="4">
        <f t="shared" si="34"/>
        <v>2.8670535430483342</v>
      </c>
      <c r="P47" s="4">
        <f t="shared" si="35"/>
        <v>0.93294645695166567</v>
      </c>
      <c r="Q47" s="4">
        <f t="shared" si="52"/>
        <v>0</v>
      </c>
      <c r="R47" s="4">
        <f t="shared" si="53"/>
        <v>1.9803360451467436</v>
      </c>
      <c r="S47" s="351">
        <f t="shared" si="54"/>
        <v>9.6082405866832407E-2</v>
      </c>
      <c r="T47" s="351">
        <f t="shared" si="55"/>
        <v>0.4</v>
      </c>
      <c r="U47" s="351">
        <f t="shared" si="56"/>
        <v>0.49992512658003968</v>
      </c>
      <c r="V47" s="4">
        <f t="shared" si="36"/>
        <v>0.5583286233997371</v>
      </c>
      <c r="W47" s="351">
        <f t="shared" si="57"/>
        <v>3.1173085170744548E-4</v>
      </c>
      <c r="X47" s="351">
        <f t="shared" si="37"/>
        <v>3.1173085170744548E-4</v>
      </c>
      <c r="Y47" s="4">
        <f t="shared" si="58"/>
        <v>0.80839598464075868</v>
      </c>
      <c r="Z47" s="351">
        <f t="shared" si="12"/>
        <v>6.5350406798330178E-4</v>
      </c>
      <c r="AA47" s="520">
        <f t="shared" si="38"/>
        <v>6.5350406798330178E-4</v>
      </c>
      <c r="AB47" s="351">
        <f t="shared" si="59"/>
        <v>0.91025014693526551</v>
      </c>
      <c r="AC47" s="351">
        <f t="shared" si="60"/>
        <v>9.5283862949502342E-3</v>
      </c>
      <c r="AD47" s="351">
        <f t="shared" si="61"/>
        <v>7.4290542857142844E-2</v>
      </c>
      <c r="AE47" s="351">
        <f t="shared" si="62"/>
        <v>0.53416704000000004</v>
      </c>
      <c r="AF47" s="351">
        <f t="shared" si="63"/>
        <v>0</v>
      </c>
      <c r="AG47" s="351">
        <f t="shared" si="64"/>
        <v>0.61892955313154885</v>
      </c>
      <c r="AH47" s="351">
        <f t="shared" si="65"/>
        <v>1.7587425967752566</v>
      </c>
      <c r="AI47" s="351">
        <f t="shared" si="66"/>
        <v>1.0207479221648851E-2</v>
      </c>
      <c r="AJ47" s="351">
        <f t="shared" si="67"/>
        <v>2.3407999999999998E-2</v>
      </c>
      <c r="AK47" s="351">
        <f t="shared" si="68"/>
        <v>3.3673223968959012E-2</v>
      </c>
      <c r="AL47" s="351">
        <f t="shared" si="69"/>
        <v>2.3407999999999998E-2</v>
      </c>
      <c r="AM47" s="351">
        <f t="shared" si="70"/>
        <v>0.29293439999999998</v>
      </c>
      <c r="AN47" s="351">
        <f t="shared" si="71"/>
        <v>3.137384681365956E-2</v>
      </c>
      <c r="AO47" s="351">
        <f t="shared" si="72"/>
        <v>8.3999999999999993E-4</v>
      </c>
      <c r="AP47" s="351">
        <f>'Variable Management'!$B$347</f>
        <v>0.41183999999999998</v>
      </c>
      <c r="AQ47" s="351">
        <f t="shared" si="73"/>
        <v>0.36108727954971853</v>
      </c>
      <c r="AR47" s="351">
        <f t="shared" si="74"/>
        <v>0.32603999999999994</v>
      </c>
      <c r="AS47" s="351">
        <f t="shared" si="47"/>
        <v>0.41267999999999999</v>
      </c>
      <c r="AT47" s="351">
        <f t="shared" si="40"/>
        <v>1.9138893854138979</v>
      </c>
      <c r="AU47">
        <f t="shared" si="75"/>
        <v>9.5</v>
      </c>
      <c r="AV47" s="521">
        <f t="shared" si="41"/>
        <v>0.83231926289212987</v>
      </c>
      <c r="AW47" s="530">
        <f t="shared" si="76"/>
        <v>34.115182799525051</v>
      </c>
      <c r="AX47" s="530">
        <f t="shared" si="77"/>
        <v>5.2136630387583605</v>
      </c>
      <c r="AY47" s="9"/>
      <c r="AZ47" s="4">
        <f t="shared" si="42"/>
        <v>83.231926289212993</v>
      </c>
      <c r="BA47" s="351">
        <f t="shared" si="78"/>
        <v>0.49992512658003968</v>
      </c>
      <c r="BB47" s="351">
        <f t="shared" si="43"/>
        <v>0.94553717710050789</v>
      </c>
      <c r="BC47" s="351">
        <f t="shared" si="44"/>
        <v>0.81226625713154887</v>
      </c>
      <c r="BD47" s="351">
        <f t="shared" si="45"/>
        <v>0.13034157596895901</v>
      </c>
      <c r="BE47" s="351">
        <f t="shared" si="46"/>
        <v>3.137384681365956E-2</v>
      </c>
    </row>
    <row r="48" spans="1:57" x14ac:dyDescent="0.25">
      <c r="A48" s="24" t="s">
        <v>513</v>
      </c>
      <c r="B48" s="15" t="s">
        <v>111</v>
      </c>
      <c r="C48" s="24" t="s">
        <v>76</v>
      </c>
      <c r="D48" s="17" t="s">
        <v>107</v>
      </c>
      <c r="G48">
        <v>39</v>
      </c>
      <c r="H48" s="527">
        <f t="shared" si="0"/>
        <v>24</v>
      </c>
      <c r="I48" s="4">
        <f t="shared" si="48"/>
        <v>1</v>
      </c>
      <c r="J48" s="351">
        <f t="shared" si="79"/>
        <v>1.95</v>
      </c>
      <c r="K48" s="4">
        <f t="shared" si="49"/>
        <v>0.45138888888888884</v>
      </c>
      <c r="L48" s="4"/>
      <c r="M48" s="351">
        <f t="shared" si="50"/>
        <v>0.21135022056899633</v>
      </c>
      <c r="N48" s="4">
        <f t="shared" si="51"/>
        <v>1.9346312404869375</v>
      </c>
      <c r="O48" s="4">
        <f t="shared" si="34"/>
        <v>2.9173156202434685</v>
      </c>
      <c r="P48" s="4">
        <f t="shared" si="35"/>
        <v>0.98268437975653122</v>
      </c>
      <c r="Q48" s="4">
        <f t="shared" si="52"/>
        <v>0</v>
      </c>
      <c r="R48" s="4">
        <f t="shared" si="53"/>
        <v>2.0283983426312009</v>
      </c>
      <c r="S48" s="351">
        <f t="shared" si="54"/>
        <v>0.10080279599153058</v>
      </c>
      <c r="T48" s="351">
        <f t="shared" si="55"/>
        <v>0.4</v>
      </c>
      <c r="U48" s="351">
        <f t="shared" si="56"/>
        <v>0.50487421458788961</v>
      </c>
      <c r="V48" s="4">
        <f t="shared" si="36"/>
        <v>0.55847993373889648</v>
      </c>
      <c r="W48" s="351">
        <f t="shared" si="57"/>
        <v>3.118998363890022E-4</v>
      </c>
      <c r="X48" s="351">
        <f t="shared" si="37"/>
        <v>3.118998363890022E-4</v>
      </c>
      <c r="Y48" s="4">
        <f t="shared" si="58"/>
        <v>0.82812652012835364</v>
      </c>
      <c r="Z48" s="351">
        <f t="shared" si="12"/>
        <v>6.8579353333989642E-4</v>
      </c>
      <c r="AA48" s="520">
        <f t="shared" si="38"/>
        <v>6.8579353333989642E-4</v>
      </c>
      <c r="AB48" s="351">
        <f t="shared" si="59"/>
        <v>0.93251236610023469</v>
      </c>
      <c r="AC48" s="351">
        <f t="shared" si="60"/>
        <v>1.0000162098693368E-2</v>
      </c>
      <c r="AD48" s="351">
        <f t="shared" si="61"/>
        <v>7.6245557142857148E-2</v>
      </c>
      <c r="AE48" s="351">
        <f t="shared" si="62"/>
        <v>0.53416704000000004</v>
      </c>
      <c r="AF48" s="351">
        <f t="shared" si="63"/>
        <v>0</v>
      </c>
      <c r="AG48" s="351">
        <f t="shared" si="64"/>
        <v>0.62140702660079461</v>
      </c>
      <c r="AH48" s="351">
        <f t="shared" si="65"/>
        <v>1.8013385366052503</v>
      </c>
      <c r="AI48" s="351">
        <f t="shared" si="66"/>
        <v>1.0707907727415178E-2</v>
      </c>
      <c r="AJ48" s="351">
        <f t="shared" si="67"/>
        <v>2.4023999999999997E-2</v>
      </c>
      <c r="AK48" s="351">
        <f t="shared" si="68"/>
        <v>3.4794500546028263E-2</v>
      </c>
      <c r="AL48" s="351">
        <f t="shared" si="69"/>
        <v>2.4023999999999997E-2</v>
      </c>
      <c r="AM48" s="351">
        <f t="shared" si="70"/>
        <v>0.3006432</v>
      </c>
      <c r="AN48" s="351">
        <f t="shared" si="71"/>
        <v>3.2915198691112028E-2</v>
      </c>
      <c r="AO48" s="351">
        <f t="shared" si="72"/>
        <v>8.3999999999999993E-4</v>
      </c>
      <c r="AP48" s="351">
        <f>'Variable Management'!$B$347</f>
        <v>0.41183999999999998</v>
      </c>
      <c r="AQ48" s="351">
        <f t="shared" si="73"/>
        <v>0.36108727954971853</v>
      </c>
      <c r="AR48" s="351">
        <f t="shared" si="74"/>
        <v>0.32603999999999994</v>
      </c>
      <c r="AS48" s="351">
        <f t="shared" si="47"/>
        <v>0.41267999999999999</v>
      </c>
      <c r="AT48" s="351">
        <f t="shared" si="40"/>
        <v>1.9323358337955532</v>
      </c>
      <c r="AU48">
        <f t="shared" si="75"/>
        <v>9.75</v>
      </c>
      <c r="AV48" s="521">
        <f t="shared" si="41"/>
        <v>0.83459336717529164</v>
      </c>
      <c r="AW48" s="530">
        <f t="shared" si="76"/>
        <v>34.432924621233376</v>
      </c>
      <c r="AX48" s="530">
        <f t="shared" si="77"/>
        <v>5.36027026184113</v>
      </c>
      <c r="AY48" s="9"/>
      <c r="AZ48" s="4">
        <f t="shared" si="42"/>
        <v>83.459336717529169</v>
      </c>
      <c r="BA48" s="351">
        <f t="shared" si="78"/>
        <v>0.50487421458788961</v>
      </c>
      <c r="BB48" s="351">
        <f t="shared" si="43"/>
        <v>0.95684472714682289</v>
      </c>
      <c r="BC48" s="351">
        <f t="shared" si="44"/>
        <v>0.81983153860079461</v>
      </c>
      <c r="BD48" s="351">
        <f t="shared" si="45"/>
        <v>0.13400675654602826</v>
      </c>
      <c r="BE48" s="351">
        <f t="shared" si="46"/>
        <v>3.2915198691112028E-2</v>
      </c>
    </row>
    <row r="49" spans="1:64" x14ac:dyDescent="0.25">
      <c r="A49" s="23" t="s">
        <v>68</v>
      </c>
      <c r="B49" s="5">
        <f>Rdson4*1000</f>
        <v>3.3</v>
      </c>
      <c r="C49" s="429" t="s">
        <v>454</v>
      </c>
      <c r="D49" s="427" t="s">
        <v>514</v>
      </c>
      <c r="G49">
        <v>40</v>
      </c>
      <c r="H49" s="527">
        <f t="shared" si="0"/>
        <v>24</v>
      </c>
      <c r="I49" s="4">
        <f t="shared" si="48"/>
        <v>1</v>
      </c>
      <c r="J49" s="351">
        <f t="shared" si="79"/>
        <v>2</v>
      </c>
      <c r="K49" s="4">
        <f t="shared" si="49"/>
        <v>0.46296296296296291</v>
      </c>
      <c r="L49" s="4"/>
      <c r="M49" s="351">
        <f t="shared" si="50"/>
        <v>0.21142757149523367</v>
      </c>
      <c r="N49" s="4">
        <f t="shared" si="51"/>
        <v>1.9351552578635316</v>
      </c>
      <c r="O49" s="4">
        <f t="shared" si="34"/>
        <v>2.9675776289317657</v>
      </c>
      <c r="P49" s="4">
        <f t="shared" si="35"/>
        <v>1.0324223710682343</v>
      </c>
      <c r="Q49" s="4">
        <f t="shared" si="52"/>
        <v>0</v>
      </c>
      <c r="R49" s="4">
        <f t="shared" si="53"/>
        <v>2.0765521478329743</v>
      </c>
      <c r="S49" s="351">
        <f t="shared" si="54"/>
        <v>0.10564568615540861</v>
      </c>
      <c r="T49" s="351">
        <f t="shared" si="55"/>
        <v>0.4</v>
      </c>
      <c r="U49" s="351">
        <f t="shared" si="56"/>
        <v>0.50995565536499798</v>
      </c>
      <c r="V49" s="4">
        <f t="shared" si="36"/>
        <v>0.55863120452561488</v>
      </c>
      <c r="W49" s="351">
        <f t="shared" si="57"/>
        <v>3.1206882266973933E-4</v>
      </c>
      <c r="X49" s="351">
        <f t="shared" si="37"/>
        <v>3.1206882266973933E-4</v>
      </c>
      <c r="Y49" s="4">
        <f t="shared" si="58"/>
        <v>0.84789963205961005</v>
      </c>
      <c r="Z49" s="351">
        <f t="shared" si="12"/>
        <v>7.1893378604682208E-4</v>
      </c>
      <c r="AA49" s="520">
        <f t="shared" si="38"/>
        <v>7.1893378604682208E-4</v>
      </c>
      <c r="AB49" s="351">
        <f t="shared" si="59"/>
        <v>0.95482471653040812</v>
      </c>
      <c r="AC49" s="351">
        <f t="shared" si="60"/>
        <v>1.0484437751919803E-2</v>
      </c>
      <c r="AD49" s="351">
        <f t="shared" si="61"/>
        <v>7.8200571428571425E-2</v>
      </c>
      <c r="AE49" s="351">
        <f t="shared" si="62"/>
        <v>0.53416704000000004</v>
      </c>
      <c r="AF49" s="351">
        <f t="shared" si="63"/>
        <v>0</v>
      </c>
      <c r="AG49" s="351">
        <f t="shared" si="64"/>
        <v>0.62389864542232121</v>
      </c>
      <c r="AH49" s="351">
        <f t="shared" si="65"/>
        <v>1.8440115464314113</v>
      </c>
      <c r="AI49" s="351">
        <f t="shared" si="66"/>
        <v>1.1221249325128805E-2</v>
      </c>
      <c r="AJ49" s="351">
        <f t="shared" si="67"/>
        <v>2.4639999999999999E-2</v>
      </c>
      <c r="AK49" s="351">
        <f t="shared" si="68"/>
        <v>3.5928981559221231E-2</v>
      </c>
      <c r="AL49" s="351">
        <f t="shared" si="69"/>
        <v>2.4639999999999999E-2</v>
      </c>
      <c r="AM49" s="351">
        <f t="shared" si="70"/>
        <v>0.30835200000000007</v>
      </c>
      <c r="AN49" s="351">
        <f t="shared" si="71"/>
        <v>3.4496550581357907E-2</v>
      </c>
      <c r="AO49" s="351">
        <f t="shared" si="72"/>
        <v>8.3999999999999993E-4</v>
      </c>
      <c r="AP49" s="351">
        <f>'Variable Management'!$B$347</f>
        <v>0.41183999999999998</v>
      </c>
      <c r="AQ49" s="351">
        <f t="shared" si="73"/>
        <v>0.36108727954971853</v>
      </c>
      <c r="AR49" s="351">
        <f t="shared" si="74"/>
        <v>0.32603999999999994</v>
      </c>
      <c r="AS49" s="351">
        <f t="shared" si="47"/>
        <v>0.41267999999999999</v>
      </c>
      <c r="AT49" s="351">
        <f t="shared" si="40"/>
        <v>1.950982835536615</v>
      </c>
      <c r="AU49">
        <f t="shared" si="75"/>
        <v>10</v>
      </c>
      <c r="AV49" s="521">
        <f t="shared" si="41"/>
        <v>0.83675126452903037</v>
      </c>
      <c r="AW49" s="530">
        <f t="shared" si="76"/>
        <v>34.751260547737495</v>
      </c>
      <c r="AX49" s="530">
        <f t="shared" si="77"/>
        <v>5.5074056623688508</v>
      </c>
      <c r="AY49" s="9"/>
      <c r="AZ49" s="4">
        <f t="shared" si="42"/>
        <v>83.675126452903044</v>
      </c>
      <c r="BA49" s="351">
        <f t="shared" si="78"/>
        <v>0.50995565536499798</v>
      </c>
      <c r="BB49" s="351">
        <f t="shared" si="43"/>
        <v>0.96817962698154247</v>
      </c>
      <c r="BC49" s="351">
        <f t="shared" si="44"/>
        <v>0.82741096542232129</v>
      </c>
      <c r="BD49" s="351">
        <f t="shared" si="45"/>
        <v>0.13768514155922126</v>
      </c>
      <c r="BE49" s="351">
        <f t="shared" si="46"/>
        <v>3.4496550581357907E-2</v>
      </c>
    </row>
    <row r="50" spans="1:64" x14ac:dyDescent="0.25">
      <c r="A50" s="23" t="s">
        <v>80</v>
      </c>
      <c r="B50" s="5">
        <f>RdsonBotTc*1000000</f>
        <v>4000</v>
      </c>
      <c r="C50" s="427" t="s">
        <v>81</v>
      </c>
      <c r="D50" s="21" t="s">
        <v>104</v>
      </c>
      <c r="G50">
        <v>41</v>
      </c>
      <c r="H50" s="527">
        <f t="shared" si="0"/>
        <v>24</v>
      </c>
      <c r="I50" s="4">
        <f t="shared" si="48"/>
        <v>1</v>
      </c>
      <c r="J50" s="351">
        <f t="shared" si="79"/>
        <v>2.0499999999999998</v>
      </c>
      <c r="K50" s="4">
        <f t="shared" si="49"/>
        <v>0.47453703703703698</v>
      </c>
      <c r="L50" s="4"/>
      <c r="M50" s="351">
        <f t="shared" si="50"/>
        <v>0.21150492216365216</v>
      </c>
      <c r="N50" s="4">
        <f t="shared" si="51"/>
        <v>1.9356791382271343</v>
      </c>
      <c r="O50" s="4">
        <f t="shared" si="34"/>
        <v>3.0178395691135669</v>
      </c>
      <c r="P50" s="4">
        <f t="shared" si="35"/>
        <v>1.0821604308864328</v>
      </c>
      <c r="Q50" s="4">
        <f t="shared" si="52"/>
        <v>0</v>
      </c>
      <c r="R50" s="4">
        <f t="shared" si="53"/>
        <v>2.1247912392783386</v>
      </c>
      <c r="S50" s="351">
        <f t="shared" si="54"/>
        <v>0.11061107635759246</v>
      </c>
      <c r="T50" s="351">
        <f t="shared" si="55"/>
        <v>0.4</v>
      </c>
      <c r="U50" s="351">
        <f t="shared" si="56"/>
        <v>0.51516975484481342</v>
      </c>
      <c r="V50" s="4">
        <f t="shared" si="36"/>
        <v>0.55878243576008946</v>
      </c>
      <c r="W50" s="351">
        <f t="shared" si="57"/>
        <v>3.1223781051397846E-4</v>
      </c>
      <c r="X50" s="351">
        <f t="shared" si="37"/>
        <v>3.1223781051397846E-4</v>
      </c>
      <c r="Y50" s="4">
        <f t="shared" si="58"/>
        <v>0.86771279156444892</v>
      </c>
      <c r="Z50" s="351">
        <f t="shared" si="12"/>
        <v>7.5292548864456881E-4</v>
      </c>
      <c r="AA50" s="520">
        <f t="shared" si="38"/>
        <v>7.5292548864456881E-4</v>
      </c>
      <c r="AB50" s="351">
        <f t="shared" si="59"/>
        <v>0.97718435783738178</v>
      </c>
      <c r="AC50" s="351">
        <f t="shared" si="60"/>
        <v>1.0981226595823646E-2</v>
      </c>
      <c r="AD50" s="351">
        <f t="shared" si="61"/>
        <v>8.0155585714285701E-2</v>
      </c>
      <c r="AE50" s="351">
        <f t="shared" si="62"/>
        <v>0.53416704000000004</v>
      </c>
      <c r="AF50" s="351">
        <f t="shared" si="63"/>
        <v>0</v>
      </c>
      <c r="AG50" s="351">
        <f t="shared" si="64"/>
        <v>0.62640444257002814</v>
      </c>
      <c r="AH50" s="351">
        <f t="shared" si="65"/>
        <v>1.8867560895123465</v>
      </c>
      <c r="AI50" s="351">
        <f t="shared" si="66"/>
        <v>1.1747500186329342E-2</v>
      </c>
      <c r="AJ50" s="351">
        <f t="shared" si="67"/>
        <v>2.5255999999999997E-2</v>
      </c>
      <c r="AK50" s="351">
        <f t="shared" si="68"/>
        <v>3.7076673969703086E-2</v>
      </c>
      <c r="AL50" s="351">
        <f t="shared" si="69"/>
        <v>2.5255999999999997E-2</v>
      </c>
      <c r="AM50" s="351">
        <f t="shared" si="70"/>
        <v>0.31606079999999998</v>
      </c>
      <c r="AN50" s="351">
        <f t="shared" si="71"/>
        <v>3.6117902484111827E-2</v>
      </c>
      <c r="AO50" s="351">
        <f t="shared" si="72"/>
        <v>8.3999999999999993E-4</v>
      </c>
      <c r="AP50" s="351">
        <f>'Variable Management'!$B$347</f>
        <v>0.41183999999999998</v>
      </c>
      <c r="AQ50" s="351">
        <f t="shared" si="73"/>
        <v>0.36108727954971853</v>
      </c>
      <c r="AR50" s="351">
        <f t="shared" si="74"/>
        <v>0.32603999999999994</v>
      </c>
      <c r="AS50" s="351">
        <f t="shared" si="47"/>
        <v>0.41267999999999999</v>
      </c>
      <c r="AT50" s="351">
        <f t="shared" si="40"/>
        <v>1.9698307371678148</v>
      </c>
      <c r="AU50">
        <f t="shared" si="75"/>
        <v>10.25</v>
      </c>
      <c r="AV50" s="521">
        <f t="shared" si="41"/>
        <v>0.83880048917728611</v>
      </c>
      <c r="AW50" s="530">
        <f t="shared" si="76"/>
        <v>35.070191963941184</v>
      </c>
      <c r="AX50" s="530">
        <f t="shared" si="77"/>
        <v>5.6550695187881228</v>
      </c>
      <c r="AY50" s="9"/>
      <c r="AZ50" s="4">
        <f t="shared" si="42"/>
        <v>83.880048917728615</v>
      </c>
      <c r="BA50" s="351">
        <f t="shared" si="78"/>
        <v>0.51516975484481342</v>
      </c>
      <c r="BB50" s="351">
        <f t="shared" si="43"/>
        <v>0.97954191653973122</v>
      </c>
      <c r="BC50" s="351">
        <f t="shared" si="44"/>
        <v>0.83500457057002819</v>
      </c>
      <c r="BD50" s="351">
        <f t="shared" si="45"/>
        <v>0.14137673796970307</v>
      </c>
      <c r="BE50" s="351">
        <f t="shared" si="46"/>
        <v>3.6117902484111827E-2</v>
      </c>
    </row>
    <row r="51" spans="1:64" x14ac:dyDescent="0.25">
      <c r="A51" s="23" t="s">
        <v>67</v>
      </c>
      <c r="B51" s="5">
        <f>Qg_Q4*1000000000</f>
        <v>31</v>
      </c>
      <c r="C51" s="427" t="s">
        <v>65</v>
      </c>
      <c r="D51" s="21" t="s">
        <v>99</v>
      </c>
      <c r="G51">
        <v>42</v>
      </c>
      <c r="H51" s="527">
        <f t="shared" si="0"/>
        <v>24</v>
      </c>
      <c r="I51" s="4">
        <f t="shared" si="48"/>
        <v>1</v>
      </c>
      <c r="J51" s="351">
        <f t="shared" si="79"/>
        <v>2.1</v>
      </c>
      <c r="K51" s="4">
        <f t="shared" si="49"/>
        <v>0.4861111111111111</v>
      </c>
      <c r="L51" s="4"/>
      <c r="M51" s="351">
        <f t="shared" si="50"/>
        <v>0.21158227257425313</v>
      </c>
      <c r="N51" s="4">
        <f t="shared" si="51"/>
        <v>1.9362028815784311</v>
      </c>
      <c r="O51" s="4">
        <f t="shared" si="34"/>
        <v>3.0681014407892158</v>
      </c>
      <c r="P51" s="4">
        <f t="shared" si="35"/>
        <v>1.1318985592107844</v>
      </c>
      <c r="Q51" s="4">
        <f t="shared" si="52"/>
        <v>0</v>
      </c>
      <c r="R51" s="4">
        <f t="shared" si="53"/>
        <v>2.1731099373676548</v>
      </c>
      <c r="S51" s="351">
        <f t="shared" si="54"/>
        <v>0.1156989665972083</v>
      </c>
      <c r="T51" s="351">
        <f t="shared" si="55"/>
        <v>0.4</v>
      </c>
      <c r="U51" s="351">
        <f t="shared" si="56"/>
        <v>0.52051682731858573</v>
      </c>
      <c r="V51" s="4">
        <f t="shared" si="36"/>
        <v>0.55893362744251818</v>
      </c>
      <c r="W51" s="351">
        <f t="shared" si="57"/>
        <v>3.124067998860517E-4</v>
      </c>
      <c r="X51" s="351">
        <f t="shared" si="37"/>
        <v>3.124067998860517E-4</v>
      </c>
      <c r="Y51" s="4">
        <f t="shared" si="58"/>
        <v>0.88756368972049837</v>
      </c>
      <c r="Z51" s="351">
        <f t="shared" si="12"/>
        <v>7.8776930331026505E-4</v>
      </c>
      <c r="AA51" s="520">
        <f t="shared" si="38"/>
        <v>7.8776930331026505E-4</v>
      </c>
      <c r="AB51" s="351">
        <f t="shared" si="59"/>
        <v>0.9995886967848312</v>
      </c>
      <c r="AC51" s="351">
        <f t="shared" si="60"/>
        <v>1.1490541971509968E-2</v>
      </c>
      <c r="AD51" s="351">
        <f t="shared" si="61"/>
        <v>8.211060000000002E-2</v>
      </c>
      <c r="AE51" s="351">
        <f t="shared" si="62"/>
        <v>0.53416704000000004</v>
      </c>
      <c r="AF51" s="351">
        <f t="shared" si="63"/>
        <v>0</v>
      </c>
      <c r="AG51" s="351">
        <f t="shared" si="64"/>
        <v>0.62892445122009466</v>
      </c>
      <c r="AH51" s="351">
        <f t="shared" si="65"/>
        <v>1.9295671113350932</v>
      </c>
      <c r="AI51" s="351">
        <f t="shared" si="66"/>
        <v>1.2286656482581985E-2</v>
      </c>
      <c r="AJ51" s="351">
        <f t="shared" si="67"/>
        <v>2.5871999999999999E-2</v>
      </c>
      <c r="AK51" s="351">
        <f t="shared" si="68"/>
        <v>3.8237584910429015E-2</v>
      </c>
      <c r="AL51" s="351">
        <f t="shared" si="69"/>
        <v>2.5871999999999999E-2</v>
      </c>
      <c r="AM51" s="351">
        <f t="shared" si="70"/>
        <v>0.32376960000000005</v>
      </c>
      <c r="AN51" s="351">
        <f t="shared" si="71"/>
        <v>3.777925439908842E-2</v>
      </c>
      <c r="AO51" s="351">
        <f t="shared" si="72"/>
        <v>8.3999999999999993E-4</v>
      </c>
      <c r="AP51" s="351">
        <f>'Variable Management'!$B$347</f>
        <v>0.41183999999999998</v>
      </c>
      <c r="AQ51" s="351">
        <f t="shared" si="73"/>
        <v>0.36108727954971853</v>
      </c>
      <c r="AR51" s="351">
        <f t="shared" si="74"/>
        <v>0.32603999999999994</v>
      </c>
      <c r="AS51" s="351">
        <f t="shared" si="47"/>
        <v>0.41267999999999999</v>
      </c>
      <c r="AT51" s="351">
        <f t="shared" si="40"/>
        <v>1.9888798939513941</v>
      </c>
      <c r="AU51">
        <f t="shared" si="75"/>
        <v>10.5</v>
      </c>
      <c r="AV51" s="521">
        <f t="shared" si="41"/>
        <v>0.84074793649711954</v>
      </c>
      <c r="AW51" s="530">
        <f t="shared" si="76"/>
        <v>35.38972026324398</v>
      </c>
      <c r="AX51" s="530">
        <f t="shared" si="77"/>
        <v>5.8032621164171614</v>
      </c>
      <c r="AY51" s="9"/>
      <c r="AZ51" s="4">
        <f t="shared" si="42"/>
        <v>84.07479364971195</v>
      </c>
      <c r="BA51" s="351">
        <f t="shared" si="78"/>
        <v>0.52051682731858573</v>
      </c>
      <c r="BB51" s="351">
        <f t="shared" si="43"/>
        <v>0.99093163613052382</v>
      </c>
      <c r="BC51" s="351">
        <f t="shared" si="44"/>
        <v>0.84261238722009468</v>
      </c>
      <c r="BD51" s="351">
        <f t="shared" si="45"/>
        <v>0.14508155291042904</v>
      </c>
      <c r="BE51" s="351">
        <f t="shared" si="46"/>
        <v>3.777925439908842E-2</v>
      </c>
    </row>
    <row r="52" spans="1:64" x14ac:dyDescent="0.25">
      <c r="A52" s="23" t="s">
        <v>91</v>
      </c>
      <c r="B52" s="5">
        <f>Rgate4</f>
        <v>1.2</v>
      </c>
      <c r="C52" s="431" t="s">
        <v>116</v>
      </c>
      <c r="D52" s="21" t="s">
        <v>100</v>
      </c>
      <c r="G52">
        <v>43</v>
      </c>
      <c r="H52" s="527">
        <f t="shared" si="0"/>
        <v>24</v>
      </c>
      <c r="I52" s="4">
        <f t="shared" si="48"/>
        <v>1</v>
      </c>
      <c r="J52" s="351">
        <f t="shared" si="79"/>
        <v>2.15</v>
      </c>
      <c r="K52" s="4">
        <f t="shared" si="49"/>
        <v>0.49768518518518517</v>
      </c>
      <c r="L52" s="4"/>
      <c r="M52" s="351">
        <f t="shared" si="50"/>
        <v>0.21165962272703789</v>
      </c>
      <c r="N52" s="4">
        <f t="shared" si="51"/>
        <v>1.9367264879181081</v>
      </c>
      <c r="O52" s="4">
        <f t="shared" si="34"/>
        <v>3.1183632439590538</v>
      </c>
      <c r="P52" s="4">
        <f t="shared" si="35"/>
        <v>1.181636756040946</v>
      </c>
      <c r="Q52" s="4">
        <f t="shared" si="52"/>
        <v>0</v>
      </c>
      <c r="R52" s="4">
        <f t="shared" si="53"/>
        <v>2.2215030476572162</v>
      </c>
      <c r="S52" s="351">
        <f t="shared" si="54"/>
        <v>0.12090935687338233</v>
      </c>
      <c r="T52" s="351">
        <f t="shared" si="55"/>
        <v>0.4</v>
      </c>
      <c r="U52" s="351">
        <f t="shared" si="56"/>
        <v>0.52599719548322876</v>
      </c>
      <c r="V52" s="4">
        <f t="shared" si="36"/>
        <v>0.5590847795730991</v>
      </c>
      <c r="W52" s="351">
        <f t="shared" si="57"/>
        <v>3.1257579075030079E-4</v>
      </c>
      <c r="X52" s="351">
        <f t="shared" si="37"/>
        <v>3.1257579075030079E-4</v>
      </c>
      <c r="Y52" s="4">
        <f t="shared" si="58"/>
        <v>0.90745021453393493</v>
      </c>
      <c r="Z52" s="351">
        <f t="shared" si="12"/>
        <v>8.234658918576845E-4</v>
      </c>
      <c r="AA52" s="520">
        <f t="shared" si="38"/>
        <v>8.234658918576845E-4</v>
      </c>
      <c r="AB52" s="351">
        <f t="shared" si="59"/>
        <v>1.0220353614232467</v>
      </c>
      <c r="AC52" s="351">
        <f t="shared" si="60"/>
        <v>1.2012397219994784E-2</v>
      </c>
      <c r="AD52" s="351">
        <f t="shared" si="61"/>
        <v>8.4065614285714269E-2</v>
      </c>
      <c r="AE52" s="351">
        <f t="shared" si="62"/>
        <v>0.53416704000000004</v>
      </c>
      <c r="AF52" s="351">
        <f t="shared" si="63"/>
        <v>0</v>
      </c>
      <c r="AG52" s="351">
        <f t="shared" si="64"/>
        <v>0.63145870475202981</v>
      </c>
      <c r="AH52" s="351">
        <f t="shared" si="65"/>
        <v>1.97243998913801</v>
      </c>
      <c r="AI52" s="351">
        <f t="shared" si="66"/>
        <v>1.2838714385477484E-2</v>
      </c>
      <c r="AJ52" s="351">
        <f t="shared" si="67"/>
        <v>2.6487999999999998E-2</v>
      </c>
      <c r="AK52" s="351">
        <f t="shared" si="68"/>
        <v>3.9411721686290077E-2</v>
      </c>
      <c r="AL52" s="351">
        <f t="shared" si="69"/>
        <v>2.6487999999999998E-2</v>
      </c>
      <c r="AM52" s="351">
        <f t="shared" si="70"/>
        <v>0.33147840000000006</v>
      </c>
      <c r="AN52" s="351">
        <f t="shared" si="71"/>
        <v>3.9480606326002393E-2</v>
      </c>
      <c r="AO52" s="351">
        <f t="shared" si="72"/>
        <v>8.3999999999999993E-4</v>
      </c>
      <c r="AP52" s="351">
        <f>'Variable Management'!$B$347</f>
        <v>0.41183999999999998</v>
      </c>
      <c r="AQ52" s="351">
        <f t="shared" si="73"/>
        <v>0.36108727954971853</v>
      </c>
      <c r="AR52" s="351">
        <f t="shared" si="74"/>
        <v>0.32603999999999994</v>
      </c>
      <c r="AS52" s="351">
        <f t="shared" si="47"/>
        <v>0.41267999999999999</v>
      </c>
      <c r="AT52" s="351">
        <f t="shared" si="40"/>
        <v>2.0081306699301593</v>
      </c>
      <c r="AU52">
        <f t="shared" si="75"/>
        <v>10.75</v>
      </c>
      <c r="AV52" s="521">
        <f t="shared" si="41"/>
        <v>0.84259992926211724</v>
      </c>
      <c r="AW52" s="530">
        <f t="shared" si="76"/>
        <v>35.709846847585254</v>
      </c>
      <c r="AX52" s="530">
        <f t="shared" si="77"/>
        <v>5.9519837474516031</v>
      </c>
      <c r="AY52" s="9"/>
      <c r="AZ52" s="4">
        <f t="shared" si="42"/>
        <v>84.259992926211723</v>
      </c>
      <c r="BA52" s="351">
        <f t="shared" si="78"/>
        <v>0.52599719548322876</v>
      </c>
      <c r="BB52" s="351">
        <f t="shared" si="43"/>
        <v>1.00234882643832</v>
      </c>
      <c r="BC52" s="351">
        <f t="shared" si="44"/>
        <v>0.85023444875202991</v>
      </c>
      <c r="BD52" s="351">
        <f t="shared" si="45"/>
        <v>0.14879959368629009</v>
      </c>
      <c r="BE52" s="351">
        <f t="shared" si="46"/>
        <v>3.9480606326002393E-2</v>
      </c>
    </row>
    <row r="53" spans="1:64" x14ac:dyDescent="0.25">
      <c r="A53" s="23" t="s">
        <v>72</v>
      </c>
      <c r="B53" s="5">
        <f>Vsd_Q4</f>
        <v>0.7</v>
      </c>
      <c r="C53" s="427" t="s">
        <v>0</v>
      </c>
      <c r="D53" s="21" t="s">
        <v>105</v>
      </c>
      <c r="G53">
        <v>44</v>
      </c>
      <c r="H53" s="527">
        <f t="shared" si="0"/>
        <v>24</v>
      </c>
      <c r="I53" s="4">
        <f t="shared" si="48"/>
        <v>1</v>
      </c>
      <c r="J53" s="351">
        <f t="shared" si="79"/>
        <v>2.2000000000000002</v>
      </c>
      <c r="K53" s="4">
        <f t="shared" si="49"/>
        <v>0.50925925925925919</v>
      </c>
      <c r="L53" s="4"/>
      <c r="M53" s="351">
        <f t="shared" si="50"/>
        <v>0.21173697262200772</v>
      </c>
      <c r="N53" s="4">
        <f t="shared" si="51"/>
        <v>1.9372499572468489</v>
      </c>
      <c r="O53" s="4">
        <f t="shared" si="34"/>
        <v>3.1686249786234244</v>
      </c>
      <c r="P53" s="4">
        <f t="shared" si="35"/>
        <v>1.2313750213765757</v>
      </c>
      <c r="Q53" s="4">
        <f t="shared" si="52"/>
        <v>0</v>
      </c>
      <c r="R53" s="4">
        <f t="shared" si="53"/>
        <v>2.2699658109916716</v>
      </c>
      <c r="S53" s="351">
        <f t="shared" si="54"/>
        <v>0.12624224718524141</v>
      </c>
      <c r="T53" s="351">
        <f t="shared" si="55"/>
        <v>0.4</v>
      </c>
      <c r="U53" s="351">
        <f t="shared" si="56"/>
        <v>0.53161119049054939</v>
      </c>
      <c r="V53" s="4">
        <f t="shared" si="36"/>
        <v>0.55923589215202962</v>
      </c>
      <c r="W53" s="351">
        <f t="shared" si="57"/>
        <v>3.1274478307107651E-4</v>
      </c>
      <c r="X53" s="351">
        <f t="shared" si="37"/>
        <v>3.1274478307107651E-4</v>
      </c>
      <c r="Y53" s="4">
        <f t="shared" si="58"/>
        <v>0.92737043070029557</v>
      </c>
      <c r="Z53" s="351">
        <f t="shared" si="12"/>
        <v>8.6001591573725165E-4</v>
      </c>
      <c r="AA53" s="520">
        <f t="shared" si="38"/>
        <v>8.6001591573725165E-4</v>
      </c>
      <c r="AB53" s="351">
        <f t="shared" si="59"/>
        <v>1.0445221783482215</v>
      </c>
      <c r="AC53" s="351">
        <f t="shared" si="60"/>
        <v>1.2546805682205108E-2</v>
      </c>
      <c r="AD53" s="351">
        <f t="shared" si="61"/>
        <v>8.6020628571428587E-2</v>
      </c>
      <c r="AE53" s="351">
        <f t="shared" si="62"/>
        <v>0.53416704000000004</v>
      </c>
      <c r="AF53" s="351">
        <f t="shared" si="63"/>
        <v>0</v>
      </c>
      <c r="AG53" s="351">
        <f t="shared" si="64"/>
        <v>0.63400723674973147</v>
      </c>
      <c r="AH53" s="351">
        <f t="shared" si="65"/>
        <v>2.0153704875307077</v>
      </c>
      <c r="AI53" s="351">
        <f t="shared" si="66"/>
        <v>1.3403670066632217E-2</v>
      </c>
      <c r="AJ53" s="351">
        <f t="shared" si="67"/>
        <v>2.7104E-2</v>
      </c>
      <c r="AK53" s="351">
        <f t="shared" si="68"/>
        <v>4.0599091774264941E-2</v>
      </c>
      <c r="AL53" s="351">
        <f t="shared" si="69"/>
        <v>2.7104E-2</v>
      </c>
      <c r="AM53" s="351">
        <f t="shared" si="70"/>
        <v>0.33918720000000008</v>
      </c>
      <c r="AN53" s="351">
        <f t="shared" si="71"/>
        <v>4.122195826456862E-2</v>
      </c>
      <c r="AO53" s="351">
        <f t="shared" si="72"/>
        <v>8.3999999999999993E-4</v>
      </c>
      <c r="AP53" s="351">
        <f>'Variable Management'!$B$347</f>
        <v>0.41183999999999998</v>
      </c>
      <c r="AQ53" s="351">
        <f t="shared" si="73"/>
        <v>0.36108727954971853</v>
      </c>
      <c r="AR53" s="351">
        <f t="shared" si="74"/>
        <v>0.32603999999999994</v>
      </c>
      <c r="AS53" s="351">
        <f t="shared" si="47"/>
        <v>0.41267999999999999</v>
      </c>
      <c r="AT53" s="351">
        <f t="shared" si="40"/>
        <v>2.0275834379779227</v>
      </c>
      <c r="AU53">
        <f t="shared" si="75"/>
        <v>11</v>
      </c>
      <c r="AV53" s="521">
        <f t="shared" si="41"/>
        <v>0.84436227581032985</v>
      </c>
      <c r="AW53" s="530">
        <f t="shared" si="76"/>
        <v>36.030573127488722</v>
      </c>
      <c r="AX53" s="530">
        <f t="shared" si="77"/>
        <v>6.1012347109705987</v>
      </c>
      <c r="AY53" s="9"/>
      <c r="AZ53" s="4">
        <f t="shared" si="42"/>
        <v>84.436227581032981</v>
      </c>
      <c r="BA53" s="351">
        <f t="shared" si="78"/>
        <v>0.53161119049054939</v>
      </c>
      <c r="BB53" s="351">
        <f t="shared" si="43"/>
        <v>1.0137935285239965</v>
      </c>
      <c r="BC53" s="351">
        <f t="shared" si="44"/>
        <v>0.85787078874973155</v>
      </c>
      <c r="BD53" s="351">
        <f t="shared" si="45"/>
        <v>0.15253086777426497</v>
      </c>
      <c r="BE53" s="351">
        <f t="shared" si="46"/>
        <v>4.122195826456862E-2</v>
      </c>
    </row>
    <row r="54" spans="1:64" x14ac:dyDescent="0.25">
      <c r="A54" s="23" t="s">
        <v>73</v>
      </c>
      <c r="B54" s="5">
        <f>Qrr_Q4*1000000000</f>
        <v>73</v>
      </c>
      <c r="C54" s="427" t="s">
        <v>65</v>
      </c>
      <c r="D54" s="21" t="s">
        <v>110</v>
      </c>
      <c r="G54">
        <v>45</v>
      </c>
      <c r="H54" s="527">
        <f t="shared" si="0"/>
        <v>24</v>
      </c>
      <c r="I54" s="4">
        <f t="shared" si="48"/>
        <v>1</v>
      </c>
      <c r="J54" s="351">
        <f t="shared" si="79"/>
        <v>2.25</v>
      </c>
      <c r="K54" s="4">
        <f t="shared" si="49"/>
        <v>0.52083333333333326</v>
      </c>
      <c r="L54" s="4"/>
      <c r="M54" s="351">
        <f t="shared" si="50"/>
        <v>0.21181432225916388</v>
      </c>
      <c r="N54" s="4">
        <f t="shared" si="51"/>
        <v>1.937773289565339</v>
      </c>
      <c r="O54" s="4">
        <f t="shared" si="34"/>
        <v>3.2188866447826694</v>
      </c>
      <c r="P54" s="4">
        <f t="shared" si="35"/>
        <v>1.2811133552173306</v>
      </c>
      <c r="Q54" s="4">
        <f t="shared" si="52"/>
        <v>0</v>
      </c>
      <c r="R54" s="4">
        <f t="shared" si="53"/>
        <v>2.3184938595589895</v>
      </c>
      <c r="S54" s="351">
        <f t="shared" si="54"/>
        <v>0.13169763753191213</v>
      </c>
      <c r="T54" s="351">
        <f t="shared" si="55"/>
        <v>0.4</v>
      </c>
      <c r="U54" s="351">
        <f t="shared" si="56"/>
        <v>0.53735915199785367</v>
      </c>
      <c r="V54" s="4">
        <f t="shared" si="36"/>
        <v>0.55938696517950759</v>
      </c>
      <c r="W54" s="351">
        <f t="shared" si="57"/>
        <v>3.1291377681273963E-4</v>
      </c>
      <c r="X54" s="351">
        <f t="shared" si="37"/>
        <v>3.1291377681273963E-4</v>
      </c>
      <c r="Y54" s="4">
        <f t="shared" si="58"/>
        <v>0.94732256176871832</v>
      </c>
      <c r="Z54" s="351">
        <f t="shared" si="12"/>
        <v>8.974200360360472E-4</v>
      </c>
      <c r="AA54" s="520">
        <f t="shared" si="38"/>
        <v>8.974200360360472E-4</v>
      </c>
      <c r="AB54" s="351">
        <f t="shared" si="59"/>
        <v>1.0670471526592267</v>
      </c>
      <c r="AC54" s="351">
        <f t="shared" si="60"/>
        <v>1.3093780698978874E-2</v>
      </c>
      <c r="AD54" s="351">
        <f t="shared" si="61"/>
        <v>8.7975642857142863E-2</v>
      </c>
      <c r="AE54" s="351">
        <f t="shared" si="62"/>
        <v>0.53416704000000004</v>
      </c>
      <c r="AF54" s="351">
        <f t="shared" si="63"/>
        <v>0</v>
      </c>
      <c r="AG54" s="351">
        <f t="shared" si="64"/>
        <v>0.63657008100255041</v>
      </c>
      <c r="AH54" s="351">
        <f t="shared" si="65"/>
        <v>2.0583547193850182</v>
      </c>
      <c r="AI54" s="351">
        <f t="shared" si="66"/>
        <v>1.3981519697688105E-2</v>
      </c>
      <c r="AJ54" s="351">
        <f t="shared" si="67"/>
        <v>2.7719999999999998E-2</v>
      </c>
      <c r="AK54" s="351">
        <f t="shared" si="68"/>
        <v>4.179970282357684E-2</v>
      </c>
      <c r="AL54" s="351">
        <f t="shared" si="69"/>
        <v>2.7719999999999998E-2</v>
      </c>
      <c r="AM54" s="351">
        <f t="shared" si="70"/>
        <v>0.34689599999999998</v>
      </c>
      <c r="AN54" s="351">
        <f t="shared" si="71"/>
        <v>4.3003310214501919E-2</v>
      </c>
      <c r="AO54" s="351">
        <f t="shared" si="72"/>
        <v>8.3999999999999993E-4</v>
      </c>
      <c r="AP54" s="351">
        <f>'Variable Management'!$B$347</f>
        <v>0.41183999999999998</v>
      </c>
      <c r="AQ54" s="351">
        <f t="shared" si="73"/>
        <v>0.36108727954971853</v>
      </c>
      <c r="AR54" s="351">
        <f t="shared" si="74"/>
        <v>0.32603999999999994</v>
      </c>
      <c r="AS54" s="351">
        <f t="shared" si="47"/>
        <v>0.41267999999999999</v>
      </c>
      <c r="AT54" s="351">
        <f t="shared" si="40"/>
        <v>2.0472385798513315</v>
      </c>
      <c r="AU54">
        <f t="shared" si="75"/>
        <v>11.25</v>
      </c>
      <c r="AV54" s="521">
        <f t="shared" si="41"/>
        <v>0.84604032126238493</v>
      </c>
      <c r="AW54" s="530">
        <f t="shared" si="76"/>
        <v>36.351900522107123</v>
      </c>
      <c r="AX54" s="530">
        <f t="shared" si="77"/>
        <v>6.251015312943073</v>
      </c>
      <c r="AY54" s="9"/>
      <c r="AZ54" s="4">
        <f t="shared" si="42"/>
        <v>84.604032126238494</v>
      </c>
      <c r="BA54" s="351">
        <f t="shared" si="78"/>
        <v>0.53735915199785367</v>
      </c>
      <c r="BB54" s="351">
        <f t="shared" si="43"/>
        <v>1.0252657838261272</v>
      </c>
      <c r="BC54" s="351">
        <f t="shared" si="44"/>
        <v>0.86552144100255046</v>
      </c>
      <c r="BD54" s="351">
        <f t="shared" si="45"/>
        <v>0.15627538282357684</v>
      </c>
      <c r="BE54" s="351">
        <f t="shared" si="46"/>
        <v>4.3003310214501919E-2</v>
      </c>
    </row>
    <row r="55" spans="1:64" x14ac:dyDescent="0.25">
      <c r="A55" s="23" t="s">
        <v>74</v>
      </c>
      <c r="B55" s="5">
        <f>Trr_Q4*1000000000</f>
        <v>40</v>
      </c>
      <c r="C55" s="427" t="s">
        <v>75</v>
      </c>
      <c r="D55" s="74" t="s">
        <v>106</v>
      </c>
      <c r="G55">
        <v>46</v>
      </c>
      <c r="H55" s="527">
        <f t="shared" si="0"/>
        <v>24</v>
      </c>
      <c r="I55" s="4">
        <f t="shared" si="48"/>
        <v>1</v>
      </c>
      <c r="J55" s="351">
        <f t="shared" si="79"/>
        <v>2.2999999999999998</v>
      </c>
      <c r="K55" s="4">
        <f t="shared" si="49"/>
        <v>0.53240740740740733</v>
      </c>
      <c r="L55" s="4"/>
      <c r="M55" s="351">
        <f t="shared" si="50"/>
        <v>0.21189167163850772</v>
      </c>
      <c r="N55" s="4">
        <f t="shared" si="51"/>
        <v>1.9382964848742641</v>
      </c>
      <c r="O55" s="4">
        <f t="shared" si="34"/>
        <v>3.2691482424371321</v>
      </c>
      <c r="P55" s="4">
        <f t="shared" si="35"/>
        <v>1.3308517575628678</v>
      </c>
      <c r="Q55" s="4">
        <f t="shared" si="52"/>
        <v>0</v>
      </c>
      <c r="R55" s="4">
        <f t="shared" si="53"/>
        <v>2.3670831780779609</v>
      </c>
      <c r="S55" s="351">
        <f t="shared" si="54"/>
        <v>0.13727552791252165</v>
      </c>
      <c r="T55" s="351">
        <f t="shared" si="55"/>
        <v>0.4</v>
      </c>
      <c r="U55" s="351">
        <f t="shared" si="56"/>
        <v>0.54324142821994925</v>
      </c>
      <c r="V55" s="4">
        <f t="shared" si="36"/>
        <v>0.55953799865573095</v>
      </c>
      <c r="W55" s="351">
        <f t="shared" si="57"/>
        <v>3.130827719396608E-4</v>
      </c>
      <c r="X55" s="351">
        <f t="shared" si="37"/>
        <v>3.130827719396608E-4</v>
      </c>
      <c r="Y55" s="4">
        <f t="shared" si="58"/>
        <v>0.9673049743890576</v>
      </c>
      <c r="Z55" s="351">
        <f t="shared" si="12"/>
        <v>9.3567891347781543E-4</v>
      </c>
      <c r="AA55" s="520">
        <f t="shared" si="38"/>
        <v>9.3567891347781543E-4</v>
      </c>
      <c r="AB55" s="351">
        <f t="shared" si="59"/>
        <v>1.089608450258724</v>
      </c>
      <c r="AC55" s="351">
        <f t="shared" si="60"/>
        <v>1.3653335611065008E-2</v>
      </c>
      <c r="AD55" s="351">
        <f t="shared" si="61"/>
        <v>8.9930657142857126E-2</v>
      </c>
      <c r="AE55" s="351">
        <f t="shared" si="62"/>
        <v>0.53416704000000004</v>
      </c>
      <c r="AF55" s="351">
        <f t="shared" si="63"/>
        <v>0</v>
      </c>
      <c r="AG55" s="351">
        <f t="shared" si="64"/>
        <v>0.63914727150636574</v>
      </c>
      <c r="AH55" s="351">
        <f t="shared" si="65"/>
        <v>2.1013891112938698</v>
      </c>
      <c r="AI55" s="351">
        <f t="shared" si="66"/>
        <v>1.4572259450312652E-2</v>
      </c>
      <c r="AJ55" s="351">
        <f t="shared" si="67"/>
        <v>2.8335999999999997E-2</v>
      </c>
      <c r="AK55" s="351">
        <f t="shared" si="68"/>
        <v>4.301356265585643E-2</v>
      </c>
      <c r="AL55" s="351">
        <f t="shared" si="69"/>
        <v>2.8335999999999997E-2</v>
      </c>
      <c r="AM55" s="351">
        <f t="shared" si="70"/>
        <v>0.3546048</v>
      </c>
      <c r="AN55" s="351">
        <f t="shared" si="71"/>
        <v>4.4824662175517276E-2</v>
      </c>
      <c r="AO55" s="351">
        <f t="shared" si="72"/>
        <v>8.3999999999999993E-4</v>
      </c>
      <c r="AP55" s="351">
        <f>'Variable Management'!$B$347</f>
        <v>0.41183999999999998</v>
      </c>
      <c r="AQ55" s="351">
        <f t="shared" si="73"/>
        <v>0.36108727954971853</v>
      </c>
      <c r="AR55" s="351">
        <f t="shared" si="74"/>
        <v>0.32603999999999994</v>
      </c>
      <c r="AS55" s="351">
        <f t="shared" si="47"/>
        <v>0.41267999999999999</v>
      </c>
      <c r="AT55" s="351">
        <f t="shared" si="40"/>
        <v>2.067096486243106</v>
      </c>
      <c r="AU55">
        <f t="shared" si="75"/>
        <v>11.5</v>
      </c>
      <c r="AV55" s="521">
        <f t="shared" si="41"/>
        <v>0.84763899273959464</v>
      </c>
      <c r="AW55" s="530">
        <f t="shared" si="76"/>
        <v>36.673830459267364</v>
      </c>
      <c r="AX55" s="530">
        <f t="shared" si="77"/>
        <v>6.4013258662342576</v>
      </c>
      <c r="AY55" s="9"/>
      <c r="AZ55" s="4">
        <f t="shared" si="42"/>
        <v>84.763899273959467</v>
      </c>
      <c r="BA55" s="351">
        <f t="shared" si="78"/>
        <v>0.54324142821994925</v>
      </c>
      <c r="BB55" s="351">
        <f t="shared" si="43"/>
        <v>1.0367656341622222</v>
      </c>
      <c r="BC55" s="351">
        <f t="shared" si="44"/>
        <v>0.87318643950636576</v>
      </c>
      <c r="BD55" s="351">
        <f t="shared" si="45"/>
        <v>0.16003314665585644</v>
      </c>
      <c r="BE55" s="351">
        <f t="shared" si="46"/>
        <v>4.4824662175517276E-2</v>
      </c>
    </row>
    <row r="56" spans="1:64" ht="15.6" x14ac:dyDescent="0.35">
      <c r="A56" s="433" t="s">
        <v>459</v>
      </c>
      <c r="B56" s="5">
        <f>ThetaJA_Q4</f>
        <v>40</v>
      </c>
      <c r="C56" s="428" t="s">
        <v>202</v>
      </c>
      <c r="D56" s="74" t="s">
        <v>103</v>
      </c>
      <c r="E56" s="2"/>
      <c r="G56">
        <v>47</v>
      </c>
      <c r="H56" s="527">
        <f t="shared" si="0"/>
        <v>24</v>
      </c>
      <c r="I56" s="4">
        <f t="shared" si="48"/>
        <v>1</v>
      </c>
      <c r="J56" s="351">
        <f t="shared" si="79"/>
        <v>2.35</v>
      </c>
      <c r="K56" s="4">
        <f t="shared" si="49"/>
        <v>0.5439814814814814</v>
      </c>
      <c r="L56" s="4"/>
      <c r="M56" s="351">
        <f t="shared" si="50"/>
        <v>0.21196902076004046</v>
      </c>
      <c r="N56" s="4">
        <f t="shared" si="51"/>
        <v>1.9388195431743078</v>
      </c>
      <c r="O56" s="4">
        <f t="shared" si="34"/>
        <v>3.319409771587154</v>
      </c>
      <c r="P56" s="4">
        <f t="shared" si="35"/>
        <v>1.3805902284128462</v>
      </c>
      <c r="Q56" s="4">
        <f t="shared" si="52"/>
        <v>0</v>
      </c>
      <c r="R56" s="4">
        <f t="shared" si="53"/>
        <v>2.4157300694440638</v>
      </c>
      <c r="S56" s="351">
        <f t="shared" si="54"/>
        <v>0.14297591832619744</v>
      </c>
      <c r="T56" s="351">
        <f t="shared" si="55"/>
        <v>0.4</v>
      </c>
      <c r="U56" s="351">
        <f t="shared" si="56"/>
        <v>0.54925837598255445</v>
      </c>
      <c r="V56" s="4">
        <f t="shared" si="36"/>
        <v>0.55968899258089699</v>
      </c>
      <c r="W56" s="351">
        <f t="shared" si="57"/>
        <v>3.1325176841621939E-4</v>
      </c>
      <c r="X56" s="351">
        <f t="shared" si="37"/>
        <v>3.1325176841621939E-4</v>
      </c>
      <c r="Y56" s="4">
        <f t="shared" si="58"/>
        <v>0.98731616436831926</v>
      </c>
      <c r="Z56" s="351">
        <f t="shared" si="12"/>
        <v>9.7479320842297002E-4</v>
      </c>
      <c r="AA56" s="520">
        <f t="shared" si="38"/>
        <v>9.7479320842297002E-4</v>
      </c>
      <c r="AB56" s="351">
        <f t="shared" si="59"/>
        <v>1.1122043821842553</v>
      </c>
      <c r="AC56" s="351">
        <f t="shared" si="60"/>
        <v>1.4225483759123402E-2</v>
      </c>
      <c r="AD56" s="351">
        <f t="shared" si="61"/>
        <v>9.1885671428571444E-2</v>
      </c>
      <c r="AE56" s="351">
        <f t="shared" si="62"/>
        <v>0.53416704000000004</v>
      </c>
      <c r="AF56" s="351">
        <f t="shared" si="63"/>
        <v>0</v>
      </c>
      <c r="AG56" s="351">
        <f t="shared" si="64"/>
        <v>0.64173884246466761</v>
      </c>
      <c r="AH56" s="351">
        <f t="shared" si="65"/>
        <v>2.1444703729980419</v>
      </c>
      <c r="AI56" s="351">
        <f t="shared" si="66"/>
        <v>1.5175885496198992E-2</v>
      </c>
      <c r="AJ56" s="351">
        <f t="shared" si="67"/>
        <v>2.8951999999999999E-2</v>
      </c>
      <c r="AK56" s="351">
        <f t="shared" si="68"/>
        <v>4.4240679265310133E-2</v>
      </c>
      <c r="AL56" s="351">
        <f t="shared" si="69"/>
        <v>2.8951999999999999E-2</v>
      </c>
      <c r="AM56" s="351">
        <f t="shared" si="70"/>
        <v>0.36231360000000007</v>
      </c>
      <c r="AN56" s="351">
        <f t="shared" si="71"/>
        <v>4.6686014147329771E-2</v>
      </c>
      <c r="AO56" s="351">
        <f t="shared" si="72"/>
        <v>8.3999999999999993E-4</v>
      </c>
      <c r="AP56" s="351">
        <f>'Variable Management'!$B$347</f>
        <v>0.41183999999999998</v>
      </c>
      <c r="AQ56" s="351">
        <f t="shared" si="73"/>
        <v>0.36108727954971853</v>
      </c>
      <c r="AR56" s="351">
        <f t="shared" si="74"/>
        <v>0.32603999999999994</v>
      </c>
      <c r="AS56" s="351">
        <f t="shared" si="47"/>
        <v>0.41267999999999999</v>
      </c>
      <c r="AT56" s="351">
        <f t="shared" si="40"/>
        <v>2.0871575568367011</v>
      </c>
      <c r="AU56">
        <f t="shared" si="75"/>
        <v>11.75</v>
      </c>
      <c r="AV56" s="521">
        <f t="shared" si="41"/>
        <v>0.84916283938636861</v>
      </c>
      <c r="AW56" s="530">
        <f t="shared" si="76"/>
        <v>36.996364375516038</v>
      </c>
      <c r="AX56" s="530">
        <f t="shared" si="77"/>
        <v>6.5521666906124061</v>
      </c>
      <c r="AY56" s="9"/>
      <c r="AZ56" s="4">
        <f t="shared" si="42"/>
        <v>84.916283938636866</v>
      </c>
      <c r="BA56" s="351">
        <f t="shared" si="78"/>
        <v>0.54925837598255445</v>
      </c>
      <c r="BB56" s="351">
        <f t="shared" si="43"/>
        <v>1.0482931217299778</v>
      </c>
      <c r="BC56" s="351">
        <f t="shared" si="44"/>
        <v>0.8808658184646676</v>
      </c>
      <c r="BD56" s="351">
        <f t="shared" si="45"/>
        <v>0.16380416726531016</v>
      </c>
      <c r="BE56" s="351">
        <f t="shared" si="46"/>
        <v>4.6686014147329771E-2</v>
      </c>
      <c r="BK56" s="18"/>
      <c r="BL56" s="19"/>
    </row>
    <row r="57" spans="1:64" x14ac:dyDescent="0.25">
      <c r="A57" s="24" t="s">
        <v>220</v>
      </c>
      <c r="B57" s="15" t="s">
        <v>111</v>
      </c>
      <c r="C57" s="24" t="s">
        <v>76</v>
      </c>
      <c r="D57" s="24" t="s">
        <v>210</v>
      </c>
      <c r="G57">
        <v>48</v>
      </c>
      <c r="H57" s="527">
        <f t="shared" si="0"/>
        <v>24</v>
      </c>
      <c r="I57" s="4">
        <f t="shared" si="48"/>
        <v>1</v>
      </c>
      <c r="J57" s="351">
        <f t="shared" si="79"/>
        <v>2.4</v>
      </c>
      <c r="K57" s="4">
        <f t="shared" si="49"/>
        <v>0.55555555555555547</v>
      </c>
      <c r="L57" s="4"/>
      <c r="M57" s="351">
        <f t="shared" si="50"/>
        <v>0.21204636962376347</v>
      </c>
      <c r="N57" s="4">
        <f t="shared" si="51"/>
        <v>1.9393424644661568</v>
      </c>
      <c r="O57" s="4">
        <f t="shared" si="34"/>
        <v>3.3696712322330784</v>
      </c>
      <c r="P57" s="4">
        <f t="shared" si="35"/>
        <v>1.4303287677669214</v>
      </c>
      <c r="Q57" s="4">
        <f t="shared" si="52"/>
        <v>0</v>
      </c>
      <c r="R57" s="4">
        <f t="shared" si="53"/>
        <v>2.4644311242570374</v>
      </c>
      <c r="S57" s="351">
        <f t="shared" si="54"/>
        <v>0.14879880877206672</v>
      </c>
      <c r="T57" s="351">
        <f t="shared" si="55"/>
        <v>0.4</v>
      </c>
      <c r="U57" s="351">
        <f t="shared" si="56"/>
        <v>0.55541036077713091</v>
      </c>
      <c r="V57" s="4">
        <f t="shared" si="36"/>
        <v>0.559839946955204</v>
      </c>
      <c r="W57" s="351">
        <f t="shared" si="57"/>
        <v>3.1342076620680565E-4</v>
      </c>
      <c r="X57" s="351">
        <f t="shared" si="37"/>
        <v>3.1342076620680565E-4</v>
      </c>
      <c r="Y57" s="4">
        <f t="shared" si="58"/>
        <v>1.0073547443024218</v>
      </c>
      <c r="Z57" s="351">
        <f t="shared" si="12"/>
        <v>1.0147635808685975E-3</v>
      </c>
      <c r="AA57" s="520">
        <f t="shared" si="38"/>
        <v>1.0147635808685975E-3</v>
      </c>
      <c r="AB57" s="351">
        <f t="shared" si="59"/>
        <v>1.1348333907106052</v>
      </c>
      <c r="AC57" s="351">
        <f t="shared" si="60"/>
        <v>1.4810238483724885E-2</v>
      </c>
      <c r="AD57" s="351">
        <f t="shared" si="61"/>
        <v>9.3840685714285707E-2</v>
      </c>
      <c r="AE57" s="351">
        <f t="shared" si="62"/>
        <v>0.53416704000000004</v>
      </c>
      <c r="AF57" s="351">
        <f t="shared" si="63"/>
        <v>0</v>
      </c>
      <c r="AG57" s="351">
        <f t="shared" si="64"/>
        <v>0.64434482828964657</v>
      </c>
      <c r="AH57" s="351">
        <f t="shared" si="65"/>
        <v>2.187595470267544</v>
      </c>
      <c r="AI57" s="351">
        <f t="shared" si="66"/>
        <v>1.5792394007065752E-2</v>
      </c>
      <c r="AJ57" s="351">
        <f t="shared" si="67"/>
        <v>2.9567999999999997E-2</v>
      </c>
      <c r="AK57" s="351">
        <f t="shared" si="68"/>
        <v>4.5481060818894047E-2</v>
      </c>
      <c r="AL57" s="351">
        <f t="shared" si="69"/>
        <v>2.9567999999999997E-2</v>
      </c>
      <c r="AM57" s="351">
        <f t="shared" si="70"/>
        <v>0.37002239999999997</v>
      </c>
      <c r="AN57" s="351">
        <f t="shared" si="71"/>
        <v>4.858736612965444E-2</v>
      </c>
      <c r="AO57" s="351">
        <f t="shared" si="72"/>
        <v>8.3999999999999993E-4</v>
      </c>
      <c r="AP57" s="351">
        <f>'Variable Management'!$B$347</f>
        <v>0.41183999999999998</v>
      </c>
      <c r="AQ57" s="351">
        <f t="shared" si="73"/>
        <v>0.36108727954971853</v>
      </c>
      <c r="AR57" s="351">
        <f t="shared" si="74"/>
        <v>0.32603999999999994</v>
      </c>
      <c r="AS57" s="351">
        <f t="shared" si="47"/>
        <v>0.41267999999999999</v>
      </c>
      <c r="AT57" s="351">
        <f t="shared" si="40"/>
        <v>2.1074222003624015</v>
      </c>
      <c r="AU57">
        <f t="shared" si="75"/>
        <v>12</v>
      </c>
      <c r="AV57" s="521">
        <f t="shared" si="41"/>
        <v>0.85061606788033428</v>
      </c>
      <c r="AW57" s="530">
        <f t="shared" si="76"/>
        <v>37.319503716165151</v>
      </c>
      <c r="AX57" s="530">
        <f t="shared" si="77"/>
        <v>6.7035381127557612</v>
      </c>
      <c r="AY57" s="9"/>
      <c r="AZ57" s="4">
        <f t="shared" si="42"/>
        <v>85.06160678803343</v>
      </c>
      <c r="BA57" s="351">
        <f t="shared" si="78"/>
        <v>0.55541036077713091</v>
      </c>
      <c r="BB57" s="351">
        <f t="shared" si="43"/>
        <v>1.0598482891085406</v>
      </c>
      <c r="BC57" s="351">
        <f t="shared" si="44"/>
        <v>0.88855961228964653</v>
      </c>
      <c r="BD57" s="351">
        <f t="shared" si="45"/>
        <v>0.16758845281889403</v>
      </c>
      <c r="BE57" s="351">
        <f t="shared" si="46"/>
        <v>4.858736612965444E-2</v>
      </c>
      <c r="BK57" s="18"/>
      <c r="BL57" s="19"/>
    </row>
    <row r="58" spans="1:64" x14ac:dyDescent="0.25">
      <c r="A58" s="23" t="s">
        <v>192</v>
      </c>
      <c r="B58" s="71">
        <f>VfdSky_Q4</f>
        <v>0</v>
      </c>
      <c r="C58" s="427" t="s">
        <v>0</v>
      </c>
      <c r="D58" s="74" t="s">
        <v>195</v>
      </c>
      <c r="G58">
        <v>49</v>
      </c>
      <c r="H58" s="527">
        <f t="shared" si="0"/>
        <v>24</v>
      </c>
      <c r="I58" s="4">
        <f t="shared" si="48"/>
        <v>1</v>
      </c>
      <c r="J58" s="351">
        <f t="shared" si="79"/>
        <v>2.4500000000000002</v>
      </c>
      <c r="K58" s="4">
        <f t="shared" si="49"/>
        <v>0.56712962962962954</v>
      </c>
      <c r="L58" s="4"/>
      <c r="M58" s="351">
        <f t="shared" si="50"/>
        <v>0.2121237182296779</v>
      </c>
      <c r="N58" s="4">
        <f t="shared" si="51"/>
        <v>1.9398652487504946</v>
      </c>
      <c r="O58" s="4">
        <f t="shared" si="34"/>
        <v>3.4199326243752477</v>
      </c>
      <c r="P58" s="4">
        <f t="shared" si="35"/>
        <v>1.4800673756247529</v>
      </c>
      <c r="Q58" s="4">
        <f t="shared" si="52"/>
        <v>0</v>
      </c>
      <c r="R58" s="4">
        <f t="shared" si="53"/>
        <v>2.5131831937357489</v>
      </c>
      <c r="S58" s="351">
        <f t="shared" si="54"/>
        <v>0.15474419924925759</v>
      </c>
      <c r="T58" s="351">
        <f t="shared" si="55"/>
        <v>0.4</v>
      </c>
      <c r="U58" s="351">
        <f t="shared" si="56"/>
        <v>0.56169775681715972</v>
      </c>
      <c r="V58" s="4">
        <f t="shared" si="36"/>
        <v>0.55999086177884927</v>
      </c>
      <c r="W58" s="351">
        <f t="shared" si="57"/>
        <v>3.1358976527581827E-4</v>
      </c>
      <c r="X58" s="351">
        <f t="shared" si="37"/>
        <v>3.1358976527581827E-4</v>
      </c>
      <c r="Y58" s="4">
        <f t="shared" si="58"/>
        <v>1.0274194325826564</v>
      </c>
      <c r="Z58" s="351">
        <f t="shared" si="12"/>
        <v>1.0555906904484678E-3</v>
      </c>
      <c r="AA58" s="520">
        <f t="shared" si="38"/>
        <v>1.0555906904484678E-3</v>
      </c>
      <c r="AB58" s="351">
        <f t="shared" si="59"/>
        <v>1.1574940369966147</v>
      </c>
      <c r="AC58" s="351">
        <f t="shared" si="60"/>
        <v>1.5407613125351284E-2</v>
      </c>
      <c r="AD58" s="351">
        <f t="shared" si="61"/>
        <v>9.5795700000000011E-2</v>
      </c>
      <c r="AE58" s="351">
        <f t="shared" si="62"/>
        <v>0.53416704000000004</v>
      </c>
      <c r="AF58" s="351">
        <f t="shared" si="63"/>
        <v>0</v>
      </c>
      <c r="AG58" s="351">
        <f t="shared" si="64"/>
        <v>0.64696526360329387</v>
      </c>
      <c r="AH58" s="351">
        <f t="shared" si="65"/>
        <v>2.2307616007976061</v>
      </c>
      <c r="AI58" s="351">
        <f t="shared" si="66"/>
        <v>1.6421781154657224E-2</v>
      </c>
      <c r="AJ58" s="351">
        <f t="shared" si="67"/>
        <v>3.0183999999999999E-2</v>
      </c>
      <c r="AK58" s="351">
        <f t="shared" si="68"/>
        <v>4.6734715656493682E-2</v>
      </c>
      <c r="AL58" s="351">
        <f t="shared" si="69"/>
        <v>3.0183999999999999E-2</v>
      </c>
      <c r="AM58" s="351">
        <f t="shared" si="70"/>
        <v>0.37773120000000004</v>
      </c>
      <c r="AN58" s="351">
        <f t="shared" si="71"/>
        <v>5.0528718122206558E-2</v>
      </c>
      <c r="AO58" s="351">
        <f t="shared" si="72"/>
        <v>8.3999999999999993E-4</v>
      </c>
      <c r="AP58" s="351">
        <f>'Variable Management'!$B$347</f>
        <v>0.41183999999999998</v>
      </c>
      <c r="AQ58" s="351">
        <f t="shared" si="73"/>
        <v>0.36108727954971853</v>
      </c>
      <c r="AR58" s="351">
        <f t="shared" si="74"/>
        <v>0.32603999999999994</v>
      </c>
      <c r="AS58" s="351">
        <f t="shared" si="47"/>
        <v>0.41267999999999999</v>
      </c>
      <c r="AT58" s="351">
        <f t="shared" si="40"/>
        <v>2.1278908346548779</v>
      </c>
      <c r="AU58">
        <f t="shared" si="75"/>
        <v>12.25</v>
      </c>
      <c r="AV58" s="521">
        <f t="shared" si="41"/>
        <v>0.85200257401273038</v>
      </c>
      <c r="AW58" s="530">
        <f t="shared" si="76"/>
        <v>37.643249935338346</v>
      </c>
      <c r="AX58" s="530">
        <f t="shared" si="77"/>
        <v>6.8554404662597479</v>
      </c>
      <c r="AY58" s="9"/>
      <c r="AZ58" s="4">
        <f t="shared" si="42"/>
        <v>85.200257401273035</v>
      </c>
      <c r="BA58" s="351">
        <f t="shared" si="78"/>
        <v>0.56169775681715972</v>
      </c>
      <c r="BB58" s="351">
        <f t="shared" si="43"/>
        <v>1.0714311792597875</v>
      </c>
      <c r="BC58" s="351">
        <f t="shared" si="44"/>
        <v>0.89626785560329392</v>
      </c>
      <c r="BD58" s="351">
        <f t="shared" si="45"/>
        <v>0.1713860116564937</v>
      </c>
      <c r="BE58" s="351">
        <f t="shared" si="46"/>
        <v>5.0528718122206558E-2</v>
      </c>
      <c r="BK58" s="18"/>
      <c r="BL58" s="19"/>
    </row>
    <row r="59" spans="1:64" x14ac:dyDescent="0.25">
      <c r="A59" s="23" t="s">
        <v>193</v>
      </c>
      <c r="B59" s="71">
        <f>QrrSky_Q4*1000000000</f>
        <v>0</v>
      </c>
      <c r="C59" s="427" t="s">
        <v>65</v>
      </c>
      <c r="D59" s="74" t="s">
        <v>196</v>
      </c>
      <c r="G59">
        <v>50</v>
      </c>
      <c r="H59" s="527">
        <f t="shared" si="0"/>
        <v>24</v>
      </c>
      <c r="I59" s="4">
        <f t="shared" si="48"/>
        <v>1</v>
      </c>
      <c r="J59" s="351">
        <f t="shared" si="79"/>
        <v>2.5</v>
      </c>
      <c r="K59" s="4">
        <f t="shared" si="49"/>
        <v>0.57870370370370372</v>
      </c>
      <c r="L59" s="4"/>
      <c r="M59" s="351">
        <f t="shared" si="50"/>
        <v>0.2122010665777852</v>
      </c>
      <c r="N59" s="4">
        <f t="shared" si="51"/>
        <v>1.9403878960280065</v>
      </c>
      <c r="O59" s="4">
        <f t="shared" si="34"/>
        <v>3.4701939480140034</v>
      </c>
      <c r="P59" s="4">
        <f t="shared" si="35"/>
        <v>1.5298060519859966</v>
      </c>
      <c r="Q59" s="4">
        <f t="shared" si="52"/>
        <v>0</v>
      </c>
      <c r="R59" s="4">
        <f t="shared" si="53"/>
        <v>2.5619833655954261</v>
      </c>
      <c r="S59" s="351">
        <f t="shared" si="54"/>
        <v>0.16081208975689781</v>
      </c>
      <c r="T59" s="351">
        <f t="shared" si="55"/>
        <v>0.4</v>
      </c>
      <c r="U59" s="351">
        <f t="shared" si="56"/>
        <v>0.56812094709587013</v>
      </c>
      <c r="V59" s="4">
        <f t="shared" si="36"/>
        <v>0.56014173705203063</v>
      </c>
      <c r="W59" s="351">
        <f t="shared" si="57"/>
        <v>3.1375876558766626E-4</v>
      </c>
      <c r="X59" s="351">
        <f t="shared" si="37"/>
        <v>3.1375876558766626E-4</v>
      </c>
      <c r="Y59" s="4">
        <f t="shared" si="58"/>
        <v>1.0475090436044152</v>
      </c>
      <c r="Z59" s="351">
        <f t="shared" si="12"/>
        <v>1.0972751964330367E-3</v>
      </c>
      <c r="AA59" s="520">
        <f t="shared" si="38"/>
        <v>1.0972751964330367E-3</v>
      </c>
      <c r="AB59" s="351">
        <f t="shared" si="59"/>
        <v>1.1801849900829062</v>
      </c>
      <c r="AC59" s="351">
        <f t="shared" si="60"/>
        <v>1.6017621024395377E-2</v>
      </c>
      <c r="AD59" s="351">
        <f t="shared" si="61"/>
        <v>9.7750714285714288E-2</v>
      </c>
      <c r="AE59" s="351">
        <f t="shared" si="62"/>
        <v>0.53416704000000004</v>
      </c>
      <c r="AF59" s="351">
        <f t="shared" si="63"/>
        <v>0</v>
      </c>
      <c r="AG59" s="351">
        <f t="shared" si="64"/>
        <v>0.64960018323850843</v>
      </c>
      <c r="AH59" s="351">
        <f t="shared" si="65"/>
        <v>2.2739661727410714</v>
      </c>
      <c r="AI59" s="351">
        <f t="shared" si="66"/>
        <v>1.7064043110743232E-2</v>
      </c>
      <c r="AJ59" s="351">
        <f t="shared" si="67"/>
        <v>3.0799999999999998E-2</v>
      </c>
      <c r="AK59" s="351">
        <f t="shared" si="68"/>
        <v>4.8001652291109066E-2</v>
      </c>
      <c r="AL59" s="351">
        <f t="shared" si="69"/>
        <v>3.0799999999999998E-2</v>
      </c>
      <c r="AM59" s="351">
        <f t="shared" si="70"/>
        <v>0.38544</v>
      </c>
      <c r="AN59" s="351">
        <f t="shared" si="71"/>
        <v>5.2510070124701332E-2</v>
      </c>
      <c r="AO59" s="351">
        <f t="shared" si="72"/>
        <v>8.3999999999999993E-4</v>
      </c>
      <c r="AP59" s="351">
        <f>'Variable Management'!$B$347</f>
        <v>0.41183999999999998</v>
      </c>
      <c r="AQ59" s="351">
        <f t="shared" si="73"/>
        <v>0.36108727954971853</v>
      </c>
      <c r="AR59" s="351">
        <f t="shared" si="74"/>
        <v>0.32603999999999994</v>
      </c>
      <c r="AS59" s="351">
        <f t="shared" si="47"/>
        <v>0.41267999999999999</v>
      </c>
      <c r="AT59" s="351">
        <f t="shared" si="40"/>
        <v>2.1485638867122097</v>
      </c>
      <c r="AU59">
        <f t="shared" si="75"/>
        <v>12.5</v>
      </c>
      <c r="AV59" s="521">
        <f t="shared" si="41"/>
        <v>0.85332597083723793</v>
      </c>
      <c r="AW59" s="530">
        <f t="shared" si="76"/>
        <v>37.967604496017358</v>
      </c>
      <c r="AX59" s="530">
        <f t="shared" si="77"/>
        <v>7.0078740916443625</v>
      </c>
      <c r="AY59" s="9"/>
      <c r="AZ59" s="4">
        <f t="shared" si="42"/>
        <v>85.332597083723797</v>
      </c>
      <c r="BA59" s="351">
        <f t="shared" si="78"/>
        <v>0.56812094709587013</v>
      </c>
      <c r="BB59" s="351">
        <f t="shared" si="43"/>
        <v>1.0830418355296176</v>
      </c>
      <c r="BC59" s="351">
        <f t="shared" si="44"/>
        <v>0.90399058323850845</v>
      </c>
      <c r="BD59" s="351">
        <f t="shared" si="45"/>
        <v>0.17519685229110907</v>
      </c>
      <c r="BE59" s="351">
        <f t="shared" si="46"/>
        <v>5.2510070124701332E-2</v>
      </c>
      <c r="BK59" s="18"/>
      <c r="BL59" s="19"/>
    </row>
    <row r="60" spans="1:64" x14ac:dyDescent="0.25">
      <c r="A60" s="23" t="s">
        <v>194</v>
      </c>
      <c r="B60" s="71">
        <f>Ireverse</f>
        <v>0</v>
      </c>
      <c r="C60" s="427" t="s">
        <v>64</v>
      </c>
      <c r="D60" s="74" t="s">
        <v>197</v>
      </c>
      <c r="E60" s="2"/>
      <c r="G60">
        <v>51</v>
      </c>
      <c r="H60" s="527">
        <f t="shared" si="0"/>
        <v>24</v>
      </c>
      <c r="I60" s="4">
        <f t="shared" si="48"/>
        <v>1</v>
      </c>
      <c r="J60" s="351">
        <f t="shared" si="79"/>
        <v>2.5499999999999998</v>
      </c>
      <c r="K60" s="4">
        <f t="shared" si="49"/>
        <v>0.59027777777777779</v>
      </c>
      <c r="L60" s="4"/>
      <c r="M60" s="351">
        <f t="shared" si="50"/>
        <v>0.21227841466808653</v>
      </c>
      <c r="N60" s="4">
        <f t="shared" si="51"/>
        <v>1.9409104062993778</v>
      </c>
      <c r="O60" s="4">
        <f t="shared" si="34"/>
        <v>3.5204552031496887</v>
      </c>
      <c r="P60" s="4">
        <f t="shared" si="35"/>
        <v>1.5795447968503109</v>
      </c>
      <c r="Q60" s="4">
        <f t="shared" si="52"/>
        <v>0</v>
      </c>
      <c r="R60" s="4">
        <f t="shared" si="53"/>
        <v>2.6108289425212767</v>
      </c>
      <c r="S60" s="351">
        <f t="shared" si="54"/>
        <v>0.16700248029411582</v>
      </c>
      <c r="T60" s="351">
        <f t="shared" si="55"/>
        <v>0.4</v>
      </c>
      <c r="U60" s="351">
        <f t="shared" si="56"/>
        <v>0.57468032344544495</v>
      </c>
      <c r="V60" s="4">
        <f t="shared" si="36"/>
        <v>0.56029257277494593</v>
      </c>
      <c r="W60" s="351">
        <f t="shared" si="57"/>
        <v>3.1392776710676806E-4</v>
      </c>
      <c r="X60" s="351">
        <f t="shared" si="37"/>
        <v>3.1392776710676806E-4</v>
      </c>
      <c r="Y60" s="4">
        <f t="shared" si="58"/>
        <v>1.0676224790296678</v>
      </c>
      <c r="Z60" s="351">
        <f t="shared" si="12"/>
        <v>1.1398177577294534E-3</v>
      </c>
      <c r="AA60" s="520">
        <f t="shared" si="38"/>
        <v>1.1398177577294534E-3</v>
      </c>
      <c r="AB60" s="351">
        <f t="shared" si="59"/>
        <v>1.2029050170736464</v>
      </c>
      <c r="AC60" s="351">
        <f t="shared" si="60"/>
        <v>1.6640275521160919E-2</v>
      </c>
      <c r="AD60" s="351">
        <f t="shared" si="61"/>
        <v>9.9705728571428565E-2</v>
      </c>
      <c r="AE60" s="351">
        <f t="shared" si="62"/>
        <v>0.53416704000000004</v>
      </c>
      <c r="AF60" s="351">
        <f t="shared" si="63"/>
        <v>0</v>
      </c>
      <c r="AG60" s="351">
        <f t="shared" si="64"/>
        <v>0.65224962224021354</v>
      </c>
      <c r="AH60" s="351">
        <f t="shared" si="65"/>
        <v>2.3172067855514791</v>
      </c>
      <c r="AI60" s="351">
        <f t="shared" si="66"/>
        <v>1.7719176047119201E-2</v>
      </c>
      <c r="AJ60" s="351">
        <f t="shared" si="67"/>
        <v>3.1415999999999999E-2</v>
      </c>
      <c r="AK60" s="351">
        <f t="shared" si="68"/>
        <v>4.9281879409045742E-2</v>
      </c>
      <c r="AL60" s="351">
        <f t="shared" si="69"/>
        <v>3.1415999999999999E-2</v>
      </c>
      <c r="AM60" s="351">
        <f t="shared" si="70"/>
        <v>0.39314880000000008</v>
      </c>
      <c r="AN60" s="351">
        <f t="shared" si="71"/>
        <v>5.4531422136854149E-2</v>
      </c>
      <c r="AO60" s="351">
        <f t="shared" si="72"/>
        <v>8.3999999999999993E-4</v>
      </c>
      <c r="AP60" s="351">
        <f>'Variable Management'!$B$347</f>
        <v>0.41183999999999998</v>
      </c>
      <c r="AQ60" s="351">
        <f t="shared" si="73"/>
        <v>0.36108727954971853</v>
      </c>
      <c r="AR60" s="351">
        <f t="shared" si="74"/>
        <v>0.32603999999999994</v>
      </c>
      <c r="AS60" s="351">
        <f t="shared" si="47"/>
        <v>0.41267999999999999</v>
      </c>
      <c r="AT60" s="351">
        <f t="shared" si="40"/>
        <v>2.1694417927563947</v>
      </c>
      <c r="AU60">
        <f t="shared" si="75"/>
        <v>12.75</v>
      </c>
      <c r="AV60" s="521">
        <f t="shared" si="41"/>
        <v>0.85458961381452692</v>
      </c>
      <c r="AW60" s="530">
        <f t="shared" si="76"/>
        <v>38.292568870088971</v>
      </c>
      <c r="AX60" s="530">
        <f t="shared" si="77"/>
        <v>7.1608393363618301</v>
      </c>
      <c r="AY60" s="9"/>
      <c r="AZ60" s="4">
        <f t="shared" si="42"/>
        <v>85.458961381452696</v>
      </c>
      <c r="BA60" s="351">
        <f t="shared" si="78"/>
        <v>0.57468032344544495</v>
      </c>
      <c r="BB60" s="351">
        <f t="shared" si="43"/>
        <v>1.0946803016492592</v>
      </c>
      <c r="BC60" s="351">
        <f t="shared" si="44"/>
        <v>0.91172783024021364</v>
      </c>
      <c r="BD60" s="351">
        <f t="shared" si="45"/>
        <v>0.17902098340904576</v>
      </c>
      <c r="BE60" s="351">
        <f t="shared" si="46"/>
        <v>5.4531422136854149E-2</v>
      </c>
      <c r="BK60" s="18"/>
      <c r="BL60" s="19"/>
    </row>
    <row r="61" spans="1:64" x14ac:dyDescent="0.25">
      <c r="A61" s="24" t="s">
        <v>117</v>
      </c>
      <c r="B61" s="15" t="s">
        <v>111</v>
      </c>
      <c r="C61" s="24" t="s">
        <v>76</v>
      </c>
      <c r="D61" s="24" t="s">
        <v>210</v>
      </c>
      <c r="G61">
        <v>52</v>
      </c>
      <c r="H61" s="527">
        <f t="shared" si="0"/>
        <v>24</v>
      </c>
      <c r="I61" s="4">
        <f t="shared" si="48"/>
        <v>1</v>
      </c>
      <c r="J61" s="351">
        <f t="shared" si="79"/>
        <v>2.6</v>
      </c>
      <c r="K61" s="4">
        <f t="shared" si="49"/>
        <v>0.60185185185185186</v>
      </c>
      <c r="L61" s="4"/>
      <c r="M61" s="351">
        <f t="shared" si="50"/>
        <v>0.2123557625005833</v>
      </c>
      <c r="N61" s="4">
        <f t="shared" si="51"/>
        <v>1.9414327795652941</v>
      </c>
      <c r="O61" s="4">
        <f t="shared" si="34"/>
        <v>3.570716389782647</v>
      </c>
      <c r="P61" s="4">
        <f t="shared" si="35"/>
        <v>1.6292836102173531</v>
      </c>
      <c r="Q61" s="4">
        <f t="shared" si="52"/>
        <v>0</v>
      </c>
      <c r="R61" s="4">
        <f t="shared" si="53"/>
        <v>2.6597174229225091</v>
      </c>
      <c r="S61" s="351">
        <f t="shared" si="54"/>
        <v>0.17331537086004006</v>
      </c>
      <c r="T61" s="351">
        <f t="shared" si="55"/>
        <v>0.4</v>
      </c>
      <c r="U61" s="351">
        <f t="shared" si="56"/>
        <v>0.58137628659771323</v>
      </c>
      <c r="V61" s="4">
        <f t="shared" si="36"/>
        <v>0.56044336894779301</v>
      </c>
      <c r="W61" s="351">
        <f t="shared" si="57"/>
        <v>3.1409676979755202E-4</v>
      </c>
      <c r="X61" s="351">
        <f t="shared" si="37"/>
        <v>3.1409676979755202E-4</v>
      </c>
      <c r="Y61" s="4">
        <f t="shared" si="58"/>
        <v>1.0877587199749612</v>
      </c>
      <c r="Z61" s="351">
        <f t="shared" si="12"/>
        <v>1.1832190328815663E-3</v>
      </c>
      <c r="AA61" s="520">
        <f t="shared" si="38"/>
        <v>1.1832190328815663E-3</v>
      </c>
      <c r="AB61" s="351">
        <f t="shared" si="59"/>
        <v>1.2256529743582694</v>
      </c>
      <c r="AC61" s="351">
        <f t="shared" si="60"/>
        <v>1.7275589955862633E-2</v>
      </c>
      <c r="AD61" s="351">
        <f t="shared" si="61"/>
        <v>0.10166074285714287</v>
      </c>
      <c r="AE61" s="351">
        <f t="shared" si="62"/>
        <v>0.53416704000000004</v>
      </c>
      <c r="AF61" s="351">
        <f t="shared" si="63"/>
        <v>0</v>
      </c>
      <c r="AG61" s="351">
        <f t="shared" si="64"/>
        <v>0.65491361586648089</v>
      </c>
      <c r="AH61" s="351">
        <f t="shared" si="65"/>
        <v>2.3604812128556079</v>
      </c>
      <c r="AI61" s="351">
        <f t="shared" si="66"/>
        <v>1.8387176135606129E-2</v>
      </c>
      <c r="AJ61" s="351">
        <f t="shared" si="67"/>
        <v>3.2031999999999998E-2</v>
      </c>
      <c r="AK61" s="351">
        <f t="shared" si="68"/>
        <v>5.0575405870111195E-2</v>
      </c>
      <c r="AL61" s="351">
        <f t="shared" si="69"/>
        <v>3.2031999999999998E-2</v>
      </c>
      <c r="AM61" s="351">
        <f t="shared" si="70"/>
        <v>0.40085760000000004</v>
      </c>
      <c r="AN61" s="351">
        <f t="shared" si="71"/>
        <v>5.6592774158380432E-2</v>
      </c>
      <c r="AO61" s="351">
        <f t="shared" si="72"/>
        <v>8.3999999999999993E-4</v>
      </c>
      <c r="AP61" s="351">
        <f>'Variable Management'!$B$347</f>
        <v>0.41183999999999998</v>
      </c>
      <c r="AQ61" s="351">
        <f t="shared" si="73"/>
        <v>0.36108727954971853</v>
      </c>
      <c r="AR61" s="351">
        <f t="shared" si="74"/>
        <v>0.32603999999999994</v>
      </c>
      <c r="AS61" s="351">
        <f t="shared" si="47"/>
        <v>0.41267999999999999</v>
      </c>
      <c r="AT61" s="351">
        <f t="shared" si="40"/>
        <v>2.1905249982953645</v>
      </c>
      <c r="AU61">
        <f t="shared" si="75"/>
        <v>13</v>
      </c>
      <c r="AV61" s="521">
        <f t="shared" si="41"/>
        <v>0.85579662332005124</v>
      </c>
      <c r="AW61" s="530">
        <f t="shared" si="76"/>
        <v>38.618144538392194</v>
      </c>
      <c r="AX61" s="530">
        <f t="shared" si="77"/>
        <v>7.3143365548044486</v>
      </c>
      <c r="AY61" s="9"/>
      <c r="AZ61" s="4">
        <f t="shared" si="42"/>
        <v>85.579662332005128</v>
      </c>
      <c r="BA61" s="351">
        <f t="shared" si="78"/>
        <v>0.58137628659771323</v>
      </c>
      <c r="BB61" s="351">
        <f t="shared" si="43"/>
        <v>1.1063466217365923</v>
      </c>
      <c r="BC61" s="351">
        <f t="shared" si="44"/>
        <v>0.91947963186648085</v>
      </c>
      <c r="BD61" s="351">
        <f t="shared" si="45"/>
        <v>0.1828584138701112</v>
      </c>
      <c r="BE61" s="351">
        <f t="shared" si="46"/>
        <v>5.6592774158380432E-2</v>
      </c>
      <c r="BK61" s="18"/>
      <c r="BL61" s="19"/>
    </row>
    <row r="62" spans="1:64" ht="15.6" x14ac:dyDescent="0.35">
      <c r="A62" s="433" t="s">
        <v>458</v>
      </c>
      <c r="B62" s="72">
        <v>30</v>
      </c>
      <c r="C62" s="428" t="s">
        <v>202</v>
      </c>
      <c r="D62" s="74" t="s">
        <v>103</v>
      </c>
      <c r="G62">
        <v>53</v>
      </c>
      <c r="H62" s="527">
        <f t="shared" si="0"/>
        <v>24</v>
      </c>
      <c r="I62" s="4">
        <f t="shared" si="48"/>
        <v>1</v>
      </c>
      <c r="J62" s="351">
        <f t="shared" si="79"/>
        <v>2.65</v>
      </c>
      <c r="K62" s="4">
        <f t="shared" si="49"/>
        <v>0.61342592592592593</v>
      </c>
      <c r="L62" s="4"/>
      <c r="M62" s="351">
        <f t="shared" si="50"/>
        <v>0.21243311007527665</v>
      </c>
      <c r="N62" s="4">
        <f t="shared" si="51"/>
        <v>1.9419550158264385</v>
      </c>
      <c r="O62" s="4">
        <f t="shared" si="34"/>
        <v>3.6209775079132189</v>
      </c>
      <c r="P62" s="4">
        <f t="shared" si="35"/>
        <v>1.6790224920867807</v>
      </c>
      <c r="Q62" s="4">
        <f t="shared" si="52"/>
        <v>0</v>
      </c>
      <c r="R62" s="4">
        <f t="shared" si="53"/>
        <v>2.7086464836933697</v>
      </c>
      <c r="S62" s="351">
        <f t="shared" si="54"/>
        <v>0.17975076145379917</v>
      </c>
      <c r="T62" s="351">
        <f t="shared" si="55"/>
        <v>0.4</v>
      </c>
      <c r="U62" s="351">
        <f t="shared" si="56"/>
        <v>0.58820924624635507</v>
      </c>
      <c r="V62" s="4">
        <f t="shared" si="36"/>
        <v>0.56059412557076915</v>
      </c>
      <c r="W62" s="351">
        <f t="shared" si="57"/>
        <v>3.1426577362445528E-4</v>
      </c>
      <c r="X62" s="351">
        <f t="shared" si="37"/>
        <v>3.1426577362445528E-4</v>
      </c>
      <c r="Y62" s="4">
        <f t="shared" si="58"/>
        <v>1.1079168200139966</v>
      </c>
      <c r="Z62" s="351">
        <f t="shared" si="12"/>
        <v>1.2274796800699267E-3</v>
      </c>
      <c r="AA62" s="520">
        <f t="shared" si="38"/>
        <v>1.2274796800699267E-3</v>
      </c>
      <c r="AB62" s="351">
        <f t="shared" si="59"/>
        <v>1.2484277997485023</v>
      </c>
      <c r="AC62" s="351">
        <f t="shared" si="60"/>
        <v>1.7923577668626192E-2</v>
      </c>
      <c r="AD62" s="351">
        <f t="shared" si="61"/>
        <v>0.10361575714285713</v>
      </c>
      <c r="AE62" s="351">
        <f t="shared" si="62"/>
        <v>0.53416704000000004</v>
      </c>
      <c r="AF62" s="351">
        <f t="shared" si="63"/>
        <v>0</v>
      </c>
      <c r="AG62" s="351">
        <f t="shared" si="64"/>
        <v>0.65759219958966386</v>
      </c>
      <c r="AH62" s="351">
        <f t="shared" si="65"/>
        <v>2.4037873871121733</v>
      </c>
      <c r="AI62" s="351">
        <f t="shared" si="66"/>
        <v>1.9068039548050579E-2</v>
      </c>
      <c r="AJ62" s="351">
        <f t="shared" si="67"/>
        <v>3.2647999999999996E-2</v>
      </c>
      <c r="AK62" s="351">
        <f t="shared" si="68"/>
        <v>5.1882240707817141E-2</v>
      </c>
      <c r="AL62" s="351">
        <f t="shared" si="69"/>
        <v>3.2647999999999996E-2</v>
      </c>
      <c r="AM62" s="351">
        <f t="shared" si="70"/>
        <v>0.4085664</v>
      </c>
      <c r="AN62" s="351">
        <f t="shared" si="71"/>
        <v>5.8694126188995645E-2</v>
      </c>
      <c r="AO62" s="351">
        <f t="shared" si="72"/>
        <v>8.3999999999999993E-4</v>
      </c>
      <c r="AP62" s="351">
        <f>'Variable Management'!$B$347</f>
        <v>0.41183999999999998</v>
      </c>
      <c r="AQ62" s="351">
        <f t="shared" si="73"/>
        <v>0.36108727954971853</v>
      </c>
      <c r="AR62" s="351">
        <f t="shared" si="74"/>
        <v>0.32603999999999994</v>
      </c>
      <c r="AS62" s="351">
        <f t="shared" si="47"/>
        <v>0.41267999999999999</v>
      </c>
      <c r="AT62" s="351">
        <f t="shared" si="40"/>
        <v>2.2118139581865264</v>
      </c>
      <c r="AU62">
        <f t="shared" si="75"/>
        <v>13.25</v>
      </c>
      <c r="AV62" s="521">
        <f t="shared" si="41"/>
        <v>0.85694990483212719</v>
      </c>
      <c r="AW62" s="530">
        <f t="shared" si="76"/>
        <v>38.944332990765879</v>
      </c>
      <c r="AX62" s="530">
        <f t="shared" si="77"/>
        <v>7.4683661083126847</v>
      </c>
      <c r="AY62" s="9"/>
      <c r="AZ62" s="4">
        <f t="shared" si="42"/>
        <v>85.69499048321272</v>
      </c>
      <c r="BA62" s="351">
        <f t="shared" si="78"/>
        <v>0.58820924624635507</v>
      </c>
      <c r="BB62" s="351">
        <f t="shared" si="43"/>
        <v>1.1180408402974811</v>
      </c>
      <c r="BC62" s="351">
        <f t="shared" si="44"/>
        <v>0.92724602358966379</v>
      </c>
      <c r="BD62" s="351">
        <f t="shared" si="45"/>
        <v>0.18670915270781713</v>
      </c>
      <c r="BE62" s="351">
        <f t="shared" si="46"/>
        <v>5.8694126188995645E-2</v>
      </c>
      <c r="BK62" s="18"/>
      <c r="BL62" s="19"/>
    </row>
    <row r="63" spans="1:64" x14ac:dyDescent="0.25">
      <c r="A63" s="23" t="s">
        <v>118</v>
      </c>
      <c r="B63" s="72">
        <v>2</v>
      </c>
      <c r="C63" s="428" t="s">
        <v>202</v>
      </c>
      <c r="D63" s="21" t="s">
        <v>103</v>
      </c>
      <c r="G63">
        <v>54</v>
      </c>
      <c r="H63" s="527">
        <f t="shared" si="0"/>
        <v>24</v>
      </c>
      <c r="I63" s="4">
        <f t="shared" si="48"/>
        <v>1</v>
      </c>
      <c r="J63" s="351">
        <f t="shared" si="79"/>
        <v>2.7</v>
      </c>
      <c r="K63" s="4">
        <f t="shared" si="49"/>
        <v>0.625</v>
      </c>
      <c r="L63" s="4"/>
      <c r="M63" s="351">
        <f t="shared" si="50"/>
        <v>0.21251045739216806</v>
      </c>
      <c r="N63" s="4">
        <f t="shared" si="51"/>
        <v>1.9424771150834981</v>
      </c>
      <c r="O63" s="4">
        <f t="shared" si="34"/>
        <v>3.6712385575417494</v>
      </c>
      <c r="P63" s="4">
        <f t="shared" si="35"/>
        <v>1.7287614424582511</v>
      </c>
      <c r="Q63" s="4">
        <f t="shared" si="52"/>
        <v>0</v>
      </c>
      <c r="R63" s="4">
        <f t="shared" si="53"/>
        <v>2.7576139647441456</v>
      </c>
      <c r="S63" s="351">
        <f t="shared" si="54"/>
        <v>0.18630865207452219</v>
      </c>
      <c r="T63" s="351">
        <f t="shared" si="55"/>
        <v>0.4</v>
      </c>
      <c r="U63" s="351">
        <f t="shared" si="56"/>
        <v>0.59517962111062994</v>
      </c>
      <c r="V63" s="4">
        <f t="shared" si="36"/>
        <v>0.56074484264407265</v>
      </c>
      <c r="W63" s="351">
        <f t="shared" si="57"/>
        <v>3.1443477855192583E-4</v>
      </c>
      <c r="X63" s="351">
        <f t="shared" si="37"/>
        <v>3.1443477855192583E-4</v>
      </c>
      <c r="Y63" s="4">
        <f t="shared" si="58"/>
        <v>1.1280958988985821</v>
      </c>
      <c r="Z63" s="351">
        <f t="shared" si="12"/>
        <v>1.2726003571117998E-3</v>
      </c>
      <c r="AA63" s="520">
        <f t="shared" si="38"/>
        <v>1.2726003571117998E-3</v>
      </c>
      <c r="AB63" s="351">
        <f t="shared" si="59"/>
        <v>1.2712285054226009</v>
      </c>
      <c r="AC63" s="351">
        <f t="shared" si="60"/>
        <v>1.8584251999488266E-2</v>
      </c>
      <c r="AD63" s="351">
        <f t="shared" si="61"/>
        <v>0.10557077142857144</v>
      </c>
      <c r="AE63" s="351">
        <f t="shared" si="62"/>
        <v>0.53416704000000004</v>
      </c>
      <c r="AF63" s="351">
        <f t="shared" si="63"/>
        <v>0</v>
      </c>
      <c r="AG63" s="351">
        <f t="shared" si="64"/>
        <v>0.66028540909754041</v>
      </c>
      <c r="AH63" s="351">
        <f t="shared" si="65"/>
        <v>2.4471233858457047</v>
      </c>
      <c r="AI63" s="351">
        <f t="shared" si="66"/>
        <v>1.976176245632472E-2</v>
      </c>
      <c r="AJ63" s="351">
        <f t="shared" si="67"/>
        <v>3.3264000000000002E-2</v>
      </c>
      <c r="AK63" s="351">
        <f t="shared" si="68"/>
        <v>5.3202393129587383E-2</v>
      </c>
      <c r="AL63" s="351">
        <f t="shared" si="69"/>
        <v>3.3264000000000002E-2</v>
      </c>
      <c r="AM63" s="351">
        <f t="shared" si="70"/>
        <v>0.41627520000000001</v>
      </c>
      <c r="AN63" s="351">
        <f t="shared" si="71"/>
        <v>6.0835478228415403E-2</v>
      </c>
      <c r="AO63" s="351">
        <f t="shared" si="72"/>
        <v>8.3999999999999993E-4</v>
      </c>
      <c r="AP63" s="351">
        <f>'Variable Management'!$B$347</f>
        <v>0.41183999999999998</v>
      </c>
      <c r="AQ63" s="351">
        <f t="shared" si="73"/>
        <v>0.36108727954971853</v>
      </c>
      <c r="AR63" s="351">
        <f t="shared" si="74"/>
        <v>0.32603999999999994</v>
      </c>
      <c r="AS63" s="351">
        <f t="shared" si="47"/>
        <v>0.41267999999999999</v>
      </c>
      <c r="AT63" s="351">
        <f t="shared" si="40"/>
        <v>2.2333091367018372</v>
      </c>
      <c r="AU63">
        <f t="shared" si="75"/>
        <v>13.5</v>
      </c>
      <c r="AV63" s="521">
        <f t="shared" si="41"/>
        <v>0.85805216707449727</v>
      </c>
      <c r="AW63" s="530">
        <f t="shared" si="76"/>
        <v>39.271135726096695</v>
      </c>
      <c r="AX63" s="530">
        <f t="shared" si="77"/>
        <v>7.6229283651834958</v>
      </c>
      <c r="AY63" s="9"/>
      <c r="AZ63" s="4">
        <f t="shared" si="42"/>
        <v>85.805216707449731</v>
      </c>
      <c r="BA63" s="351">
        <f t="shared" si="78"/>
        <v>0.59517962111062994</v>
      </c>
      <c r="BB63" s="351">
        <f t="shared" si="43"/>
        <v>1.1297630022271279</v>
      </c>
      <c r="BC63" s="351">
        <f t="shared" si="44"/>
        <v>0.93502704109754042</v>
      </c>
      <c r="BD63" s="351">
        <f t="shared" si="45"/>
        <v>0.19057320912958739</v>
      </c>
      <c r="BE63" s="351">
        <f t="shared" si="46"/>
        <v>6.0835478228415403E-2</v>
      </c>
      <c r="BK63" s="18"/>
      <c r="BL63" s="19"/>
    </row>
    <row r="64" spans="1:64" x14ac:dyDescent="0.25">
      <c r="A64" s="73"/>
      <c r="B64" s="30"/>
      <c r="G64">
        <v>55</v>
      </c>
      <c r="H64" s="527">
        <f t="shared" si="0"/>
        <v>24</v>
      </c>
      <c r="I64" s="4">
        <f t="shared" si="48"/>
        <v>1</v>
      </c>
      <c r="J64" s="351">
        <f t="shared" si="79"/>
        <v>2.75</v>
      </c>
      <c r="K64" s="4">
        <f t="shared" si="49"/>
        <v>0.63657407407407407</v>
      </c>
      <c r="L64" s="4"/>
      <c r="M64" s="351">
        <f t="shared" si="50"/>
        <v>0.21258780445125863</v>
      </c>
      <c r="N64" s="4">
        <f t="shared" si="51"/>
        <v>1.9429990773371564</v>
      </c>
      <c r="O64" s="4">
        <f t="shared" si="34"/>
        <v>3.7214995386685783</v>
      </c>
      <c r="P64" s="4">
        <f t="shared" si="35"/>
        <v>1.7785004613314217</v>
      </c>
      <c r="Q64" s="4">
        <f t="shared" si="52"/>
        <v>0</v>
      </c>
      <c r="R64" s="4">
        <f t="shared" si="53"/>
        <v>2.8066178550961336</v>
      </c>
      <c r="S64" s="351">
        <f t="shared" si="54"/>
        <v>0.19298904272133832</v>
      </c>
      <c r="T64" s="351">
        <f t="shared" si="55"/>
        <v>0.4</v>
      </c>
      <c r="U64" s="351">
        <f t="shared" si="56"/>
        <v>0.60228783900065352</v>
      </c>
      <c r="V64" s="4">
        <f t="shared" si="36"/>
        <v>0.5608955201679009</v>
      </c>
      <c r="W64" s="351">
        <f t="shared" si="57"/>
        <v>3.1460378454442015E-4</v>
      </c>
      <c r="X64" s="351">
        <f t="shared" si="37"/>
        <v>3.1460378454442015E-4</v>
      </c>
      <c r="Y64" s="4">
        <f t="shared" si="58"/>
        <v>1.1482951369143599</v>
      </c>
      <c r="Z64" s="351">
        <f t="shared" si="12"/>
        <v>1.3185817214611687E-3</v>
      </c>
      <c r="AA64" s="520">
        <f t="shared" si="38"/>
        <v>1.3185817214611687E-3</v>
      </c>
      <c r="AB64" s="351">
        <f t="shared" si="59"/>
        <v>1.2940541715828588</v>
      </c>
      <c r="AC64" s="351">
        <f t="shared" si="60"/>
        <v>1.9257626288396491E-2</v>
      </c>
      <c r="AD64" s="351">
        <f t="shared" si="61"/>
        <v>0.10752578571428571</v>
      </c>
      <c r="AE64" s="351">
        <f t="shared" si="62"/>
        <v>0.53416704000000004</v>
      </c>
      <c r="AF64" s="351">
        <f t="shared" si="63"/>
        <v>0</v>
      </c>
      <c r="AG64" s="351">
        <f t="shared" si="64"/>
        <v>0.66299328029446281</v>
      </c>
      <c r="AH64" s="351">
        <f t="shared" si="65"/>
        <v>2.4904874192722644</v>
      </c>
      <c r="AI64" s="351">
        <f t="shared" si="66"/>
        <v>2.0468341032326299E-2</v>
      </c>
      <c r="AJ64" s="351">
        <f t="shared" si="67"/>
        <v>3.388E-2</v>
      </c>
      <c r="AK64" s="351">
        <f t="shared" si="68"/>
        <v>5.453587251697134E-2</v>
      </c>
      <c r="AL64" s="351">
        <f t="shared" si="69"/>
        <v>3.388E-2</v>
      </c>
      <c r="AM64" s="351">
        <f t="shared" si="70"/>
        <v>0.42398400000000003</v>
      </c>
      <c r="AN64" s="351">
        <f t="shared" si="71"/>
        <v>6.3016830276355379E-2</v>
      </c>
      <c r="AO64" s="351">
        <f t="shared" si="72"/>
        <v>8.3999999999999993E-4</v>
      </c>
      <c r="AP64" s="351">
        <f>'Variable Management'!$B$347</f>
        <v>0.41183999999999998</v>
      </c>
      <c r="AQ64" s="351">
        <f t="shared" si="73"/>
        <v>0.36108727954971853</v>
      </c>
      <c r="AR64" s="351">
        <f t="shared" si="74"/>
        <v>0.32603999999999994</v>
      </c>
      <c r="AS64" s="351">
        <f t="shared" si="47"/>
        <v>0.41267999999999999</v>
      </c>
      <c r="AT64" s="351">
        <f t="shared" si="40"/>
        <v>2.2550110075944487</v>
      </c>
      <c r="AU64">
        <f t="shared" si="75"/>
        <v>13.75</v>
      </c>
      <c r="AV64" s="521">
        <f t="shared" si="41"/>
        <v>0.85910593835115545</v>
      </c>
      <c r="AW64" s="530">
        <f t="shared" si="76"/>
        <v>39.598554252367435</v>
      </c>
      <c r="AX64" s="530">
        <f t="shared" si="77"/>
        <v>7.7780237006788546</v>
      </c>
      <c r="AY64" s="9"/>
      <c r="AZ64" s="4">
        <f t="shared" si="42"/>
        <v>85.910593835115549</v>
      </c>
      <c r="BA64" s="351">
        <f t="shared" si="78"/>
        <v>0.60228783900065352</v>
      </c>
      <c r="BB64" s="351">
        <f t="shared" si="43"/>
        <v>1.1415131528114342</v>
      </c>
      <c r="BC64" s="351">
        <f t="shared" si="44"/>
        <v>0.94282272029446279</v>
      </c>
      <c r="BD64" s="351">
        <f t="shared" si="45"/>
        <v>0.19445059251697136</v>
      </c>
      <c r="BE64" s="351">
        <f t="shared" si="46"/>
        <v>6.3016830276355379E-2</v>
      </c>
      <c r="BK64" s="18"/>
      <c r="BL64" s="19"/>
    </row>
    <row r="65" spans="1:64" x14ac:dyDescent="0.25">
      <c r="G65">
        <v>56</v>
      </c>
      <c r="H65" s="527">
        <f t="shared" si="0"/>
        <v>24</v>
      </c>
      <c r="I65" s="4">
        <f t="shared" si="48"/>
        <v>1</v>
      </c>
      <c r="J65" s="351">
        <f t="shared" si="79"/>
        <v>2.8</v>
      </c>
      <c r="K65" s="4">
        <f t="shared" si="49"/>
        <v>0.64814814814814814</v>
      </c>
      <c r="L65" s="4"/>
      <c r="M65" s="351">
        <f t="shared" si="50"/>
        <v>0.21266515125254978</v>
      </c>
      <c r="N65" s="4">
        <f t="shared" si="51"/>
        <v>1.9435209025880993</v>
      </c>
      <c r="O65" s="4">
        <f t="shared" si="34"/>
        <v>3.7717604512940497</v>
      </c>
      <c r="P65" s="4">
        <f t="shared" si="35"/>
        <v>1.8282395487059502</v>
      </c>
      <c r="Q65" s="4">
        <f t="shared" si="52"/>
        <v>0</v>
      </c>
      <c r="R65" s="4">
        <f t="shared" si="53"/>
        <v>2.8556562803612069</v>
      </c>
      <c r="S65" s="351">
        <f t="shared" si="54"/>
        <v>0.19979193339337689</v>
      </c>
      <c r="T65" s="351">
        <f t="shared" si="55"/>
        <v>0.4</v>
      </c>
      <c r="U65" s="351">
        <f t="shared" si="56"/>
        <v>0.60953433688423697</v>
      </c>
      <c r="V65" s="4">
        <f t="shared" si="36"/>
        <v>0.56104615814245185</v>
      </c>
      <c r="W65" s="351">
        <f t="shared" si="57"/>
        <v>3.1477279156640509E-4</v>
      </c>
      <c r="X65" s="351">
        <f t="shared" si="37"/>
        <v>3.1477279156640509E-4</v>
      </c>
      <c r="Y65" s="4">
        <f t="shared" si="58"/>
        <v>1.168513769798514</v>
      </c>
      <c r="Z65" s="351">
        <f t="shared" si="12"/>
        <v>1.3654244302087344E-3</v>
      </c>
      <c r="AA65" s="520">
        <f t="shared" si="38"/>
        <v>1.3654244302087344E-3</v>
      </c>
      <c r="AB65" s="351">
        <f t="shared" si="59"/>
        <v>1.3169039407445962</v>
      </c>
      <c r="AC65" s="351">
        <f t="shared" si="60"/>
        <v>1.9943713875209438E-2</v>
      </c>
      <c r="AD65" s="351">
        <f t="shared" si="61"/>
        <v>0.10948079999999999</v>
      </c>
      <c r="AE65" s="351">
        <f t="shared" si="62"/>
        <v>0.53416704000000004</v>
      </c>
      <c r="AF65" s="351">
        <f t="shared" si="63"/>
        <v>0</v>
      </c>
      <c r="AG65" s="351">
        <f t="shared" si="64"/>
        <v>0.66571584930251859</v>
      </c>
      <c r="AH65" s="351">
        <f t="shared" si="65"/>
        <v>2.5338778191573792</v>
      </c>
      <c r="AI65" s="351">
        <f t="shared" si="66"/>
        <v>2.1187771447978596E-2</v>
      </c>
      <c r="AJ65" s="351">
        <f t="shared" si="67"/>
        <v>3.4495999999999999E-2</v>
      </c>
      <c r="AK65" s="351">
        <f t="shared" si="68"/>
        <v>5.5882688425863247E-2</v>
      </c>
      <c r="AL65" s="351">
        <f t="shared" si="69"/>
        <v>3.4495999999999999E-2</v>
      </c>
      <c r="AM65" s="351">
        <f t="shared" si="70"/>
        <v>0.43169279999999999</v>
      </c>
      <c r="AN65" s="351">
        <f t="shared" si="71"/>
        <v>6.523818233253123E-2</v>
      </c>
      <c r="AO65" s="351">
        <f t="shared" si="72"/>
        <v>8.3999999999999993E-4</v>
      </c>
      <c r="AP65" s="351">
        <f>'Variable Management'!$B$347</f>
        <v>0.41183999999999998</v>
      </c>
      <c r="AQ65" s="351">
        <f t="shared" si="73"/>
        <v>0.36108727954971853</v>
      </c>
      <c r="AR65" s="351">
        <f t="shared" si="74"/>
        <v>0.32603999999999994</v>
      </c>
      <c r="AS65" s="351">
        <f t="shared" si="47"/>
        <v>0.41267999999999999</v>
      </c>
      <c r="AT65" s="351">
        <f t="shared" si="40"/>
        <v>2.2769200541669252</v>
      </c>
      <c r="AU65">
        <f t="shared" si="75"/>
        <v>14</v>
      </c>
      <c r="AV65" s="521">
        <f t="shared" si="41"/>
        <v>0.86011358128013726</v>
      </c>
      <c r="AW65" s="530">
        <f t="shared" si="76"/>
        <v>39.926590086705779</v>
      </c>
      <c r="AX65" s="530">
        <f t="shared" si="77"/>
        <v>7.9336524970345303</v>
      </c>
      <c r="AY65" s="9"/>
      <c r="AZ65" s="4">
        <f t="shared" si="42"/>
        <v>86.011358128013725</v>
      </c>
      <c r="BA65" s="351">
        <f t="shared" si="78"/>
        <v>0.60953433688423697</v>
      </c>
      <c r="BB65" s="351">
        <f t="shared" si="43"/>
        <v>1.1532913377283818</v>
      </c>
      <c r="BC65" s="351">
        <f t="shared" si="44"/>
        <v>0.95063309730251855</v>
      </c>
      <c r="BD65" s="351">
        <f t="shared" si="45"/>
        <v>0.19834131242586325</v>
      </c>
      <c r="BE65" s="351">
        <f t="shared" si="46"/>
        <v>6.523818233253123E-2</v>
      </c>
      <c r="BK65" s="18"/>
      <c r="BL65" s="19"/>
    </row>
    <row r="66" spans="1:64" x14ac:dyDescent="0.25">
      <c r="A66" s="11" t="s">
        <v>77</v>
      </c>
      <c r="B66" s="31"/>
      <c r="C66" s="31"/>
      <c r="G66">
        <v>57</v>
      </c>
      <c r="H66" s="527">
        <f t="shared" si="0"/>
        <v>24</v>
      </c>
      <c r="I66" s="4">
        <f t="shared" si="48"/>
        <v>1</v>
      </c>
      <c r="J66" s="351">
        <f t="shared" si="79"/>
        <v>2.85</v>
      </c>
      <c r="K66" s="4">
        <f t="shared" si="49"/>
        <v>0.65972222222222221</v>
      </c>
      <c r="L66" s="4"/>
      <c r="M66" s="351">
        <f t="shared" si="50"/>
        <v>0.21274249779604271</v>
      </c>
      <c r="N66" s="4">
        <f t="shared" si="51"/>
        <v>1.9440425908370105</v>
      </c>
      <c r="O66" s="4">
        <f t="shared" si="34"/>
        <v>3.8220212954185051</v>
      </c>
      <c r="P66" s="4">
        <f t="shared" si="35"/>
        <v>1.8779787045814949</v>
      </c>
      <c r="Q66" s="4">
        <f t="shared" si="52"/>
        <v>0</v>
      </c>
      <c r="R66" s="4">
        <f t="shared" si="53"/>
        <v>2.9047274914494747</v>
      </c>
      <c r="S66" s="351">
        <f t="shared" si="54"/>
        <v>0.20671732408976776</v>
      </c>
      <c r="T66" s="351">
        <f t="shared" si="55"/>
        <v>0.4</v>
      </c>
      <c r="U66" s="351">
        <f t="shared" si="56"/>
        <v>0.61691956095531308</v>
      </c>
      <c r="V66" s="4">
        <f t="shared" si="36"/>
        <v>0.56119675656792278</v>
      </c>
      <c r="W66" s="351">
        <f t="shared" si="57"/>
        <v>3.1494179958235644E-4</v>
      </c>
      <c r="X66" s="351">
        <f t="shared" si="37"/>
        <v>3.1494179958235644E-4</v>
      </c>
      <c r="Y66" s="4">
        <f t="shared" si="58"/>
        <v>1.1887510841559448</v>
      </c>
      <c r="Z66" s="351">
        <f t="shared" si="12"/>
        <v>1.4131291400819341E-3</v>
      </c>
      <c r="AA66" s="520">
        <f t="shared" si="38"/>
        <v>1.4131291400819341E-3</v>
      </c>
      <c r="AB66" s="351">
        <f t="shared" si="59"/>
        <v>1.3397770125852617</v>
      </c>
      <c r="AC66" s="351">
        <f t="shared" si="60"/>
        <v>2.0642528099696716E-2</v>
      </c>
      <c r="AD66" s="351">
        <f t="shared" si="61"/>
        <v>0.11143581428571429</v>
      </c>
      <c r="AE66" s="351">
        <f t="shared" si="62"/>
        <v>0.53416704000000004</v>
      </c>
      <c r="AF66" s="351">
        <f t="shared" si="63"/>
        <v>0</v>
      </c>
      <c r="AG66" s="351">
        <f t="shared" si="64"/>
        <v>0.66845315246269765</v>
      </c>
      <c r="AH66" s="351">
        <f t="shared" si="65"/>
        <v>2.5772930287669018</v>
      </c>
      <c r="AI66" s="351">
        <f t="shared" si="66"/>
        <v>2.1920049875230552E-2</v>
      </c>
      <c r="AJ66" s="351">
        <f t="shared" si="67"/>
        <v>3.5111999999999997E-2</v>
      </c>
      <c r="AK66" s="351">
        <f t="shared" si="68"/>
        <v>5.7242850586727269E-2</v>
      </c>
      <c r="AL66" s="351">
        <f t="shared" si="69"/>
        <v>3.5111999999999997E-2</v>
      </c>
      <c r="AM66" s="351">
        <f t="shared" si="70"/>
        <v>0.43940159999999995</v>
      </c>
      <c r="AN66" s="351">
        <f t="shared" si="71"/>
        <v>6.7499534396658858E-2</v>
      </c>
      <c r="AO66" s="351">
        <f t="shared" si="72"/>
        <v>8.3999999999999993E-4</v>
      </c>
      <c r="AP66" s="351">
        <f>'Variable Management'!$B$347</f>
        <v>0.41183999999999998</v>
      </c>
      <c r="AQ66" s="351">
        <f t="shared" si="73"/>
        <v>0.36108727954971853</v>
      </c>
      <c r="AR66" s="351">
        <f t="shared" si="74"/>
        <v>0.32603999999999994</v>
      </c>
      <c r="AS66" s="351">
        <f t="shared" si="47"/>
        <v>0.41267999999999999</v>
      </c>
      <c r="AT66" s="351">
        <f t="shared" si="40"/>
        <v>2.2990367693410607</v>
      </c>
      <c r="AU66">
        <f t="shared" si="75"/>
        <v>14.25</v>
      </c>
      <c r="AV66" s="521">
        <f t="shared" si="41"/>
        <v>0.86107730610640232</v>
      </c>
      <c r="AW66" s="530">
        <f t="shared" si="76"/>
        <v>40.255244755433296</v>
      </c>
      <c r="AX66" s="530">
        <f t="shared" si="77"/>
        <v>8.0898151434690906</v>
      </c>
      <c r="AY66" s="9"/>
      <c r="AZ66" s="4">
        <f t="shared" si="42"/>
        <v>86.107730610640232</v>
      </c>
      <c r="BA66" s="351">
        <f t="shared" si="78"/>
        <v>0.61691956095531308</v>
      </c>
      <c r="BB66" s="351">
        <f t="shared" si="43"/>
        <v>1.1650976030494249</v>
      </c>
      <c r="BC66" s="351">
        <f t="shared" si="44"/>
        <v>0.95845820846269758</v>
      </c>
      <c r="BD66" s="351">
        <f t="shared" si="45"/>
        <v>0.20224537858672725</v>
      </c>
      <c r="BE66" s="351">
        <f t="shared" si="46"/>
        <v>6.7499534396658858E-2</v>
      </c>
      <c r="BK66" s="18"/>
      <c r="BL66" s="19"/>
    </row>
    <row r="67" spans="1:64" x14ac:dyDescent="0.25">
      <c r="A67" s="14" t="s">
        <v>55</v>
      </c>
      <c r="B67" s="15" t="s">
        <v>7</v>
      </c>
      <c r="C67" s="15" t="s">
        <v>76</v>
      </c>
      <c r="G67">
        <v>58</v>
      </c>
      <c r="H67" s="527">
        <f t="shared" si="0"/>
        <v>24</v>
      </c>
      <c r="I67" s="4">
        <f t="shared" si="48"/>
        <v>1</v>
      </c>
      <c r="J67" s="351">
        <f t="shared" si="79"/>
        <v>2.9</v>
      </c>
      <c r="K67" s="4">
        <f t="shared" si="49"/>
        <v>0.67129629629629628</v>
      </c>
      <c r="L67" s="4"/>
      <c r="M67" s="351">
        <f t="shared" si="50"/>
        <v>0.21281984408173876</v>
      </c>
      <c r="N67" s="4">
        <f t="shared" si="51"/>
        <v>1.9445641420845761</v>
      </c>
      <c r="O67" s="4">
        <f t="shared" si="34"/>
        <v>3.8722820710422878</v>
      </c>
      <c r="P67" s="4">
        <f t="shared" si="35"/>
        <v>1.927717928957712</v>
      </c>
      <c r="Q67" s="4">
        <f t="shared" si="52"/>
        <v>0</v>
      </c>
      <c r="R67" s="4">
        <f t="shared" si="53"/>
        <v>2.9538298543681827</v>
      </c>
      <c r="S67" s="351">
        <f t="shared" si="54"/>
        <v>0.21376521480964064</v>
      </c>
      <c r="T67" s="351">
        <f t="shared" si="55"/>
        <v>0.4</v>
      </c>
      <c r="U67" s="351">
        <f t="shared" si="56"/>
        <v>0.62444396670396518</v>
      </c>
      <c r="V67" s="4">
        <f t="shared" si="36"/>
        <v>0.56134731544451189</v>
      </c>
      <c r="W67" s="351">
        <f t="shared" si="57"/>
        <v>3.1511080855676035E-4</v>
      </c>
      <c r="X67" s="351">
        <f t="shared" si="37"/>
        <v>3.1511080855676035E-4</v>
      </c>
      <c r="Y67" s="4">
        <f t="shared" si="58"/>
        <v>1.2090064133183633</v>
      </c>
      <c r="Z67" s="351">
        <f t="shared" si="12"/>
        <v>1.4616965074449333E-3</v>
      </c>
      <c r="AA67" s="520">
        <f t="shared" si="38"/>
        <v>1.4616965074449333E-3</v>
      </c>
      <c r="AB67" s="351">
        <f t="shared" si="59"/>
        <v>1.3626726392912361</v>
      </c>
      <c r="AC67" s="351">
        <f t="shared" si="60"/>
        <v>2.1354082301538846E-2</v>
      </c>
      <c r="AD67" s="351">
        <f t="shared" si="61"/>
        <v>0.11339082857142856</v>
      </c>
      <c r="AE67" s="351">
        <f t="shared" si="62"/>
        <v>0.53416704000000004</v>
      </c>
      <c r="AF67" s="351">
        <f t="shared" si="63"/>
        <v>0</v>
      </c>
      <c r="AG67" s="351">
        <f t="shared" si="64"/>
        <v>0.67120522633607205</v>
      </c>
      <c r="AH67" s="351">
        <f t="shared" si="65"/>
        <v>2.6207315937889968</v>
      </c>
      <c r="AI67" s="351">
        <f t="shared" si="66"/>
        <v>2.2665172486056588E-2</v>
      </c>
      <c r="AJ67" s="351">
        <f t="shared" si="67"/>
        <v>3.5727999999999996E-2</v>
      </c>
      <c r="AK67" s="351">
        <f t="shared" si="68"/>
        <v>5.8616368904827937E-2</v>
      </c>
      <c r="AL67" s="351">
        <f t="shared" si="69"/>
        <v>3.5727999999999996E-2</v>
      </c>
      <c r="AM67" s="351">
        <f t="shared" si="70"/>
        <v>0.44711040000000002</v>
      </c>
      <c r="AN67" s="351">
        <f t="shared" si="71"/>
        <v>6.9800886468454088E-2</v>
      </c>
      <c r="AO67" s="351">
        <f t="shared" si="72"/>
        <v>8.3999999999999993E-4</v>
      </c>
      <c r="AP67" s="351">
        <f>'Variable Management'!$B$347</f>
        <v>0.41183999999999998</v>
      </c>
      <c r="AQ67" s="351">
        <f t="shared" si="73"/>
        <v>0.36108727954971853</v>
      </c>
      <c r="AR67" s="351">
        <f t="shared" si="74"/>
        <v>0.32603999999999994</v>
      </c>
      <c r="AS67" s="351">
        <f t="shared" si="47"/>
        <v>0.41267999999999999</v>
      </c>
      <c r="AT67" s="351">
        <f t="shared" si="40"/>
        <v>2.3213616557293211</v>
      </c>
      <c r="AU67">
        <f t="shared" si="75"/>
        <v>14.5</v>
      </c>
      <c r="AV67" s="521">
        <f t="shared" si="41"/>
        <v>0.86199918275113785</v>
      </c>
      <c r="AW67" s="530">
        <f t="shared" si="76"/>
        <v>40.584519794115025</v>
      </c>
      <c r="AX67" s="530">
        <f t="shared" si="77"/>
        <v>8.246512036193117</v>
      </c>
      <c r="AY67" s="9"/>
      <c r="AZ67" s="4">
        <f t="shared" si="42"/>
        <v>86.199918275113788</v>
      </c>
      <c r="BA67" s="351">
        <f t="shared" si="78"/>
        <v>0.62444396670396518</v>
      </c>
      <c r="BB67" s="351">
        <f t="shared" si="43"/>
        <v>1.1769319952409001</v>
      </c>
      <c r="BC67" s="351">
        <f t="shared" si="44"/>
        <v>0.96629809033607206</v>
      </c>
      <c r="BD67" s="351">
        <f t="shared" si="45"/>
        <v>0.20616280090482794</v>
      </c>
      <c r="BE67" s="351">
        <f t="shared" si="46"/>
        <v>6.9800886468454088E-2</v>
      </c>
      <c r="BK67" s="18"/>
      <c r="BL67" s="19"/>
    </row>
    <row r="68" spans="1:64" x14ac:dyDescent="0.25">
      <c r="A68" s="32" t="s">
        <v>205</v>
      </c>
      <c r="B68" s="436">
        <f>D2_Vinmin</f>
        <v>0.21739130434782608</v>
      </c>
      <c r="C68" s="21" t="s">
        <v>18</v>
      </c>
      <c r="G68">
        <v>59</v>
      </c>
      <c r="H68" s="527">
        <f t="shared" si="0"/>
        <v>24</v>
      </c>
      <c r="I68" s="4">
        <f t="shared" si="48"/>
        <v>1</v>
      </c>
      <c r="J68" s="351">
        <f t="shared" si="79"/>
        <v>2.95</v>
      </c>
      <c r="K68" s="4">
        <f t="shared" si="49"/>
        <v>0.68287037037037035</v>
      </c>
      <c r="L68" s="4"/>
      <c r="M68" s="351">
        <f t="shared" si="50"/>
        <v>0.21289719010963923</v>
      </c>
      <c r="N68" s="4">
        <f t="shared" si="51"/>
        <v>1.9450855563314804</v>
      </c>
      <c r="O68" s="4">
        <f t="shared" si="34"/>
        <v>3.9225427781657403</v>
      </c>
      <c r="P68" s="4">
        <f t="shared" si="35"/>
        <v>1.9774572218342601</v>
      </c>
      <c r="Q68" s="4">
        <f t="shared" si="52"/>
        <v>0</v>
      </c>
      <c r="R68" s="4">
        <f t="shared" si="53"/>
        <v>3.0029618409920085</v>
      </c>
      <c r="S68" s="351">
        <f t="shared" si="54"/>
        <v>0.22093560555212577</v>
      </c>
      <c r="T68" s="351">
        <f t="shared" si="55"/>
        <v>0.4</v>
      </c>
      <c r="U68" s="351">
        <f t="shared" si="56"/>
        <v>0.63210801898808477</v>
      </c>
      <c r="V68" s="4">
        <f t="shared" si="36"/>
        <v>0.56149783477241666</v>
      </c>
      <c r="W68" s="351">
        <f t="shared" si="57"/>
        <v>3.1527981845411212E-4</v>
      </c>
      <c r="X68" s="351">
        <f t="shared" si="37"/>
        <v>3.1527981845411212E-4</v>
      </c>
      <c r="Y68" s="4">
        <f t="shared" si="58"/>
        <v>1.2292791335976725</v>
      </c>
      <c r="Z68" s="351">
        <f t="shared" si="12"/>
        <v>1.5111271882986444E-3</v>
      </c>
      <c r="AA68" s="520">
        <f t="shared" si="38"/>
        <v>1.5111271882986444E-3</v>
      </c>
      <c r="AB68" s="351">
        <f t="shared" si="59"/>
        <v>1.3855901213476851</v>
      </c>
      <c r="AC68" s="351">
        <f t="shared" si="60"/>
        <v>2.2078389820327365E-2</v>
      </c>
      <c r="AD68" s="351">
        <f t="shared" si="61"/>
        <v>0.11534584285714287</v>
      </c>
      <c r="AE68" s="351">
        <f t="shared" si="62"/>
        <v>0.53416704000000004</v>
      </c>
      <c r="AF68" s="351">
        <f t="shared" si="63"/>
        <v>0</v>
      </c>
      <c r="AG68" s="351">
        <f t="shared" si="64"/>
        <v>0.67397210770498039</v>
      </c>
      <c r="AH68" s="351">
        <f t="shared" si="65"/>
        <v>2.6641921541206108</v>
      </c>
      <c r="AI68" s="351">
        <f t="shared" si="66"/>
        <v>2.3423135452456806E-2</v>
      </c>
      <c r="AJ68" s="351">
        <f t="shared" si="67"/>
        <v>3.6344000000000001E-2</v>
      </c>
      <c r="AK68" s="351">
        <f t="shared" si="68"/>
        <v>6.0003253460466761E-2</v>
      </c>
      <c r="AL68" s="351">
        <f t="shared" si="69"/>
        <v>3.6344000000000001E-2</v>
      </c>
      <c r="AM68" s="351">
        <f t="shared" si="70"/>
        <v>0.45481920000000009</v>
      </c>
      <c r="AN68" s="351">
        <f t="shared" si="71"/>
        <v>7.2142238547632895E-2</v>
      </c>
      <c r="AO68" s="351">
        <f t="shared" si="72"/>
        <v>8.3999999999999993E-4</v>
      </c>
      <c r="AP68" s="351">
        <f>'Variable Management'!$B$347</f>
        <v>0.41183999999999998</v>
      </c>
      <c r="AQ68" s="351">
        <f t="shared" si="73"/>
        <v>0.36108727954971853</v>
      </c>
      <c r="AR68" s="351">
        <f t="shared" si="74"/>
        <v>0.32603999999999994</v>
      </c>
      <c r="AS68" s="351">
        <f t="shared" si="47"/>
        <v>0.41267999999999999</v>
      </c>
      <c r="AT68" s="351">
        <f t="shared" si="40"/>
        <v>2.3438952257079175</v>
      </c>
      <c r="AU68">
        <f t="shared" si="75"/>
        <v>14.75</v>
      </c>
      <c r="AV68" s="521">
        <f t="shared" si="41"/>
        <v>0.8628811517352184</v>
      </c>
      <c r="AW68" s="530">
        <f t="shared" si="76"/>
        <v>40.914416747609181</v>
      </c>
      <c r="AX68" s="530">
        <f t="shared" si="77"/>
        <v>8.4037435784186716</v>
      </c>
      <c r="AY68" s="9"/>
      <c r="AZ68" s="4">
        <f t="shared" si="42"/>
        <v>86.288115173521845</v>
      </c>
      <c r="BA68" s="351">
        <f t="shared" si="78"/>
        <v>0.63210801898808477</v>
      </c>
      <c r="BB68" s="351">
        <f t="shared" si="43"/>
        <v>1.1887945611654471</v>
      </c>
      <c r="BC68" s="351">
        <f t="shared" si="44"/>
        <v>0.97415277970498049</v>
      </c>
      <c r="BD68" s="351">
        <f t="shared" si="45"/>
        <v>0.2100935894604668</v>
      </c>
      <c r="BE68" s="351">
        <f t="shared" si="46"/>
        <v>7.2142238547632895E-2</v>
      </c>
      <c r="BK68" s="18"/>
      <c r="BL68" s="19"/>
    </row>
    <row r="69" spans="1:64" x14ac:dyDescent="0.25">
      <c r="A69" s="23" t="s">
        <v>78</v>
      </c>
      <c r="B69" s="436">
        <f>1-B68</f>
        <v>0.78260869565217395</v>
      </c>
      <c r="C69" s="21" t="s">
        <v>18</v>
      </c>
      <c r="G69">
        <v>60</v>
      </c>
      <c r="H69" s="527">
        <f t="shared" si="0"/>
        <v>24</v>
      </c>
      <c r="I69" s="4">
        <f t="shared" si="48"/>
        <v>1</v>
      </c>
      <c r="J69" s="351">
        <f t="shared" si="79"/>
        <v>3</v>
      </c>
      <c r="K69" s="4">
        <f t="shared" si="49"/>
        <v>0.69444444444444442</v>
      </c>
      <c r="L69" s="4"/>
      <c r="M69" s="351">
        <f t="shared" si="50"/>
        <v>0.21297453587974535</v>
      </c>
      <c r="N69" s="4">
        <f t="shared" si="51"/>
        <v>1.9456068335784089</v>
      </c>
      <c r="O69" s="4">
        <f t="shared" si="34"/>
        <v>3.9728034167892043</v>
      </c>
      <c r="P69" s="4">
        <f t="shared" si="35"/>
        <v>2.0271965832107957</v>
      </c>
      <c r="Q69" s="4">
        <f t="shared" si="52"/>
        <v>0</v>
      </c>
      <c r="R69" s="4">
        <f t="shared" si="53"/>
        <v>3.0521220206995192</v>
      </c>
      <c r="S69" s="351">
        <f t="shared" si="54"/>
        <v>0.22822849631635345</v>
      </c>
      <c r="T69" s="351">
        <f t="shared" si="55"/>
        <v>0.4</v>
      </c>
      <c r="U69" s="351">
        <f t="shared" si="56"/>
        <v>0.63991219210667405</v>
      </c>
      <c r="V69" s="4">
        <f t="shared" si="36"/>
        <v>0.56164831455183495</v>
      </c>
      <c r="W69" s="351">
        <f t="shared" si="57"/>
        <v>3.1544882923891692E-4</v>
      </c>
      <c r="X69" s="351">
        <f t="shared" si="37"/>
        <v>3.1544882923891692E-4</v>
      </c>
      <c r="Y69" s="4">
        <f t="shared" si="58"/>
        <v>1.2495686608909187</v>
      </c>
      <c r="Z69" s="351">
        <f t="shared" si="12"/>
        <v>1.5614218382807236E-3</v>
      </c>
      <c r="AA69" s="520">
        <f t="shared" si="38"/>
        <v>1.5614218382807236E-3</v>
      </c>
      <c r="AB69" s="351">
        <f t="shared" si="59"/>
        <v>1.4085288037234722</v>
      </c>
      <c r="AC69" s="351">
        <f t="shared" si="60"/>
        <v>2.2815463995564771E-2</v>
      </c>
      <c r="AD69" s="351">
        <f t="shared" si="61"/>
        <v>0.11730085714285714</v>
      </c>
      <c r="AE69" s="351">
        <f t="shared" si="62"/>
        <v>0.53416704000000004</v>
      </c>
      <c r="AF69" s="351">
        <f t="shared" si="63"/>
        <v>0</v>
      </c>
      <c r="AG69" s="351">
        <f t="shared" si="64"/>
        <v>0.67675383357422558</v>
      </c>
      <c r="AH69" s="351">
        <f t="shared" si="65"/>
        <v>2.7076734364247548</v>
      </c>
      <c r="AI69" s="351">
        <f t="shared" si="66"/>
        <v>2.4193934946456795E-2</v>
      </c>
      <c r="AJ69" s="351">
        <f t="shared" si="67"/>
        <v>3.696E-2</v>
      </c>
      <c r="AK69" s="351">
        <f t="shared" si="68"/>
        <v>6.1403514509224148E-2</v>
      </c>
      <c r="AL69" s="351">
        <f t="shared" si="69"/>
        <v>3.696E-2</v>
      </c>
      <c r="AM69" s="351">
        <f t="shared" si="70"/>
        <v>0.46252800000000005</v>
      </c>
      <c r="AN69" s="351">
        <f t="shared" si="71"/>
        <v>7.4523590633911327E-2</v>
      </c>
      <c r="AO69" s="351">
        <f t="shared" si="72"/>
        <v>8.3999999999999993E-4</v>
      </c>
      <c r="AP69" s="351">
        <f>'Variable Management'!$B$347</f>
        <v>0.41183999999999998</v>
      </c>
      <c r="AQ69" s="351">
        <f t="shared" si="73"/>
        <v>0.36108727954971853</v>
      </c>
      <c r="AR69" s="351">
        <f t="shared" si="74"/>
        <v>0.32603999999999994</v>
      </c>
      <c r="AS69" s="351">
        <f t="shared" si="47"/>
        <v>0.41267999999999999</v>
      </c>
      <c r="AT69" s="351">
        <f t="shared" si="40"/>
        <v>2.3666380014915549</v>
      </c>
      <c r="AU69">
        <f t="shared" si="75"/>
        <v>15</v>
      </c>
      <c r="AV69" s="521">
        <f t="shared" si="41"/>
        <v>0.86372503409765933</v>
      </c>
      <c r="AW69" s="530">
        <f t="shared" si="76"/>
        <v>41.244937170117474</v>
      </c>
      <c r="AX69" s="530">
        <f t="shared" si="77"/>
        <v>8.5615101803689679</v>
      </c>
      <c r="AY69" s="9"/>
      <c r="AZ69" s="4">
        <f t="shared" si="42"/>
        <v>86.372503409765926</v>
      </c>
      <c r="BA69" s="351">
        <f t="shared" si="78"/>
        <v>0.63991219210667405</v>
      </c>
      <c r="BB69" s="351">
        <f t="shared" si="43"/>
        <v>1.2006853480834496</v>
      </c>
      <c r="BC69" s="351">
        <f t="shared" si="44"/>
        <v>0.98202231357422565</v>
      </c>
      <c r="BD69" s="351">
        <f t="shared" si="45"/>
        <v>0.21403775450922419</v>
      </c>
      <c r="BE69" s="351">
        <f t="shared" si="46"/>
        <v>7.4523590633911327E-2</v>
      </c>
      <c r="BK69" s="18"/>
      <c r="BL69" s="19"/>
    </row>
    <row r="70" spans="1:64" x14ac:dyDescent="0.25">
      <c r="A70" s="33" t="s">
        <v>206</v>
      </c>
      <c r="B70" s="436">
        <f>Iripple2_Vinnom</f>
        <v>1.9730071898222497</v>
      </c>
      <c r="C70" s="21" t="s">
        <v>1</v>
      </c>
      <c r="G70">
        <v>61</v>
      </c>
      <c r="H70" s="527">
        <f t="shared" si="0"/>
        <v>24</v>
      </c>
      <c r="I70" s="4">
        <f t="shared" si="48"/>
        <v>1</v>
      </c>
      <c r="J70" s="351">
        <f t="shared" si="79"/>
        <v>3.05</v>
      </c>
      <c r="K70" s="4">
        <f t="shared" si="49"/>
        <v>0.70601851851851849</v>
      </c>
      <c r="L70" s="4"/>
      <c r="M70" s="351">
        <f t="shared" si="50"/>
        <v>0.21305188139205847</v>
      </c>
      <c r="N70" s="4">
        <f t="shared" si="51"/>
        <v>1.9461279738260457</v>
      </c>
      <c r="O70" s="4">
        <f t="shared" si="34"/>
        <v>4.0230639869130229</v>
      </c>
      <c r="P70" s="4">
        <f t="shared" si="35"/>
        <v>2.0769360130869767</v>
      </c>
      <c r="Q70" s="4">
        <f t="shared" si="52"/>
        <v>0</v>
      </c>
      <c r="R70" s="4">
        <f t="shared" si="53"/>
        <v>3.1013090527833063</v>
      </c>
      <c r="S70" s="351">
        <f t="shared" si="54"/>
        <v>0.2356438871014544</v>
      </c>
      <c r="T70" s="351">
        <f t="shared" si="55"/>
        <v>0.4</v>
      </c>
      <c r="U70" s="351">
        <f t="shared" si="56"/>
        <v>0.64785696987482022</v>
      </c>
      <c r="V70" s="4">
        <f t="shared" si="36"/>
        <v>0.56179875478296426</v>
      </c>
      <c r="W70" s="351">
        <f t="shared" si="57"/>
        <v>3.1561784087568925E-4</v>
      </c>
      <c r="X70" s="351">
        <f t="shared" si="37"/>
        <v>3.1561784087568925E-4</v>
      </c>
      <c r="Y70" s="4">
        <f t="shared" si="58"/>
        <v>1.269874447599282</v>
      </c>
      <c r="Z70" s="351">
        <f t="shared" si="12"/>
        <v>1.6125811126655816E-3</v>
      </c>
      <c r="AA70" s="520">
        <f t="shared" si="38"/>
        <v>1.6125811126655816E-3</v>
      </c>
      <c r="AB70" s="351">
        <f t="shared" si="59"/>
        <v>1.4314880724089492</v>
      </c>
      <c r="AC70" s="351">
        <f t="shared" si="60"/>
        <v>2.3565318166664521E-2</v>
      </c>
      <c r="AD70" s="351">
        <f t="shared" si="61"/>
        <v>0.11925587142857141</v>
      </c>
      <c r="AE70" s="351">
        <f t="shared" si="62"/>
        <v>0.53416704000000004</v>
      </c>
      <c r="AF70" s="351">
        <f t="shared" si="63"/>
        <v>0</v>
      </c>
      <c r="AG70" s="351">
        <f t="shared" si="64"/>
        <v>0.67955044117227947</v>
      </c>
      <c r="AH70" s="351">
        <f t="shared" si="65"/>
        <v>2.751174247376309</v>
      </c>
      <c r="AI70" s="351">
        <f t="shared" si="66"/>
        <v>2.4977567140107782E-2</v>
      </c>
      <c r="AJ70" s="351">
        <f t="shared" si="67"/>
        <v>3.7575999999999998E-2</v>
      </c>
      <c r="AK70" s="351">
        <f t="shared" si="68"/>
        <v>6.2817162482207436E-2</v>
      </c>
      <c r="AL70" s="351">
        <f t="shared" si="69"/>
        <v>3.7575999999999998E-2</v>
      </c>
      <c r="AM70" s="351">
        <f t="shared" si="70"/>
        <v>0.47023680000000001</v>
      </c>
      <c r="AN70" s="351">
        <f t="shared" si="71"/>
        <v>7.6944942727005514E-2</v>
      </c>
      <c r="AO70" s="351">
        <f t="shared" si="72"/>
        <v>8.3999999999999993E-4</v>
      </c>
      <c r="AP70" s="351">
        <f>'Variable Management'!$B$347</f>
        <v>0.41183999999999998</v>
      </c>
      <c r="AQ70" s="351">
        <f t="shared" si="73"/>
        <v>0.36108727954971853</v>
      </c>
      <c r="AR70" s="351">
        <f t="shared" si="74"/>
        <v>0.32603999999999994</v>
      </c>
      <c r="AS70" s="351">
        <f t="shared" si="47"/>
        <v>0.41267999999999999</v>
      </c>
      <c r="AT70" s="351">
        <f t="shared" si="40"/>
        <v>2.389590515209854</v>
      </c>
      <c r="AU70">
        <f t="shared" si="75"/>
        <v>15.25</v>
      </c>
      <c r="AV70" s="521">
        <f t="shared" si="41"/>
        <v>0.8645325404152997</v>
      </c>
      <c r="AW70" s="530">
        <f t="shared" si="76"/>
        <v>41.576082625235742</v>
      </c>
      <c r="AX70" s="530">
        <f t="shared" si="77"/>
        <v>8.7198122592882967</v>
      </c>
      <c r="AY70" s="9"/>
      <c r="AZ70" s="4">
        <f t="shared" si="42"/>
        <v>86.453254041529974</v>
      </c>
      <c r="BA70" s="351">
        <f t="shared" si="78"/>
        <v>0.64785696987482022</v>
      </c>
      <c r="BB70" s="351">
        <f t="shared" si="43"/>
        <v>1.212604403654487</v>
      </c>
      <c r="BC70" s="351">
        <f t="shared" si="44"/>
        <v>0.98990672917227951</v>
      </c>
      <c r="BD70" s="351">
        <f t="shared" si="45"/>
        <v>0.21799530648220744</v>
      </c>
      <c r="BE70" s="351">
        <f t="shared" si="46"/>
        <v>7.6944942727005514E-2</v>
      </c>
      <c r="BK70" s="18"/>
      <c r="BL70" s="19"/>
    </row>
    <row r="71" spans="1:64" x14ac:dyDescent="0.25">
      <c r="A71" s="14" t="s">
        <v>59</v>
      </c>
      <c r="B71" s="15" t="s">
        <v>7</v>
      </c>
      <c r="C71" s="17" t="s">
        <v>76</v>
      </c>
      <c r="G71">
        <v>62</v>
      </c>
      <c r="H71" s="527">
        <f t="shared" si="0"/>
        <v>24</v>
      </c>
      <c r="I71" s="4">
        <f t="shared" si="48"/>
        <v>1</v>
      </c>
      <c r="J71" s="351">
        <f t="shared" si="79"/>
        <v>3.1</v>
      </c>
      <c r="K71" s="4">
        <f t="shared" si="49"/>
        <v>0.71759259259259256</v>
      </c>
      <c r="L71" s="4"/>
      <c r="M71" s="351">
        <f t="shared" si="50"/>
        <v>0.21312922664657988</v>
      </c>
      <c r="N71" s="4">
        <f t="shared" si="51"/>
        <v>1.946648977075077</v>
      </c>
      <c r="O71" s="4">
        <f t="shared" si="34"/>
        <v>4.0733244885375388</v>
      </c>
      <c r="P71" s="4">
        <f t="shared" si="35"/>
        <v>2.1266755114624614</v>
      </c>
      <c r="Q71" s="4">
        <f t="shared" si="52"/>
        <v>0</v>
      </c>
      <c r="R71" s="4">
        <f t="shared" si="53"/>
        <v>3.1505216795522855</v>
      </c>
      <c r="S71" s="351">
        <f t="shared" si="54"/>
        <v>0.24318177790655934</v>
      </c>
      <c r="T71" s="351">
        <f t="shared" si="55"/>
        <v>0.4</v>
      </c>
      <c r="U71" s="351">
        <f t="shared" si="56"/>
        <v>0.65594284570035954</v>
      </c>
      <c r="V71" s="4">
        <f t="shared" si="36"/>
        <v>0.56194915546600266</v>
      </c>
      <c r="W71" s="351">
        <f t="shared" si="57"/>
        <v>3.1578685332895364E-4</v>
      </c>
      <c r="X71" s="351">
        <f t="shared" si="37"/>
        <v>3.1578685332895364E-4</v>
      </c>
      <c r="Y71" s="4">
        <f t="shared" si="58"/>
        <v>1.2901959798280218</v>
      </c>
      <c r="Z71" s="351">
        <f t="shared" si="12"/>
        <v>1.6646056663643894E-3</v>
      </c>
      <c r="AA71" s="520">
        <f t="shared" si="38"/>
        <v>1.6646056663643894E-3</v>
      </c>
      <c r="AB71" s="351">
        <f t="shared" si="59"/>
        <v>1.4544673512694568</v>
      </c>
      <c r="AC71" s="351">
        <f t="shared" si="60"/>
        <v>2.432796567295108E-2</v>
      </c>
      <c r="AD71" s="351">
        <f t="shared" si="61"/>
        <v>0.12121088571428573</v>
      </c>
      <c r="AE71" s="351">
        <f t="shared" si="62"/>
        <v>0.53416704000000004</v>
      </c>
      <c r="AF71" s="351">
        <f t="shared" si="63"/>
        <v>0</v>
      </c>
      <c r="AG71" s="351">
        <f t="shared" si="64"/>
        <v>0.68236196795249693</v>
      </c>
      <c r="AH71" s="351">
        <f t="shared" si="65"/>
        <v>2.7946934675237936</v>
      </c>
      <c r="AI71" s="351">
        <f t="shared" si="66"/>
        <v>2.5774028205486542E-2</v>
      </c>
      <c r="AJ71" s="351">
        <f t="shared" si="67"/>
        <v>3.8191999999999997E-2</v>
      </c>
      <c r="AK71" s="351">
        <f t="shared" si="68"/>
        <v>6.4244207986304466E-2</v>
      </c>
      <c r="AL71" s="351">
        <f t="shared" si="69"/>
        <v>3.8191999999999997E-2</v>
      </c>
      <c r="AM71" s="351">
        <f t="shared" si="70"/>
        <v>0.47794560000000014</v>
      </c>
      <c r="AN71" s="351">
        <f t="shared" si="71"/>
        <v>7.9406294826631627E-2</v>
      </c>
      <c r="AO71" s="351">
        <f t="shared" si="72"/>
        <v>8.3999999999999993E-4</v>
      </c>
      <c r="AP71" s="351">
        <f>'Variable Management'!$B$347</f>
        <v>0.41183999999999998</v>
      </c>
      <c r="AQ71" s="351">
        <f t="shared" si="73"/>
        <v>0.36108727954971853</v>
      </c>
      <c r="AR71" s="351">
        <f t="shared" si="74"/>
        <v>0.32603999999999994</v>
      </c>
      <c r="AS71" s="351">
        <f t="shared" si="47"/>
        <v>0.41267999999999999</v>
      </c>
      <c r="AT71" s="351">
        <f t="shared" si="40"/>
        <v>2.412753308985486</v>
      </c>
      <c r="AU71">
        <f t="shared" si="75"/>
        <v>15.5</v>
      </c>
      <c r="AV71" s="521">
        <f t="shared" si="41"/>
        <v>0.86530527901731391</v>
      </c>
      <c r="AW71" s="530">
        <f t="shared" si="76"/>
        <v>41.907854686004875</v>
      </c>
      <c r="AX71" s="530">
        <f t="shared" si="77"/>
        <v>8.8786502394521811</v>
      </c>
      <c r="AY71" s="9"/>
      <c r="AZ71" s="4">
        <f t="shared" si="42"/>
        <v>86.530527901731389</v>
      </c>
      <c r="BA71" s="351">
        <f t="shared" si="78"/>
        <v>0.65594284570035954</v>
      </c>
      <c r="BB71" s="351">
        <f t="shared" si="43"/>
        <v>1.2245517759388016</v>
      </c>
      <c r="BC71" s="351">
        <f t="shared" si="44"/>
        <v>0.99780606395249705</v>
      </c>
      <c r="BD71" s="351">
        <f t="shared" si="45"/>
        <v>0.22196625598630454</v>
      </c>
      <c r="BE71" s="351">
        <f t="shared" si="46"/>
        <v>7.9406294826631627E-2</v>
      </c>
      <c r="BK71" s="18"/>
      <c r="BL71" s="19"/>
    </row>
    <row r="72" spans="1:64" x14ac:dyDescent="0.25">
      <c r="A72" s="32" t="s">
        <v>88</v>
      </c>
      <c r="B72" s="437">
        <f>(Qgd_Q3+Qgs_Q3/2)*(RdsonDRT+Rgate3)/(VCC-0.5-Vsp_Q3)*1000000000</f>
        <v>6.7916129032258059</v>
      </c>
      <c r="C72" s="21" t="s">
        <v>75</v>
      </c>
      <c r="D72" s="112" t="s">
        <v>496</v>
      </c>
      <c r="G72">
        <v>63</v>
      </c>
      <c r="H72" s="527">
        <f t="shared" si="0"/>
        <v>24</v>
      </c>
      <c r="I72" s="4">
        <f t="shared" si="48"/>
        <v>1</v>
      </c>
      <c r="J72" s="351">
        <f t="shared" si="79"/>
        <v>3.15</v>
      </c>
      <c r="K72" s="4">
        <f t="shared" si="49"/>
        <v>0.72916666666666663</v>
      </c>
      <c r="L72" s="4"/>
      <c r="M72" s="351">
        <f t="shared" si="50"/>
        <v>0.21320657164331078</v>
      </c>
      <c r="N72" s="4">
        <f t="shared" si="51"/>
        <v>1.9471698433261864</v>
      </c>
      <c r="O72" s="4">
        <f t="shared" si="34"/>
        <v>4.1235849216630935</v>
      </c>
      <c r="P72" s="4">
        <f t="shared" si="35"/>
        <v>2.1764150783369067</v>
      </c>
      <c r="Q72" s="4">
        <f t="shared" si="52"/>
        <v>0</v>
      </c>
      <c r="R72" s="4">
        <f t="shared" si="53"/>
        <v>3.1997587200542545</v>
      </c>
      <c r="S72" s="351">
        <f t="shared" si="54"/>
        <v>0.2508421687307994</v>
      </c>
      <c r="T72" s="351">
        <f t="shared" si="55"/>
        <v>0.4</v>
      </c>
      <c r="U72" s="351">
        <f t="shared" si="56"/>
        <v>0.66417032266225839</v>
      </c>
      <c r="V72" s="4">
        <f t="shared" si="36"/>
        <v>0.56209951660114754</v>
      </c>
      <c r="W72" s="351">
        <f t="shared" si="57"/>
        <v>3.1595586656324378E-4</v>
      </c>
      <c r="X72" s="351">
        <f t="shared" si="37"/>
        <v>3.1595586656324378E-4</v>
      </c>
      <c r="Y72" s="4">
        <f t="shared" si="58"/>
        <v>1.3105327748381872</v>
      </c>
      <c r="Z72" s="351">
        <f t="shared" si="12"/>
        <v>1.7174961539250786E-3</v>
      </c>
      <c r="AA72" s="520">
        <f t="shared" si="38"/>
        <v>1.7174961539250786E-3</v>
      </c>
      <c r="AB72" s="351">
        <f t="shared" si="59"/>
        <v>1.4774660991817348</v>
      </c>
      <c r="AC72" s="351">
        <f t="shared" si="60"/>
        <v>2.5103419853659856E-2</v>
      </c>
      <c r="AD72" s="351">
        <f t="shared" si="61"/>
        <v>0.12316589999999998</v>
      </c>
      <c r="AE72" s="351">
        <f t="shared" si="62"/>
        <v>0.53416704000000004</v>
      </c>
      <c r="AF72" s="351">
        <f t="shared" si="63"/>
        <v>0</v>
      </c>
      <c r="AG72" s="351">
        <f t="shared" si="64"/>
        <v>0.68518845159434016</v>
      </c>
      <c r="AH72" s="351">
        <f t="shared" si="65"/>
        <v>2.8382300457031229</v>
      </c>
      <c r="AI72" s="351">
        <f t="shared" si="66"/>
        <v>2.6583314314695437E-2</v>
      </c>
      <c r="AJ72" s="351">
        <f t="shared" si="67"/>
        <v>3.8807999999999995E-2</v>
      </c>
      <c r="AK72" s="351">
        <f t="shared" si="68"/>
        <v>6.5684661804442962E-2</v>
      </c>
      <c r="AL72" s="351">
        <f t="shared" si="69"/>
        <v>3.8807999999999995E-2</v>
      </c>
      <c r="AM72" s="351">
        <f t="shared" si="70"/>
        <v>0.48565440000000004</v>
      </c>
      <c r="AN72" s="351">
        <f t="shared" si="71"/>
        <v>8.1907646932505934E-2</v>
      </c>
      <c r="AO72" s="351">
        <f t="shared" si="72"/>
        <v>8.3999999999999993E-4</v>
      </c>
      <c r="AP72" s="351">
        <f>'Variable Management'!$B$347</f>
        <v>0.41183999999999998</v>
      </c>
      <c r="AQ72" s="351">
        <f t="shared" si="73"/>
        <v>0.36108727954971853</v>
      </c>
      <c r="AR72" s="351">
        <f t="shared" si="74"/>
        <v>0.32603999999999994</v>
      </c>
      <c r="AS72" s="351">
        <f t="shared" si="47"/>
        <v>0.41267999999999999</v>
      </c>
      <c r="AT72" s="351">
        <f t="shared" si="40"/>
        <v>2.4361269350140358</v>
      </c>
      <c r="AU72">
        <f t="shared" si="75"/>
        <v>15.75</v>
      </c>
      <c r="AV72" s="521">
        <f t="shared" si="41"/>
        <v>0.86604476347716874</v>
      </c>
      <c r="AW72" s="530">
        <f t="shared" si="76"/>
        <v>42.240254934962287</v>
      </c>
      <c r="AX72" s="530">
        <f t="shared" si="77"/>
        <v>9.0380245521777187</v>
      </c>
      <c r="AY72" s="9"/>
      <c r="AZ72" s="4">
        <f t="shared" si="42"/>
        <v>86.604476347716869</v>
      </c>
      <c r="BA72" s="351">
        <f t="shared" si="78"/>
        <v>0.66417032266225839</v>
      </c>
      <c r="BB72" s="351">
        <f t="shared" si="43"/>
        <v>1.2365275133987832</v>
      </c>
      <c r="BC72" s="351">
        <f t="shared" si="44"/>
        <v>1.0057203555943401</v>
      </c>
      <c r="BD72" s="351">
        <f t="shared" si="45"/>
        <v>0.22595061380444298</v>
      </c>
      <c r="BE72" s="351">
        <f t="shared" si="46"/>
        <v>8.1907646932505934E-2</v>
      </c>
      <c r="BK72" s="18"/>
      <c r="BL72" s="19"/>
    </row>
    <row r="73" spans="1:64" x14ac:dyDescent="0.25">
      <c r="A73" s="33" t="s">
        <v>89</v>
      </c>
      <c r="B73" s="437">
        <f>(Qgd_Q3+Qgs_Q3/2)*(RdsonDRT2+Rgate3)/(Vsp_Q3)*1000000000</f>
        <v>2.3925000000000001</v>
      </c>
      <c r="C73" s="21" t="s">
        <v>75</v>
      </c>
      <c r="D73" s="112" t="s">
        <v>497</v>
      </c>
      <c r="G73">
        <v>64</v>
      </c>
      <c r="H73" s="527">
        <f t="shared" ref="H73:H109" si="80">Vin</f>
        <v>24</v>
      </c>
      <c r="I73" s="4">
        <f t="shared" ref="I73:I109" si="81">MODE</f>
        <v>1</v>
      </c>
      <c r="J73" s="351">
        <f t="shared" si="79"/>
        <v>3.2</v>
      </c>
      <c r="K73" s="4">
        <f t="shared" ref="K73:K104" si="82">Vout2*J73/(Vin*Efficiency)</f>
        <v>0.7407407407407407</v>
      </c>
      <c r="L73" s="4"/>
      <c r="M73" s="351">
        <f t="shared" ref="M73:M109" si="83">(Vout2+(Rdson4+Rs+Rdcr)*J73)/(Vin+(Rs+Rdson2-Rdson1)*J73)</f>
        <v>0.21328391638225258</v>
      </c>
      <c r="N73" s="4">
        <f t="shared" ref="N73:N104" si="84">(Vin-(Rdson3+Rdcr2)*J73-Vout2)*M73/(Fsw*Lo_2)</f>
        <v>1.9476905725800595</v>
      </c>
      <c r="O73" s="4">
        <f t="shared" si="34"/>
        <v>4.1738452862900299</v>
      </c>
      <c r="P73" s="4">
        <f t="shared" si="35"/>
        <v>2.2261547137099704</v>
      </c>
      <c r="Q73" s="4">
        <f t="shared" ref="Q73:Q104" si="85">IF(MIN(Vin, -P73/(Coss_Q3+Coss_Q4)*0.00000002)&lt;0, 0, MIN(Vin, -P73/(Coss_Q3+Coss_Q4)*0.00000002))</f>
        <v>0</v>
      </c>
      <c r="R73" s="4">
        <f t="shared" ref="R73:R109" si="86">SQRT(J73^2+(N73^2)/12)</f>
        <v>3.2490190643551333</v>
      </c>
      <c r="S73" s="351">
        <f t="shared" ref="S73:S104" si="87">R73^2*Rdcr2</f>
        <v>0.25862505957330612</v>
      </c>
      <c r="T73" s="351">
        <f t="shared" ref="T73:T109" si="88">Core_Loss_Ch2</f>
        <v>0.4</v>
      </c>
      <c r="U73" s="351">
        <f t="shared" ref="U73:U104" si="89">(T73+S73*(1+Ltc*(Ta-25)))/(1-S73*Ltc*ThetaCa)</f>
        <v>0.6725399135907324</v>
      </c>
      <c r="V73" s="4">
        <f t="shared" si="36"/>
        <v>0.56224983818859686</v>
      </c>
      <c r="W73" s="351">
        <f t="shared" ref="W73:W104" si="90">Cout2_ESR*V73^2</f>
        <v>3.1612488054310337E-4</v>
      </c>
      <c r="X73" s="351">
        <f t="shared" si="37"/>
        <v>3.1612488054310337E-4</v>
      </c>
      <c r="Y73" s="4">
        <f t="shared" ref="Y73:Y109" si="91">SQRT(M73*(1-M73))*SQRT(J73^2+(N73^2)/12)</f>
        <v>1.3308843787242983</v>
      </c>
      <c r="Z73" s="351">
        <f t="shared" si="12"/>
        <v>1.7712532295323616E-3</v>
      </c>
      <c r="AA73" s="520">
        <f t="shared" si="38"/>
        <v>1.7712532295323616E-3</v>
      </c>
      <c r="AB73" s="351">
        <f t="shared" ref="AB73:AB109" si="92">SQRT(M73)*SQRT(J73^2+(N73^2)/12)</f>
        <v>1.5004838074242495</v>
      </c>
      <c r="AC73" s="351">
        <f t="shared" ref="AC73:AC104" si="93">Rdson3*AB73^2</f>
        <v>2.5891694047937282E-2</v>
      </c>
      <c r="AD73" s="351">
        <f t="shared" ref="AD73:AD109" si="94">(Vin*J73/2)*Fsw*(Tr_Ch2+Tf_Ch2)</f>
        <v>0.12512091428571431</v>
      </c>
      <c r="AE73" s="351">
        <f t="shared" ref="AE73:AE109" si="95">(0.5*Coss_Q3*(Vin-Q73)^2-0.5*Coss_Q4*(Vin-Q73)^2+(Qoss_Q4*(Vin-Q73)/Vin)*Vin)*Fsw</f>
        <v>0.53416704000000004</v>
      </c>
      <c r="AF73" s="351">
        <f t="shared" ref="AF73:AF109" si="96">IF(J73&gt;N73/2,0,ABS(J73-N73/2)*Vsd_Q3*Deadtime1*Fsw)</f>
        <v>0</v>
      </c>
      <c r="AG73" s="351">
        <f t="shared" ref="AG73:AG104" si="97">(AF73+AE73+AD73+AC73*(1+RdsonTopTc*Ta-RdsonTopTc*25))/(1-AC73*RdsonTopTc*ThetaJA_Q2)</f>
        <v>0.6880299300046121</v>
      </c>
      <c r="AH73" s="351">
        <f t="shared" ref="AH73:AH109" si="98">SQRT((1-M73))*SQRT(J73^2+(N73^2)/12)</f>
        <v>2.8817829939467567</v>
      </c>
      <c r="AI73" s="351">
        <f t="shared" ref="AI73:AI104" si="99">Rdson4*AH73^2</f>
        <v>2.7405421639862423E-2</v>
      </c>
      <c r="AJ73" s="351">
        <f t="shared" ref="AJ73:AJ109" si="100">IF(J73&lt;N73/2,Deadtime1*Fsw*IF(VfdSky_Q4&gt;0,0,Vsd_Q4)*(J73+N73/2),2*Deadtime1*Fsw*IF(VfdSky_Q4&gt;0,0,Vsd_Q4)*J73)</f>
        <v>3.9424000000000001E-2</v>
      </c>
      <c r="AK73" s="351">
        <f t="shared" ref="AK73:AK104" si="101">(AJ73+AI73*(1+RdsonBotTc*Ta-RdsonBotTc*25))/(1-AI73*RdsonBotTc*ThetaJA_Q3)</f>
        <v>6.713853489585582E-2</v>
      </c>
      <c r="AL73" s="351">
        <f t="shared" ref="AL73:AL109" si="102">2*Deadtime1*Fsw*IF(VfdSky_Q4&gt;0,VfdSky_Q4,Vsd_Q4)*J73</f>
        <v>3.9424000000000001E-2</v>
      </c>
      <c r="AM73" s="351">
        <f t="shared" ref="AM73:AM109" si="103">IF(QrrSky_Q4&gt;0,QrrSky_Q4,Qrr_Q4*J73/Iout2)*Fsw*Vin</f>
        <v>0.4933632</v>
      </c>
      <c r="AN73" s="351">
        <f t="shared" ref="AN73:AN109" si="104">CHOOSE(SENSING_TYPE, Rs_Ch2*R73^2, 0)</f>
        <v>8.4448999044344844E-2</v>
      </c>
      <c r="AO73" s="351">
        <f t="shared" ref="AO73:AO109" si="105">Iq*Vin</f>
        <v>8.3999999999999993E-4</v>
      </c>
      <c r="AP73" s="351">
        <f>'Variable Management'!$B$347</f>
        <v>0.41183999999999998</v>
      </c>
      <c r="AQ73" s="351">
        <f t="shared" ref="AQ73:AQ109" si="106">(Vin-VCC)*Fsw*(Qg_Q3+Qg_Q4)+(RdsonDRT+RdsonDRT2)*Fsw*Qg_Q3*VCC/(RdsonDRT+2*Rgate3+RdsonDRT2)+(RdsonDRB+RdsonDRB2)*Fsw*Qg_Q4*VCC/(RdsonDRB+2*Rgate4+RdsonDRB2)</f>
        <v>0.36108727954971853</v>
      </c>
      <c r="AR73" s="351">
        <f t="shared" ref="AR73:AR109" si="107">(Qg_Q3+Qg_Q4)*Fsw*(Vin-VCC)</f>
        <v>0.32603999999999994</v>
      </c>
      <c r="AS73" s="351">
        <f t="shared" si="47"/>
        <v>0.41267999999999999</v>
      </c>
      <c r="AT73" s="351">
        <f t="shared" si="40"/>
        <v>2.45971195564562</v>
      </c>
      <c r="AU73">
        <f t="shared" ref="AU73:AU109" si="108">Vout2*J73</f>
        <v>16</v>
      </c>
      <c r="AV73" s="521">
        <f t="shared" si="41"/>
        <v>0.86675241945509585</v>
      </c>
      <c r="AW73" s="530">
        <f t="shared" ref="AW73:AW109" si="109">ThetaJA_Q1*BC73</f>
        <v>42.573284964193711</v>
      </c>
      <c r="AX73" s="530">
        <f t="shared" ref="AX73:AX109" si="110">ThetaJA_Q2*BD73</f>
        <v>9.1979356358342343</v>
      </c>
      <c r="AY73" s="9"/>
      <c r="AZ73" s="4">
        <f t="shared" si="42"/>
        <v>86.675241945509583</v>
      </c>
      <c r="BA73" s="351">
        <f t="shared" ref="BA73:BA109" si="111">U73</f>
        <v>0.6725399135907324</v>
      </c>
      <c r="BB73" s="351">
        <f t="shared" si="43"/>
        <v>1.2485316649004679</v>
      </c>
      <c r="BC73" s="351">
        <f t="shared" si="44"/>
        <v>1.0136496420046122</v>
      </c>
      <c r="BD73" s="351">
        <f t="shared" si="45"/>
        <v>0.22994839089585584</v>
      </c>
      <c r="BE73" s="351">
        <f t="shared" si="46"/>
        <v>8.4448999044344844E-2</v>
      </c>
      <c r="BK73" s="18"/>
      <c r="BL73" s="19"/>
    </row>
    <row r="74" spans="1:64" x14ac:dyDescent="0.25">
      <c r="A74" s="14" t="s">
        <v>114</v>
      </c>
      <c r="B74" s="15" t="s">
        <v>7</v>
      </c>
      <c r="C74" s="17" t="s">
        <v>76</v>
      </c>
      <c r="G74">
        <v>65</v>
      </c>
      <c r="H74" s="527">
        <f t="shared" si="80"/>
        <v>24</v>
      </c>
      <c r="I74" s="4">
        <f t="shared" si="81"/>
        <v>1</v>
      </c>
      <c r="J74" s="351">
        <f t="shared" ref="J74:J109" si="112">Iout2*G74/100</f>
        <v>3.25</v>
      </c>
      <c r="K74" s="4">
        <f t="shared" si="82"/>
        <v>0.75231481481481477</v>
      </c>
      <c r="L74" s="4"/>
      <c r="M74" s="351">
        <f t="shared" si="83"/>
        <v>0.21336126086340645</v>
      </c>
      <c r="N74" s="4">
        <f t="shared" si="84"/>
        <v>1.948211164837381</v>
      </c>
      <c r="O74" s="4">
        <f t="shared" ref="O74:O109" si="113">J74+N74/2</f>
        <v>4.2241055824186908</v>
      </c>
      <c r="P74" s="4">
        <f t="shared" ref="P74:P109" si="114">J74-N74/2</f>
        <v>2.2758944175813096</v>
      </c>
      <c r="Q74" s="4">
        <f t="shared" si="85"/>
        <v>0</v>
      </c>
      <c r="R74" s="4">
        <f t="shared" si="86"/>
        <v>3.2983016683185737</v>
      </c>
      <c r="S74" s="351">
        <f t="shared" si="87"/>
        <v>0.26653045043321066</v>
      </c>
      <c r="T74" s="351">
        <f t="shared" si="88"/>
        <v>0.4</v>
      </c>
      <c r="U74" s="351">
        <f t="shared" si="89"/>
        <v>0.68105214114912915</v>
      </c>
      <c r="V74" s="4">
        <f t="shared" ref="V74:V109" si="115">N74/SQRT(12)</f>
        <v>0.56240012022854813</v>
      </c>
      <c r="W74" s="351">
        <f t="shared" si="90"/>
        <v>3.1629389523308541E-4</v>
      </c>
      <c r="X74" s="351">
        <f t="shared" ref="X74:X109" si="116">W74</f>
        <v>3.1629389523308541E-4</v>
      </c>
      <c r="Y74" s="4">
        <f t="shared" si="91"/>
        <v>1.3512503642951281</v>
      </c>
      <c r="Z74" s="351">
        <f t="shared" ref="Z74:Z109" si="117">RCinEsr*Y74^2</f>
        <v>1.8258775470077165E-3</v>
      </c>
      <c r="AA74" s="520">
        <f t="shared" ref="AA74:AA109" si="118">Z74</f>
        <v>1.8258775470077165E-3</v>
      </c>
      <c r="AB74" s="351">
        <f t="shared" si="92"/>
        <v>1.5235199972957558</v>
      </c>
      <c r="AC74" s="351">
        <f t="shared" si="93"/>
        <v>2.6692801594840689E-2</v>
      </c>
      <c r="AD74" s="351">
        <f t="shared" si="94"/>
        <v>0.12707592857142858</v>
      </c>
      <c r="AE74" s="351">
        <f t="shared" si="95"/>
        <v>0.53416704000000004</v>
      </c>
      <c r="AF74" s="351">
        <f t="shared" si="96"/>
        <v>0</v>
      </c>
      <c r="AG74" s="351">
        <f t="shared" si="97"/>
        <v>0.69088644131869903</v>
      </c>
      <c r="AH74" s="351">
        <f t="shared" si="98"/>
        <v>2.9253513828381417</v>
      </c>
      <c r="AI74" s="351">
        <f t="shared" si="99"/>
        <v>2.8240346353140992E-2</v>
      </c>
      <c r="AJ74" s="351">
        <f t="shared" si="100"/>
        <v>4.0039999999999999E-2</v>
      </c>
      <c r="AK74" s="351">
        <f t="shared" si="101"/>
        <v>6.8605838396351967E-2</v>
      </c>
      <c r="AL74" s="351">
        <f t="shared" si="102"/>
        <v>4.0039999999999999E-2</v>
      </c>
      <c r="AM74" s="351">
        <f t="shared" si="103"/>
        <v>0.50107199999999996</v>
      </c>
      <c r="AN74" s="351">
        <f t="shared" si="104"/>
        <v>8.7030351161864708E-2</v>
      </c>
      <c r="AO74" s="351">
        <f t="shared" si="105"/>
        <v>8.3999999999999993E-4</v>
      </c>
      <c r="AP74" s="351">
        <f>'Variable Management'!$B$347</f>
        <v>0.41183999999999998</v>
      </c>
      <c r="AQ74" s="351">
        <f t="shared" si="106"/>
        <v>0.36108727954971853</v>
      </c>
      <c r="AR74" s="351">
        <f t="shared" si="107"/>
        <v>0.32603999999999994</v>
      </c>
      <c r="AS74" s="351">
        <f t="shared" si="47"/>
        <v>0.41267999999999999</v>
      </c>
      <c r="AT74" s="351">
        <f t="shared" ref="AT74:AT109" si="119">SUM(U74,X74,AA74,AG74,AK74,AL74,AM74,AS74,AN74)</f>
        <v>2.4835089434682858</v>
      </c>
      <c r="AU74">
        <f t="shared" si="108"/>
        <v>16.25</v>
      </c>
      <c r="AV74" s="521">
        <f t="shared" ref="AV74:AV109" si="120">AU74/(AU74+AT74)</f>
        <v>0.86742959095582572</v>
      </c>
      <c r="AW74" s="530">
        <f t="shared" si="109"/>
        <v>42.90694637538536</v>
      </c>
      <c r="AX74" s="530">
        <f t="shared" si="110"/>
        <v>9.3583839358540786</v>
      </c>
      <c r="AY74" s="9"/>
      <c r="AZ74" s="4">
        <f t="shared" ref="AZ74:AZ109" si="121">AV74*100</f>
        <v>86.742959095582577</v>
      </c>
      <c r="BA74" s="351">
        <f t="shared" si="111"/>
        <v>0.68105214114912915</v>
      </c>
      <c r="BB74" s="351">
        <f t="shared" ref="BB74:BB109" si="122">AG74+AK74+AM74</f>
        <v>1.2605642797150509</v>
      </c>
      <c r="BC74" s="351">
        <f t="shared" ref="BC74:BC109" si="123">AG74+AM74*0.66</f>
        <v>1.0215939613186991</v>
      </c>
      <c r="BD74" s="351">
        <f t="shared" ref="BD74:BD109" si="124">AK74+AM74*0.33</f>
        <v>0.23395959839635194</v>
      </c>
      <c r="BE74" s="351">
        <f t="shared" ref="BE74:BE109" si="125">AN74</f>
        <v>8.7030351161864708E-2</v>
      </c>
      <c r="BK74" s="18"/>
      <c r="BL74" s="19"/>
    </row>
    <row r="75" spans="1:64" x14ac:dyDescent="0.25">
      <c r="A75" s="34" t="s">
        <v>115</v>
      </c>
      <c r="B75" s="576">
        <f>AS9</f>
        <v>0.41267999999999999</v>
      </c>
      <c r="C75" s="76" t="s">
        <v>116</v>
      </c>
      <c r="G75">
        <v>66</v>
      </c>
      <c r="H75" s="527">
        <f t="shared" si="80"/>
        <v>24</v>
      </c>
      <c r="I75" s="4">
        <f t="shared" si="81"/>
        <v>1</v>
      </c>
      <c r="J75" s="351">
        <f t="shared" si="112"/>
        <v>3.3</v>
      </c>
      <c r="K75" s="4">
        <f t="shared" si="82"/>
        <v>0.76388888888888884</v>
      </c>
      <c r="L75" s="4"/>
      <c r="M75" s="351">
        <f t="shared" si="83"/>
        <v>0.21343860508677381</v>
      </c>
      <c r="N75" s="4">
        <f t="shared" si="84"/>
        <v>1.9487316200988363</v>
      </c>
      <c r="O75" s="4">
        <f t="shared" si="113"/>
        <v>4.2743658100494182</v>
      </c>
      <c r="P75" s="4">
        <f t="shared" si="114"/>
        <v>2.3256341899505815</v>
      </c>
      <c r="Q75" s="4">
        <f t="shared" si="85"/>
        <v>0</v>
      </c>
      <c r="R75" s="4">
        <f t="shared" si="86"/>
        <v>3.3476055488360261</v>
      </c>
      <c r="S75" s="351">
        <f t="shared" si="87"/>
        <v>0.27455834130964496</v>
      </c>
      <c r="T75" s="351">
        <f t="shared" si="88"/>
        <v>0.4</v>
      </c>
      <c r="U75" s="351">
        <f t="shared" si="89"/>
        <v>0.6897075379175982</v>
      </c>
      <c r="V75" s="4">
        <f t="shared" si="115"/>
        <v>0.5625503627211994</v>
      </c>
      <c r="W75" s="351">
        <f t="shared" si="90"/>
        <v>3.1646291059775301E-4</v>
      </c>
      <c r="X75" s="351">
        <f t="shared" si="116"/>
        <v>3.1646291059775301E-4</v>
      </c>
      <c r="Y75" s="4">
        <f t="shared" si="91"/>
        <v>1.3716303291373417</v>
      </c>
      <c r="Z75" s="351">
        <f t="shared" si="117"/>
        <v>1.8813697598094124E-3</v>
      </c>
      <c r="AA75" s="520">
        <f t="shared" si="118"/>
        <v>1.8813697598094124E-3</v>
      </c>
      <c r="AB75" s="351">
        <f t="shared" si="92"/>
        <v>1.5465742179393305</v>
      </c>
      <c r="AC75" s="351">
        <f t="shared" si="93"/>
        <v>2.7506755833338493E-2</v>
      </c>
      <c r="AD75" s="351">
        <f t="shared" si="94"/>
        <v>0.12903094285714284</v>
      </c>
      <c r="AE75" s="351">
        <f t="shared" si="95"/>
        <v>0.53416704000000004</v>
      </c>
      <c r="AF75" s="351">
        <f t="shared" si="96"/>
        <v>0</v>
      </c>
      <c r="AG75" s="351">
        <f t="shared" si="97"/>
        <v>0.69375802390182317</v>
      </c>
      <c r="AH75" s="351">
        <f t="shared" si="98"/>
        <v>2.9689343372670103</v>
      </c>
      <c r="AI75" s="351">
        <f t="shared" si="99"/>
        <v>2.9088084626710236E-2</v>
      </c>
      <c r="AJ75" s="351">
        <f t="shared" si="100"/>
        <v>4.0655999999999998E-2</v>
      </c>
      <c r="AK75" s="351">
        <f t="shared" si="101"/>
        <v>7.0086583618593337E-2</v>
      </c>
      <c r="AL75" s="351">
        <f t="shared" si="102"/>
        <v>4.0655999999999998E-2</v>
      </c>
      <c r="AM75" s="351">
        <f t="shared" si="103"/>
        <v>0.50878079999999992</v>
      </c>
      <c r="AN75" s="351">
        <f t="shared" si="104"/>
        <v>8.9651703284782017E-2</v>
      </c>
      <c r="AO75" s="351">
        <f t="shared" si="105"/>
        <v>8.3999999999999993E-4</v>
      </c>
      <c r="AP75" s="351">
        <f>'Variable Management'!$B$347</f>
        <v>0.41183999999999998</v>
      </c>
      <c r="AQ75" s="351">
        <f t="shared" si="106"/>
        <v>0.36108727954971853</v>
      </c>
      <c r="AR75" s="351">
        <f t="shared" si="107"/>
        <v>0.32603999999999994</v>
      </c>
      <c r="AS75" s="351">
        <f t="shared" ref="AS75:AS109" si="126">SUM(AO75:AP75)</f>
        <v>0.41267999999999999</v>
      </c>
      <c r="AT75" s="351">
        <f t="shared" si="119"/>
        <v>2.5075184813932037</v>
      </c>
      <c r="AU75">
        <f t="shared" si="108"/>
        <v>16.5</v>
      </c>
      <c r="AV75" s="521">
        <f t="shared" si="120"/>
        <v>0.86807754605905763</v>
      </c>
      <c r="AW75" s="530">
        <f t="shared" si="109"/>
        <v>43.241240779876577</v>
      </c>
      <c r="AX75" s="530">
        <f t="shared" si="110"/>
        <v>9.5193699047437335</v>
      </c>
      <c r="AY75" s="9"/>
      <c r="AZ75" s="4">
        <f t="shared" si="121"/>
        <v>86.807754605905757</v>
      </c>
      <c r="BA75" s="351">
        <f t="shared" si="111"/>
        <v>0.6897075379175982</v>
      </c>
      <c r="BB75" s="351">
        <f t="shared" si="122"/>
        <v>1.2726254075204164</v>
      </c>
      <c r="BC75" s="351">
        <f t="shared" si="123"/>
        <v>1.0295533519018232</v>
      </c>
      <c r="BD75" s="351">
        <f t="shared" si="124"/>
        <v>0.23798424761859333</v>
      </c>
      <c r="BE75" s="351">
        <f t="shared" si="125"/>
        <v>8.9651703284782017E-2</v>
      </c>
      <c r="BK75" s="18"/>
      <c r="BL75" s="19"/>
    </row>
    <row r="76" spans="1:64" x14ac:dyDescent="0.25">
      <c r="A76" s="34" t="s">
        <v>119</v>
      </c>
      <c r="B76" s="577">
        <f>B75*B62</f>
        <v>12.3804</v>
      </c>
      <c r="C76" s="427" t="s">
        <v>453</v>
      </c>
      <c r="G76">
        <v>67</v>
      </c>
      <c r="H76" s="527">
        <f t="shared" si="80"/>
        <v>24</v>
      </c>
      <c r="I76" s="4">
        <f t="shared" si="81"/>
        <v>1</v>
      </c>
      <c r="J76" s="351">
        <f t="shared" si="112"/>
        <v>3.35</v>
      </c>
      <c r="K76" s="4">
        <f t="shared" si="82"/>
        <v>0.77546296296296291</v>
      </c>
      <c r="L76" s="4"/>
      <c r="M76" s="351">
        <f t="shared" si="83"/>
        <v>0.2135159490523558</v>
      </c>
      <c r="N76" s="4">
        <f t="shared" si="84"/>
        <v>1.9492519383651092</v>
      </c>
      <c r="O76" s="4">
        <f t="shared" si="113"/>
        <v>4.3246259691825548</v>
      </c>
      <c r="P76" s="4">
        <f t="shared" si="114"/>
        <v>2.3753740308174454</v>
      </c>
      <c r="Q76" s="4">
        <f t="shared" si="85"/>
        <v>0</v>
      </c>
      <c r="R76" s="4">
        <f t="shared" si="86"/>
        <v>3.3969297794628721</v>
      </c>
      <c r="S76" s="351">
        <f t="shared" si="87"/>
        <v>0.28270873220174109</v>
      </c>
      <c r="T76" s="351">
        <f t="shared" si="88"/>
        <v>0.4</v>
      </c>
      <c r="U76" s="351">
        <f t="shared" si="89"/>
        <v>0.69850664647857696</v>
      </c>
      <c r="V76" s="4">
        <f t="shared" si="115"/>
        <v>0.56270056566674787</v>
      </c>
      <c r="W76" s="351">
        <f t="shared" si="90"/>
        <v>3.1663192660167803E-4</v>
      </c>
      <c r="X76" s="351">
        <f t="shared" si="116"/>
        <v>3.1663192660167803E-4</v>
      </c>
      <c r="Y76" s="4">
        <f t="shared" si="91"/>
        <v>1.3920238938439622</v>
      </c>
      <c r="Z76" s="351">
        <f t="shared" si="117"/>
        <v>1.9377305210325066E-3</v>
      </c>
      <c r="AA76" s="520">
        <f t="shared" si="118"/>
        <v>1.9377305210325066E-3</v>
      </c>
      <c r="AB76" s="351">
        <f t="shared" si="92"/>
        <v>1.5696460443516225</v>
      </c>
      <c r="AC76" s="351">
        <f t="shared" si="93"/>
        <v>2.8333570102309996E-2</v>
      </c>
      <c r="AD76" s="351">
        <f t="shared" si="94"/>
        <v>0.13098595714285716</v>
      </c>
      <c r="AE76" s="351">
        <f t="shared" si="95"/>
        <v>0.53416704000000004</v>
      </c>
      <c r="AF76" s="351">
        <f t="shared" si="96"/>
        <v>0</v>
      </c>
      <c r="AG76" s="351">
        <f t="shared" si="97"/>
        <v>0.69664471635030556</v>
      </c>
      <c r="AH76" s="351">
        <f t="shared" si="98"/>
        <v>3.0125310325460517</v>
      </c>
      <c r="AI76" s="351">
        <f t="shared" si="99"/>
        <v>2.9948632632774835E-2</v>
      </c>
      <c r="AJ76" s="351">
        <f t="shared" si="100"/>
        <v>4.1271999999999996E-2</v>
      </c>
      <c r="AK76" s="351">
        <f t="shared" si="101"/>
        <v>7.1580782052377404E-2</v>
      </c>
      <c r="AL76" s="351">
        <f t="shared" si="102"/>
        <v>4.1271999999999996E-2</v>
      </c>
      <c r="AM76" s="351">
        <f t="shared" si="103"/>
        <v>0.51648959999999999</v>
      </c>
      <c r="AN76" s="351">
        <f t="shared" si="104"/>
        <v>9.2313055412813413E-2</v>
      </c>
      <c r="AO76" s="351">
        <f t="shared" si="105"/>
        <v>8.3999999999999993E-4</v>
      </c>
      <c r="AP76" s="351">
        <f>'Variable Management'!$B$347</f>
        <v>0.41183999999999998</v>
      </c>
      <c r="AQ76" s="351">
        <f t="shared" si="106"/>
        <v>0.36108727954971853</v>
      </c>
      <c r="AR76" s="351">
        <f t="shared" si="107"/>
        <v>0.32603999999999994</v>
      </c>
      <c r="AS76" s="351">
        <f t="shared" si="126"/>
        <v>0.41267999999999999</v>
      </c>
      <c r="AT76" s="351">
        <f t="shared" si="119"/>
        <v>2.5317411627417075</v>
      </c>
      <c r="AU76">
        <f t="shared" si="108"/>
        <v>16.75</v>
      </c>
      <c r="AV76" s="521">
        <f t="shared" si="120"/>
        <v>0.86869748217376686</v>
      </c>
      <c r="AW76" s="530">
        <f t="shared" si="109"/>
        <v>43.576169798712833</v>
      </c>
      <c r="AX76" s="530">
        <f t="shared" si="110"/>
        <v>9.6808940020950978</v>
      </c>
      <c r="AY76" s="9"/>
      <c r="AZ76" s="4">
        <f t="shared" si="121"/>
        <v>86.869748217376682</v>
      </c>
      <c r="BA76" s="351">
        <f t="shared" si="111"/>
        <v>0.69850664647857696</v>
      </c>
      <c r="BB76" s="351">
        <f t="shared" si="122"/>
        <v>1.2847150984026829</v>
      </c>
      <c r="BC76" s="351">
        <f t="shared" si="123"/>
        <v>1.0375278523503055</v>
      </c>
      <c r="BD76" s="351">
        <f t="shared" si="124"/>
        <v>0.24202235005237743</v>
      </c>
      <c r="BE76" s="351">
        <f t="shared" si="125"/>
        <v>9.2313055412813413E-2</v>
      </c>
      <c r="BK76" s="18"/>
      <c r="BL76" s="19"/>
    </row>
    <row r="77" spans="1:64" x14ac:dyDescent="0.25">
      <c r="A77" s="34" t="s">
        <v>207</v>
      </c>
      <c r="B77" s="577">
        <f>(Qg_Q3+Qg_Q4)*Fsw+Iq</f>
        <v>1.7194999999999998E-2</v>
      </c>
      <c r="C77" s="21" t="s">
        <v>1</v>
      </c>
      <c r="G77">
        <v>68</v>
      </c>
      <c r="H77" s="527">
        <f t="shared" si="80"/>
        <v>24</v>
      </c>
      <c r="I77" s="4">
        <f t="shared" si="81"/>
        <v>1</v>
      </c>
      <c r="J77" s="351">
        <f t="shared" si="112"/>
        <v>3.4</v>
      </c>
      <c r="K77" s="4">
        <f t="shared" si="82"/>
        <v>0.78703703703703698</v>
      </c>
      <c r="L77" s="4"/>
      <c r="M77" s="351">
        <f t="shared" si="83"/>
        <v>0.21359329276015387</v>
      </c>
      <c r="N77" s="4">
        <f t="shared" si="84"/>
        <v>1.9497721196368865</v>
      </c>
      <c r="O77" s="4">
        <f t="shared" si="113"/>
        <v>4.3748860598184436</v>
      </c>
      <c r="P77" s="4">
        <f t="shared" si="114"/>
        <v>2.4251139401815567</v>
      </c>
      <c r="Q77" s="4">
        <f t="shared" si="85"/>
        <v>0</v>
      </c>
      <c r="R77" s="4">
        <f t="shared" si="86"/>
        <v>3.4462734864211577</v>
      </c>
      <c r="S77" s="351">
        <f t="shared" si="87"/>
        <v>0.29098162310863135</v>
      </c>
      <c r="T77" s="351">
        <f t="shared" si="88"/>
        <v>0.4</v>
      </c>
      <c r="U77" s="351">
        <f t="shared" si="89"/>
        <v>0.70745001950411468</v>
      </c>
      <c r="V77" s="4">
        <f t="shared" si="115"/>
        <v>0.5628507290653918</v>
      </c>
      <c r="W77" s="351">
        <f t="shared" si="90"/>
        <v>3.1680094320944306E-4</v>
      </c>
      <c r="X77" s="351">
        <f t="shared" si="116"/>
        <v>3.1680094320944306E-4</v>
      </c>
      <c r="Y77" s="4">
        <f t="shared" si="91"/>
        <v>1.4124307003916516</v>
      </c>
      <c r="Z77" s="351">
        <f t="shared" si="117"/>
        <v>1.9949604834088516E-3</v>
      </c>
      <c r="AA77" s="520">
        <f t="shared" si="118"/>
        <v>1.9949604834088516E-3</v>
      </c>
      <c r="AB77" s="351">
        <f t="shared" si="92"/>
        <v>1.5927350755593368</v>
      </c>
      <c r="AC77" s="351">
        <f t="shared" si="93"/>
        <v>2.917325774054557E-2</v>
      </c>
      <c r="AD77" s="351">
        <f t="shared" si="94"/>
        <v>0.13294097142857142</v>
      </c>
      <c r="AE77" s="351">
        <f t="shared" si="95"/>
        <v>0.53416704000000004</v>
      </c>
      <c r="AF77" s="351">
        <f t="shared" si="96"/>
        <v>0</v>
      </c>
      <c r="AG77" s="351">
        <f t="shared" si="97"/>
        <v>0.69954655749283701</v>
      </c>
      <c r="AH77" s="351">
        <f t="shared" si="98"/>
        <v>3.0561406908538151</v>
      </c>
      <c r="AI77" s="351">
        <f t="shared" si="99"/>
        <v>3.0821986543565032E-2</v>
      </c>
      <c r="AJ77" s="351">
        <f t="shared" si="100"/>
        <v>4.1887999999999995E-2</v>
      </c>
      <c r="AK77" s="351">
        <f t="shared" si="101"/>
        <v>7.3088445364925703E-2</v>
      </c>
      <c r="AL77" s="351">
        <f t="shared" si="102"/>
        <v>4.1887999999999995E-2</v>
      </c>
      <c r="AM77" s="351">
        <f t="shared" si="103"/>
        <v>0.52419839999999995</v>
      </c>
      <c r="AN77" s="351">
        <f t="shared" si="104"/>
        <v>9.5014407545675542E-2</v>
      </c>
      <c r="AO77" s="351">
        <f t="shared" si="105"/>
        <v>8.3999999999999993E-4</v>
      </c>
      <c r="AP77" s="351">
        <f>'Variable Management'!$B$347</f>
        <v>0.41183999999999998</v>
      </c>
      <c r="AQ77" s="351">
        <f t="shared" si="106"/>
        <v>0.36108727954971853</v>
      </c>
      <c r="AR77" s="351">
        <f t="shared" si="107"/>
        <v>0.32603999999999994</v>
      </c>
      <c r="AS77" s="351">
        <f t="shared" si="126"/>
        <v>0.41267999999999999</v>
      </c>
      <c r="AT77" s="351">
        <f t="shared" si="119"/>
        <v>2.5561775913341709</v>
      </c>
      <c r="AU77">
        <f t="shared" si="108"/>
        <v>17</v>
      </c>
      <c r="AV77" s="521">
        <f t="shared" si="120"/>
        <v>0.8692905308618758</v>
      </c>
      <c r="AW77" s="530">
        <f t="shared" si="109"/>
        <v>43.911735062699158</v>
      </c>
      <c r="AX77" s="530">
        <f t="shared" si="110"/>
        <v>9.8429566945970279</v>
      </c>
      <c r="AY77" s="9"/>
      <c r="AZ77" s="4">
        <f t="shared" si="121"/>
        <v>86.929053086187579</v>
      </c>
      <c r="BA77" s="351">
        <f t="shared" si="111"/>
        <v>0.70745001950411468</v>
      </c>
      <c r="BB77" s="351">
        <f t="shared" si="122"/>
        <v>1.2968334028577626</v>
      </c>
      <c r="BC77" s="351">
        <f t="shared" si="123"/>
        <v>1.0455175014928371</v>
      </c>
      <c r="BD77" s="351">
        <f t="shared" si="124"/>
        <v>0.2460739173649257</v>
      </c>
      <c r="BE77" s="351">
        <f t="shared" si="125"/>
        <v>9.5014407545675542E-2</v>
      </c>
      <c r="BK77" s="18"/>
      <c r="BL77" s="19"/>
    </row>
    <row r="78" spans="1:64" x14ac:dyDescent="0.25">
      <c r="A78" s="34" t="s">
        <v>208</v>
      </c>
      <c r="B78" s="578">
        <f>Qrr_Q4*Fsw</f>
        <v>3.2120000000000003E-2</v>
      </c>
      <c r="C78" s="21" t="s">
        <v>1</v>
      </c>
      <c r="G78">
        <v>69</v>
      </c>
      <c r="H78" s="527">
        <f t="shared" si="80"/>
        <v>24</v>
      </c>
      <c r="I78" s="4">
        <f t="shared" si="81"/>
        <v>1</v>
      </c>
      <c r="J78" s="351">
        <f t="shared" si="112"/>
        <v>3.45</v>
      </c>
      <c r="K78" s="4">
        <f t="shared" si="82"/>
        <v>0.79861111111111105</v>
      </c>
      <c r="L78" s="4"/>
      <c r="M78" s="351">
        <f t="shared" si="83"/>
        <v>0.21367063621016918</v>
      </c>
      <c r="N78" s="4">
        <f t="shared" si="84"/>
        <v>1.9502921639148507</v>
      </c>
      <c r="O78" s="4">
        <f t="shared" si="113"/>
        <v>4.4251460819574255</v>
      </c>
      <c r="P78" s="4">
        <f t="shared" si="114"/>
        <v>2.4748539180425748</v>
      </c>
      <c r="Q78" s="4">
        <f t="shared" si="85"/>
        <v>0</v>
      </c>
      <c r="R78" s="4">
        <f t="shared" si="86"/>
        <v>3.4956358449337426</v>
      </c>
      <c r="S78" s="351">
        <f t="shared" si="87"/>
        <v>0.29937701402944816</v>
      </c>
      <c r="T78" s="351">
        <f t="shared" si="88"/>
        <v>0.4</v>
      </c>
      <c r="U78" s="351">
        <f t="shared" si="89"/>
        <v>0.7165382198450635</v>
      </c>
      <c r="V78" s="4">
        <f t="shared" si="115"/>
        <v>0.56300085291732849</v>
      </c>
      <c r="W78" s="351">
        <f t="shared" si="90"/>
        <v>3.1696996038563935E-4</v>
      </c>
      <c r="X78" s="351">
        <f t="shared" si="116"/>
        <v>3.1696996038563935E-4</v>
      </c>
      <c r="Y78" s="4">
        <f t="shared" si="91"/>
        <v>1.4328504106525215</v>
      </c>
      <c r="Z78" s="351">
        <f t="shared" si="117"/>
        <v>2.0530602993070993E-3</v>
      </c>
      <c r="AA78" s="520">
        <f t="shared" si="118"/>
        <v>2.0530602993070993E-3</v>
      </c>
      <c r="AB78" s="351">
        <f t="shared" si="92"/>
        <v>1.6158409329468824</v>
      </c>
      <c r="AC78" s="351">
        <f t="shared" si="93"/>
        <v>3.0025832086746491E-2</v>
      </c>
      <c r="AD78" s="351">
        <f t="shared" si="94"/>
        <v>0.13489598571428574</v>
      </c>
      <c r="AE78" s="351">
        <f t="shared" si="95"/>
        <v>0.53416704000000004</v>
      </c>
      <c r="AF78" s="351">
        <f t="shared" si="96"/>
        <v>0</v>
      </c>
      <c r="AG78" s="351">
        <f t="shared" si="97"/>
        <v>0.70246358639176065</v>
      </c>
      <c r="AH78" s="351">
        <f t="shared" si="98"/>
        <v>3.0997625779725433</v>
      </c>
      <c r="AI78" s="351">
        <f t="shared" si="99"/>
        <v>3.1708142531336657E-2</v>
      </c>
      <c r="AJ78" s="351">
        <f t="shared" si="100"/>
        <v>4.2504E-2</v>
      </c>
      <c r="AK78" s="351">
        <f t="shared" si="101"/>
        <v>7.4609585401178208E-2</v>
      </c>
      <c r="AL78" s="351">
        <f t="shared" si="102"/>
        <v>4.2504E-2</v>
      </c>
      <c r="AM78" s="351">
        <f t="shared" si="103"/>
        <v>0.53190720000000002</v>
      </c>
      <c r="AN78" s="351">
        <f t="shared" si="104"/>
        <v>9.7755759683085114E-2</v>
      </c>
      <c r="AO78" s="351">
        <f t="shared" si="105"/>
        <v>8.3999999999999993E-4</v>
      </c>
      <c r="AP78" s="351">
        <f>'Variable Management'!$B$347</f>
        <v>0.41183999999999998</v>
      </c>
      <c r="AQ78" s="351">
        <f t="shared" si="106"/>
        <v>0.36108727954971853</v>
      </c>
      <c r="AR78" s="351">
        <f t="shared" si="107"/>
        <v>0.32603999999999994</v>
      </c>
      <c r="AS78" s="351">
        <f t="shared" si="126"/>
        <v>0.41267999999999999</v>
      </c>
      <c r="AT78" s="351">
        <f t="shared" si="119"/>
        <v>2.5808283815807802</v>
      </c>
      <c r="AU78">
        <f t="shared" si="108"/>
        <v>17.25</v>
      </c>
      <c r="AV78" s="521">
        <f t="shared" si="120"/>
        <v>0.86985776227190292</v>
      </c>
      <c r="AW78" s="530">
        <f t="shared" si="109"/>
        <v>44.247938212453946</v>
      </c>
      <c r="AX78" s="530">
        <f t="shared" si="110"/>
        <v>10.005558456047128</v>
      </c>
      <c r="AY78" s="9"/>
      <c r="AZ78" s="4">
        <f t="shared" si="121"/>
        <v>86.985776227190286</v>
      </c>
      <c r="BA78" s="351">
        <f t="shared" si="111"/>
        <v>0.7165382198450635</v>
      </c>
      <c r="BB78" s="351">
        <f t="shared" si="122"/>
        <v>1.3089803717929389</v>
      </c>
      <c r="BC78" s="351">
        <f t="shared" si="123"/>
        <v>1.0535223383917607</v>
      </c>
      <c r="BD78" s="351">
        <f t="shared" si="124"/>
        <v>0.25013896140117819</v>
      </c>
      <c r="BE78" s="351">
        <f t="shared" si="125"/>
        <v>9.7755759683085114E-2</v>
      </c>
      <c r="BK78" s="18"/>
      <c r="BL78" s="19"/>
    </row>
    <row r="79" spans="1:64" x14ac:dyDescent="0.25">
      <c r="A79" s="34" t="s">
        <v>209</v>
      </c>
      <c r="B79" s="578">
        <f>Deadtime1*Fsw*(Iripple2_Vinnom/2)*(Vsd_Q4)/Vin</f>
        <v>2.5320258936052203E-4</v>
      </c>
      <c r="C79" s="21"/>
      <c r="G79">
        <v>70</v>
      </c>
      <c r="H79" s="527">
        <f t="shared" si="80"/>
        <v>24</v>
      </c>
      <c r="I79" s="4">
        <f t="shared" si="81"/>
        <v>1</v>
      </c>
      <c r="J79" s="351">
        <f t="shared" si="112"/>
        <v>3.5</v>
      </c>
      <c r="K79" s="4">
        <f t="shared" si="82"/>
        <v>0.81018518518518512</v>
      </c>
      <c r="L79" s="4"/>
      <c r="M79" s="351">
        <f t="shared" si="83"/>
        <v>0.21374797940240306</v>
      </c>
      <c r="N79" s="4">
        <f t="shared" si="84"/>
        <v>1.9508120711996881</v>
      </c>
      <c r="O79" s="4">
        <f t="shared" si="113"/>
        <v>4.4754060355998444</v>
      </c>
      <c r="P79" s="4">
        <f t="shared" si="114"/>
        <v>2.524593964400156</v>
      </c>
      <c r="Q79" s="4">
        <f t="shared" si="85"/>
        <v>0</v>
      </c>
      <c r="R79" s="4">
        <f t="shared" si="86"/>
        <v>3.5450160758584532</v>
      </c>
      <c r="S79" s="351">
        <f t="shared" si="87"/>
        <v>0.30789490496332428</v>
      </c>
      <c r="T79" s="351">
        <f t="shared" si="88"/>
        <v>0.4</v>
      </c>
      <c r="U79" s="351">
        <f t="shared" si="89"/>
        <v>0.72577182062216594</v>
      </c>
      <c r="V79" s="4">
        <f t="shared" si="115"/>
        <v>0.56315093722275567</v>
      </c>
      <c r="W79" s="351">
        <f t="shared" si="90"/>
        <v>3.1713897809486808E-4</v>
      </c>
      <c r="X79" s="351">
        <f t="shared" si="116"/>
        <v>3.1713897809486808E-4</v>
      </c>
      <c r="Y79" s="4">
        <f t="shared" si="91"/>
        <v>1.4532827050277284</v>
      </c>
      <c r="Z79" s="351">
        <f t="shared" si="117"/>
        <v>2.1120306207327113E-3</v>
      </c>
      <c r="AA79" s="520">
        <f t="shared" si="118"/>
        <v>2.1120306207327113E-3</v>
      </c>
      <c r="AB79" s="351">
        <f t="shared" si="92"/>
        <v>1.6389632587208776</v>
      </c>
      <c r="AC79" s="351">
        <f t="shared" si="93"/>
        <v>3.0891306479525021E-2</v>
      </c>
      <c r="AD79" s="351">
        <f t="shared" si="94"/>
        <v>0.136851</v>
      </c>
      <c r="AE79" s="351">
        <f t="shared" si="95"/>
        <v>0.53416704000000004</v>
      </c>
      <c r="AF79" s="351">
        <f t="shared" si="96"/>
        <v>0</v>
      </c>
      <c r="AG79" s="351">
        <f t="shared" si="97"/>
        <v>0.70539584234436392</v>
      </c>
      <c r="AH79" s="351">
        <f t="shared" si="98"/>
        <v>3.1433960002929808</v>
      </c>
      <c r="AI79" s="351">
        <f t="shared" si="99"/>
        <v>3.2607096768371105E-2</v>
      </c>
      <c r="AJ79" s="351">
        <f t="shared" si="100"/>
        <v>4.3119999999999999E-2</v>
      </c>
      <c r="AK79" s="351">
        <f t="shared" si="101"/>
        <v>7.6144214184093492E-2</v>
      </c>
      <c r="AL79" s="351">
        <f t="shared" si="102"/>
        <v>4.3119999999999999E-2</v>
      </c>
      <c r="AM79" s="351">
        <f t="shared" si="103"/>
        <v>0.5396160000000001</v>
      </c>
      <c r="AN79" s="351">
        <f t="shared" si="104"/>
        <v>0.10053711182475894</v>
      </c>
      <c r="AO79" s="351">
        <f t="shared" si="105"/>
        <v>8.3999999999999993E-4</v>
      </c>
      <c r="AP79" s="351">
        <f>'Variable Management'!$B$347</f>
        <v>0.41183999999999998</v>
      </c>
      <c r="AQ79" s="351">
        <f t="shared" si="106"/>
        <v>0.36108727954971853</v>
      </c>
      <c r="AR79" s="351">
        <f t="shared" si="107"/>
        <v>0.32603999999999994</v>
      </c>
      <c r="AS79" s="351">
        <f t="shared" si="126"/>
        <v>0.41267999999999999</v>
      </c>
      <c r="AT79" s="351">
        <f t="shared" si="119"/>
        <v>2.6056941585742099</v>
      </c>
      <c r="AU79">
        <f t="shared" si="108"/>
        <v>17.5</v>
      </c>
      <c r="AV79" s="521">
        <f t="shared" si="120"/>
        <v>0.87040018921888385</v>
      </c>
      <c r="AW79" s="530">
        <f t="shared" si="109"/>
        <v>44.584780898463286</v>
      </c>
      <c r="AX79" s="530">
        <f t="shared" si="110"/>
        <v>10.168699767363741</v>
      </c>
      <c r="AY79" s="9"/>
      <c r="AZ79" s="4">
        <f t="shared" si="121"/>
        <v>87.04001892188839</v>
      </c>
      <c r="BA79" s="351">
        <f t="shared" si="111"/>
        <v>0.72577182062216594</v>
      </c>
      <c r="BB79" s="351">
        <f t="shared" si="122"/>
        <v>1.3211560565284575</v>
      </c>
      <c r="BC79" s="351">
        <f t="shared" si="123"/>
        <v>1.061542402344364</v>
      </c>
      <c r="BD79" s="351">
        <f t="shared" si="124"/>
        <v>0.25421749418409351</v>
      </c>
      <c r="BE79" s="351">
        <f t="shared" si="125"/>
        <v>0.10053711182475894</v>
      </c>
      <c r="BK79" s="18"/>
      <c r="BL79" s="19"/>
    </row>
    <row r="80" spans="1:64" x14ac:dyDescent="0.25">
      <c r="A80" s="34" t="s">
        <v>45</v>
      </c>
      <c r="B80" s="578">
        <f>SUM(B77:B79)</f>
        <v>4.9568202589360517E-2</v>
      </c>
      <c r="C80" s="21" t="s">
        <v>1</v>
      </c>
      <c r="G80">
        <v>71</v>
      </c>
      <c r="H80" s="527">
        <f t="shared" si="80"/>
        <v>24</v>
      </c>
      <c r="I80" s="4">
        <f t="shared" si="81"/>
        <v>1</v>
      </c>
      <c r="J80" s="351">
        <f t="shared" si="112"/>
        <v>3.55</v>
      </c>
      <c r="K80" s="4">
        <f t="shared" si="82"/>
        <v>0.82175925925925919</v>
      </c>
      <c r="L80" s="4"/>
      <c r="M80" s="351">
        <f t="shared" si="83"/>
        <v>0.2138253223368568</v>
      </c>
      <c r="N80" s="4">
        <f t="shared" si="84"/>
        <v>1.9513318414920837</v>
      </c>
      <c r="O80" s="4">
        <f t="shared" si="113"/>
        <v>4.5256659207460412</v>
      </c>
      <c r="P80" s="4">
        <f t="shared" si="114"/>
        <v>2.574334079253958</v>
      </c>
      <c r="Q80" s="4">
        <f t="shared" si="85"/>
        <v>0</v>
      </c>
      <c r="R80" s="4">
        <f t="shared" si="86"/>
        <v>3.5944134425941794</v>
      </c>
      <c r="S80" s="351">
        <f t="shared" si="87"/>
        <v>0.31653529590939267</v>
      </c>
      <c r="T80" s="351">
        <f t="shared" si="88"/>
        <v>0.4</v>
      </c>
      <c r="U80" s="351">
        <f t="shared" si="89"/>
        <v>0.73515140531906276</v>
      </c>
      <c r="V80" s="4">
        <f t="shared" si="115"/>
        <v>0.5633009819818714</v>
      </c>
      <c r="W80" s="351">
        <f t="shared" si="90"/>
        <v>3.1730799630174061E-4</v>
      </c>
      <c r="X80" s="351">
        <f t="shared" si="116"/>
        <v>3.1730799630174061E-4</v>
      </c>
      <c r="Y80" s="4">
        <f t="shared" si="91"/>
        <v>1.4737272811914566</v>
      </c>
      <c r="Z80" s="351">
        <f t="shared" si="117"/>
        <v>2.1718720993279626E-3</v>
      </c>
      <c r="AA80" s="520">
        <f t="shared" si="118"/>
        <v>2.1718720993279626E-3</v>
      </c>
      <c r="AB80" s="351">
        <f t="shared" si="92"/>
        <v>1.6621017144987005</v>
      </c>
      <c r="AC80" s="351">
        <f t="shared" si="93"/>
        <v>3.1769694257404474E-2</v>
      </c>
      <c r="AD80" s="351">
        <f t="shared" si="94"/>
        <v>0.13880601428571426</v>
      </c>
      <c r="AE80" s="351">
        <f t="shared" si="95"/>
        <v>0.53416704000000004</v>
      </c>
      <c r="AF80" s="351">
        <f t="shared" si="96"/>
        <v>0</v>
      </c>
      <c r="AG80" s="351">
        <f t="shared" si="97"/>
        <v>0.70834336488417982</v>
      </c>
      <c r="AH80" s="351">
        <f t="shared" si="98"/>
        <v>3.1870403020611806</v>
      </c>
      <c r="AI80" s="351">
        <f t="shared" si="99"/>
        <v>3.3518845426975329E-2</v>
      </c>
      <c r="AJ80" s="351">
        <f t="shared" si="100"/>
        <v>4.3735999999999997E-2</v>
      </c>
      <c r="AK80" s="351">
        <f t="shared" si="101"/>
        <v>7.7692343914954859E-2</v>
      </c>
      <c r="AL80" s="351">
        <f t="shared" si="102"/>
        <v>4.3735999999999997E-2</v>
      </c>
      <c r="AM80" s="351">
        <f t="shared" si="103"/>
        <v>0.54732479999999994</v>
      </c>
      <c r="AN80" s="351">
        <f t="shared" si="104"/>
        <v>0.10335846397041393</v>
      </c>
      <c r="AO80" s="351">
        <f t="shared" si="105"/>
        <v>8.3999999999999993E-4</v>
      </c>
      <c r="AP80" s="351">
        <f>'Variable Management'!$B$347</f>
        <v>0.41183999999999998</v>
      </c>
      <c r="AQ80" s="351">
        <f t="shared" si="106"/>
        <v>0.36108727954971853</v>
      </c>
      <c r="AR80" s="351">
        <f t="shared" si="107"/>
        <v>0.32603999999999994</v>
      </c>
      <c r="AS80" s="351">
        <f t="shared" si="126"/>
        <v>0.41267999999999999</v>
      </c>
      <c r="AT80" s="351">
        <f t="shared" si="119"/>
        <v>2.6307755581842409</v>
      </c>
      <c r="AU80">
        <f t="shared" si="108"/>
        <v>17.75</v>
      </c>
      <c r="AV80" s="521">
        <f t="shared" si="120"/>
        <v>0.87091877094305137</v>
      </c>
      <c r="AW80" s="530">
        <f t="shared" si="109"/>
        <v>44.922264781135553</v>
      </c>
      <c r="AX80" s="530">
        <f t="shared" si="110"/>
        <v>10.332381116598196</v>
      </c>
      <c r="AY80" s="9"/>
      <c r="AZ80" s="4">
        <f t="shared" si="121"/>
        <v>87.091877094305133</v>
      </c>
      <c r="BA80" s="351">
        <f t="shared" si="111"/>
        <v>0.73515140531906276</v>
      </c>
      <c r="BB80" s="351">
        <f t="shared" si="122"/>
        <v>1.3333605087991347</v>
      </c>
      <c r="BC80" s="351">
        <f t="shared" si="123"/>
        <v>1.0695777328841798</v>
      </c>
      <c r="BD80" s="351">
        <f t="shared" si="124"/>
        <v>0.25830952791495487</v>
      </c>
      <c r="BE80" s="351">
        <f t="shared" si="125"/>
        <v>0.10335846397041393</v>
      </c>
      <c r="BK80" s="18"/>
      <c r="BL80" s="19"/>
    </row>
    <row r="81" spans="1:64" x14ac:dyDescent="0.25">
      <c r="A81" s="2"/>
      <c r="G81">
        <v>72</v>
      </c>
      <c r="H81" s="527">
        <f t="shared" si="80"/>
        <v>24</v>
      </c>
      <c r="I81" s="4">
        <f t="shared" si="81"/>
        <v>1</v>
      </c>
      <c r="J81" s="351">
        <f t="shared" si="112"/>
        <v>3.6</v>
      </c>
      <c r="K81" s="4">
        <f t="shared" si="82"/>
        <v>0.83333333333333326</v>
      </c>
      <c r="L81" s="4"/>
      <c r="M81" s="351">
        <f t="shared" si="83"/>
        <v>0.21390266501353172</v>
      </c>
      <c r="N81" s="4">
        <f t="shared" si="84"/>
        <v>1.951851474792722</v>
      </c>
      <c r="O81" s="4">
        <f t="shared" si="113"/>
        <v>4.5759257373963607</v>
      </c>
      <c r="P81" s="4">
        <f t="shared" si="114"/>
        <v>2.6240742626036391</v>
      </c>
      <c r="Q81" s="4">
        <f t="shared" si="85"/>
        <v>0</v>
      </c>
      <c r="R81" s="4">
        <f t="shared" si="86"/>
        <v>3.6438272482337686</v>
      </c>
      <c r="S81" s="351">
        <f t="shared" si="87"/>
        <v>0.32529818686678652</v>
      </c>
      <c r="T81" s="351">
        <f t="shared" si="88"/>
        <v>0.4</v>
      </c>
      <c r="U81" s="351">
        <f t="shared" si="89"/>
        <v>0.74467756787725359</v>
      </c>
      <c r="V81" s="4">
        <f t="shared" si="115"/>
        <v>0.56345098719487308</v>
      </c>
      <c r="W81" s="351">
        <f t="shared" si="90"/>
        <v>3.1747701497087706E-4</v>
      </c>
      <c r="X81" s="351">
        <f t="shared" si="116"/>
        <v>3.1747701497087706E-4</v>
      </c>
      <c r="Y81" s="4">
        <f t="shared" si="91"/>
        <v>1.4941838529350888</v>
      </c>
      <c r="Z81" s="351">
        <f t="shared" si="117"/>
        <v>2.2325853863719471E-3</v>
      </c>
      <c r="AA81" s="520">
        <f t="shared" si="118"/>
        <v>2.2325853863719471E-3</v>
      </c>
      <c r="AB81" s="351">
        <f t="shared" si="92"/>
        <v>1.6852559800096194</v>
      </c>
      <c r="AC81" s="351">
        <f t="shared" si="93"/>
        <v>3.2661008758819103E-2</v>
      </c>
      <c r="AD81" s="351">
        <f t="shared" si="94"/>
        <v>0.14076102857142858</v>
      </c>
      <c r="AE81" s="351">
        <f t="shared" si="95"/>
        <v>0.53416704000000004</v>
      </c>
      <c r="AF81" s="351">
        <f t="shared" si="96"/>
        <v>0</v>
      </c>
      <c r="AG81" s="351">
        <f t="shared" si="97"/>
        <v>0.71130619378229987</v>
      </c>
      <c r="AH81" s="351">
        <f t="shared" si="98"/>
        <v>3.2306948628449419</v>
      </c>
      <c r="AI81" s="351">
        <f t="shared" si="99"/>
        <v>3.4443384679481902E-2</v>
      </c>
      <c r="AJ81" s="351">
        <f t="shared" si="100"/>
        <v>4.4351999999999996E-2</v>
      </c>
      <c r="AK81" s="351">
        <f t="shared" si="101"/>
        <v>7.9253986973682383E-2</v>
      </c>
      <c r="AL81" s="351">
        <f t="shared" si="102"/>
        <v>4.4351999999999996E-2</v>
      </c>
      <c r="AM81" s="351">
        <f t="shared" si="103"/>
        <v>0.55503360000000013</v>
      </c>
      <c r="AN81" s="351">
        <f t="shared" si="104"/>
        <v>0.10621981611976704</v>
      </c>
      <c r="AO81" s="351">
        <f t="shared" si="105"/>
        <v>8.3999999999999993E-4</v>
      </c>
      <c r="AP81" s="351">
        <f>'Variable Management'!$B$347</f>
        <v>0.41183999999999998</v>
      </c>
      <c r="AQ81" s="351">
        <f t="shared" si="106"/>
        <v>0.36108727954971853</v>
      </c>
      <c r="AR81" s="351">
        <f t="shared" si="107"/>
        <v>0.32603999999999994</v>
      </c>
      <c r="AS81" s="351">
        <f t="shared" si="126"/>
        <v>0.41267999999999999</v>
      </c>
      <c r="AT81" s="351">
        <f t="shared" si="119"/>
        <v>2.6560732271543457</v>
      </c>
      <c r="AU81">
        <f t="shared" si="108"/>
        <v>18</v>
      </c>
      <c r="AV81" s="521">
        <f t="shared" si="120"/>
        <v>0.87141441657639518</v>
      </c>
      <c r="AW81" s="530">
        <f t="shared" si="109"/>
        <v>45.260391530856594</v>
      </c>
      <c r="AX81" s="530">
        <f t="shared" si="110"/>
        <v>10.496602998947298</v>
      </c>
      <c r="AY81" s="9"/>
      <c r="AZ81" s="4">
        <f t="shared" si="121"/>
        <v>87.141441657639518</v>
      </c>
      <c r="BA81" s="351">
        <f t="shared" si="111"/>
        <v>0.74467756787725359</v>
      </c>
      <c r="BB81" s="351">
        <f t="shared" si="122"/>
        <v>1.3455937807559823</v>
      </c>
      <c r="BC81" s="351">
        <f t="shared" si="123"/>
        <v>1.0776283697822999</v>
      </c>
      <c r="BD81" s="351">
        <f t="shared" si="124"/>
        <v>0.26241507497368244</v>
      </c>
      <c r="BE81" s="351">
        <f t="shared" si="125"/>
        <v>0.10621981611976704</v>
      </c>
      <c r="BK81" s="18"/>
      <c r="BL81" s="19"/>
    </row>
    <row r="82" spans="1:64" x14ac:dyDescent="0.25">
      <c r="A82" s="2"/>
      <c r="G82">
        <v>73</v>
      </c>
      <c r="H82" s="527">
        <f t="shared" si="80"/>
        <v>24</v>
      </c>
      <c r="I82" s="4">
        <f t="shared" si="81"/>
        <v>1</v>
      </c>
      <c r="J82" s="351">
        <f t="shared" si="112"/>
        <v>3.65</v>
      </c>
      <c r="K82" s="4">
        <f t="shared" si="82"/>
        <v>0.84490740740740733</v>
      </c>
      <c r="L82" s="4"/>
      <c r="M82" s="351">
        <f t="shared" si="83"/>
        <v>0.21398000743242906</v>
      </c>
      <c r="N82" s="4">
        <f t="shared" si="84"/>
        <v>1.9523709711022876</v>
      </c>
      <c r="O82" s="4">
        <f t="shared" si="113"/>
        <v>4.6261854855511437</v>
      </c>
      <c r="P82" s="4">
        <f t="shared" si="114"/>
        <v>2.6738145144488561</v>
      </c>
      <c r="Q82" s="4">
        <f t="shared" si="85"/>
        <v>0</v>
      </c>
      <c r="R82" s="4">
        <f t="shared" si="86"/>
        <v>3.6932568329412061</v>
      </c>
      <c r="S82" s="351">
        <f t="shared" si="87"/>
        <v>0.33418357783463926</v>
      </c>
      <c r="T82" s="351">
        <f t="shared" si="88"/>
        <v>0.4</v>
      </c>
      <c r="U82" s="351">
        <f t="shared" si="89"/>
        <v>0.75435091279303956</v>
      </c>
      <c r="V82" s="4">
        <f t="shared" si="115"/>
        <v>0.56360095286195844</v>
      </c>
      <c r="W82" s="351">
        <f t="shared" si="90"/>
        <v>3.1764603406690749E-4</v>
      </c>
      <c r="X82" s="351">
        <f t="shared" si="116"/>
        <v>3.1764603406690749E-4</v>
      </c>
      <c r="Y82" s="4">
        <f t="shared" si="91"/>
        <v>1.5146521491024212</v>
      </c>
      <c r="Z82" s="351">
        <f t="shared" si="117"/>
        <v>2.2941711327805828E-3</v>
      </c>
      <c r="AA82" s="520">
        <f t="shared" si="118"/>
        <v>2.2941711327805828E-3</v>
      </c>
      <c r="AB82" s="351">
        <f t="shared" si="92"/>
        <v>1.7084257518982366</v>
      </c>
      <c r="AC82" s="351">
        <f t="shared" si="93"/>
        <v>3.3565263322114139E-2</v>
      </c>
      <c r="AD82" s="351">
        <f t="shared" si="94"/>
        <v>0.14271604285714284</v>
      </c>
      <c r="AE82" s="351">
        <f t="shared" si="95"/>
        <v>0.53416704000000004</v>
      </c>
      <c r="AF82" s="351">
        <f t="shared" si="96"/>
        <v>0</v>
      </c>
      <c r="AG82" s="351">
        <f t="shared" si="97"/>
        <v>0.7142843690486953</v>
      </c>
      <c r="AH82" s="351">
        <f t="shared" si="98"/>
        <v>3.2743590951998303</v>
      </c>
      <c r="AI82" s="351">
        <f t="shared" si="99"/>
        <v>3.5380710698248913E-2</v>
      </c>
      <c r="AJ82" s="351">
        <f t="shared" si="100"/>
        <v>4.4967999999999994E-2</v>
      </c>
      <c r="AK82" s="351">
        <f t="shared" si="101"/>
        <v>8.0829155919150839E-2</v>
      </c>
      <c r="AL82" s="351">
        <f t="shared" si="102"/>
        <v>4.4967999999999994E-2</v>
      </c>
      <c r="AM82" s="351">
        <f t="shared" si="103"/>
        <v>0.56274240000000009</v>
      </c>
      <c r="AN82" s="351">
        <f t="shared" si="104"/>
        <v>0.10912116827253526</v>
      </c>
      <c r="AO82" s="351">
        <f t="shared" si="105"/>
        <v>8.3999999999999993E-4</v>
      </c>
      <c r="AP82" s="351">
        <f>'Variable Management'!$B$347</f>
        <v>0.41183999999999998</v>
      </c>
      <c r="AQ82" s="351">
        <f t="shared" si="106"/>
        <v>0.36108727954971853</v>
      </c>
      <c r="AR82" s="351">
        <f t="shared" si="107"/>
        <v>0.32603999999999994</v>
      </c>
      <c r="AS82" s="351">
        <f t="shared" si="126"/>
        <v>0.41267999999999999</v>
      </c>
      <c r="AT82" s="351">
        <f t="shared" si="119"/>
        <v>2.6815878232002683</v>
      </c>
      <c r="AU82">
        <f t="shared" si="108"/>
        <v>18.25</v>
      </c>
      <c r="AV82" s="521">
        <f t="shared" si="120"/>
        <v>0.87188798834324288</v>
      </c>
      <c r="AW82" s="530">
        <f t="shared" si="109"/>
        <v>45.599162828045202</v>
      </c>
      <c r="AX82" s="530">
        <f t="shared" si="110"/>
        <v>10.661365916766034</v>
      </c>
      <c r="AY82" s="9"/>
      <c r="AZ82" s="4">
        <f t="shared" si="121"/>
        <v>87.188798834324288</v>
      </c>
      <c r="BA82" s="351">
        <f t="shared" si="111"/>
        <v>0.75435091279303956</v>
      </c>
      <c r="BB82" s="351">
        <f t="shared" si="122"/>
        <v>1.3578559249678461</v>
      </c>
      <c r="BC82" s="351">
        <f t="shared" si="123"/>
        <v>1.0856943530486953</v>
      </c>
      <c r="BD82" s="351">
        <f t="shared" si="124"/>
        <v>0.26653414791915087</v>
      </c>
      <c r="BE82" s="351">
        <f t="shared" si="125"/>
        <v>0.10912116827253526</v>
      </c>
      <c r="BK82" s="18"/>
      <c r="BL82" s="19"/>
    </row>
    <row r="83" spans="1:64" x14ac:dyDescent="0.25">
      <c r="A83" s="2"/>
      <c r="G83">
        <v>74</v>
      </c>
      <c r="H83" s="527">
        <f t="shared" si="80"/>
        <v>24</v>
      </c>
      <c r="I83" s="4">
        <f t="shared" si="81"/>
        <v>1</v>
      </c>
      <c r="J83" s="351">
        <f t="shared" si="112"/>
        <v>3.7</v>
      </c>
      <c r="K83" s="4">
        <f t="shared" si="82"/>
        <v>0.8564814814814814</v>
      </c>
      <c r="L83" s="4"/>
      <c r="M83" s="351">
        <f t="shared" si="83"/>
        <v>0.21405734959355013</v>
      </c>
      <c r="N83" s="4">
        <f t="shared" si="84"/>
        <v>1.952890330421466</v>
      </c>
      <c r="O83" s="4">
        <f t="shared" si="113"/>
        <v>4.6764451652107333</v>
      </c>
      <c r="P83" s="4">
        <f t="shared" si="114"/>
        <v>2.7235548347892671</v>
      </c>
      <c r="Q83" s="4">
        <f t="shared" si="85"/>
        <v>0</v>
      </c>
      <c r="R83" s="4">
        <f t="shared" si="86"/>
        <v>3.7427015715328511</v>
      </c>
      <c r="S83" s="351">
        <f t="shared" si="87"/>
        <v>0.34319146881208462</v>
      </c>
      <c r="T83" s="351">
        <f t="shared" si="88"/>
        <v>0.4</v>
      </c>
      <c r="U83" s="351">
        <f t="shared" si="89"/>
        <v>0.76417205521647602</v>
      </c>
      <c r="V83" s="4">
        <f t="shared" si="115"/>
        <v>0.56375087898332532</v>
      </c>
      <c r="W83" s="351">
        <f t="shared" si="90"/>
        <v>3.1781505355447194E-4</v>
      </c>
      <c r="X83" s="351">
        <f t="shared" si="116"/>
        <v>3.1781505355447194E-4</v>
      </c>
      <c r="Y83" s="4">
        <f t="shared" si="91"/>
        <v>1.5351319126077159</v>
      </c>
      <c r="Z83" s="351">
        <f t="shared" si="117"/>
        <v>2.3566299891066237E-3</v>
      </c>
      <c r="AA83" s="520">
        <f t="shared" si="118"/>
        <v>2.3566299891066237E-3</v>
      </c>
      <c r="AB83" s="351">
        <f t="shared" si="92"/>
        <v>1.7316107426210152</v>
      </c>
      <c r="AC83" s="351">
        <f t="shared" si="93"/>
        <v>3.4482471285545796E-2</v>
      </c>
      <c r="AD83" s="351">
        <f t="shared" si="94"/>
        <v>0.14467105714285716</v>
      </c>
      <c r="AE83" s="351">
        <f t="shared" si="95"/>
        <v>0.53416704000000004</v>
      </c>
      <c r="AF83" s="351">
        <f t="shared" si="96"/>
        <v>0</v>
      </c>
      <c r="AG83" s="351">
        <f t="shared" si="97"/>
        <v>0.71727793093355041</v>
      </c>
      <c r="AH83" s="351">
        <f t="shared" si="98"/>
        <v>3.3180324425167949</v>
      </c>
      <c r="AI83" s="351">
        <f t="shared" si="99"/>
        <v>3.6330819655660089E-2</v>
      </c>
      <c r="AJ83" s="351">
        <f t="shared" si="100"/>
        <v>4.5584E-2</v>
      </c>
      <c r="AK83" s="351">
        <f t="shared" si="101"/>
        <v>8.241786348951359E-2</v>
      </c>
      <c r="AL83" s="351">
        <f t="shared" si="102"/>
        <v>4.5584E-2</v>
      </c>
      <c r="AM83" s="351">
        <f t="shared" si="103"/>
        <v>0.57045120000000005</v>
      </c>
      <c r="AN83" s="351">
        <f t="shared" si="104"/>
        <v>0.11206252042843579</v>
      </c>
      <c r="AO83" s="351">
        <f t="shared" si="105"/>
        <v>8.3999999999999993E-4</v>
      </c>
      <c r="AP83" s="351">
        <f>'Variable Management'!$B$347</f>
        <v>0.41183999999999998</v>
      </c>
      <c r="AQ83" s="351">
        <f t="shared" si="106"/>
        <v>0.36108727954971853</v>
      </c>
      <c r="AR83" s="351">
        <f t="shared" si="107"/>
        <v>0.32603999999999994</v>
      </c>
      <c r="AS83" s="351">
        <f t="shared" si="126"/>
        <v>0.41267999999999999</v>
      </c>
      <c r="AT83" s="351">
        <f t="shared" si="119"/>
        <v>2.7073200151106369</v>
      </c>
      <c r="AU83">
        <f t="shared" si="108"/>
        <v>18.5</v>
      </c>
      <c r="AV83" s="521">
        <f t="shared" si="120"/>
        <v>0.87234030451836364</v>
      </c>
      <c r="AW83" s="530">
        <f t="shared" si="109"/>
        <v>45.93858036320912</v>
      </c>
      <c r="AX83" s="530">
        <f t="shared" si="110"/>
        <v>10.826670379580545</v>
      </c>
      <c r="AY83" s="9"/>
      <c r="AZ83" s="4">
        <f t="shared" si="121"/>
        <v>87.234030451836361</v>
      </c>
      <c r="BA83" s="351">
        <f t="shared" si="111"/>
        <v>0.76417205521647602</v>
      </c>
      <c r="BB83" s="351">
        <f t="shared" si="122"/>
        <v>1.370146994423064</v>
      </c>
      <c r="BC83" s="351">
        <f t="shared" si="123"/>
        <v>1.0937757229335505</v>
      </c>
      <c r="BD83" s="351">
        <f t="shared" si="124"/>
        <v>0.27066675948951363</v>
      </c>
      <c r="BE83" s="351">
        <f t="shared" si="125"/>
        <v>0.11206252042843579</v>
      </c>
      <c r="BK83" s="18"/>
      <c r="BL83" s="19"/>
    </row>
    <row r="84" spans="1:64" x14ac:dyDescent="0.25">
      <c r="G84">
        <v>75</v>
      </c>
      <c r="H84" s="527">
        <f t="shared" si="80"/>
        <v>24</v>
      </c>
      <c r="I84" s="4">
        <f t="shared" si="81"/>
        <v>1</v>
      </c>
      <c r="J84" s="351">
        <f t="shared" si="112"/>
        <v>3.75</v>
      </c>
      <c r="K84" s="4">
        <f t="shared" si="82"/>
        <v>0.86805555555555547</v>
      </c>
      <c r="L84" s="4"/>
      <c r="M84" s="351">
        <f t="shared" si="83"/>
        <v>0.21413469149689621</v>
      </c>
      <c r="N84" s="4">
        <f t="shared" si="84"/>
        <v>1.9534095527509412</v>
      </c>
      <c r="O84" s="4">
        <f t="shared" si="113"/>
        <v>4.7267047763754704</v>
      </c>
      <c r="P84" s="4">
        <f t="shared" si="114"/>
        <v>2.7732952236245296</v>
      </c>
      <c r="Q84" s="4">
        <f t="shared" si="85"/>
        <v>0</v>
      </c>
      <c r="R84" s="4">
        <f t="shared" si="86"/>
        <v>3.7921608712445494</v>
      </c>
      <c r="S84" s="351">
        <f t="shared" si="87"/>
        <v>0.35232185979825642</v>
      </c>
      <c r="T84" s="351">
        <f t="shared" si="88"/>
        <v>0.4</v>
      </c>
      <c r="U84" s="351">
        <f t="shared" si="89"/>
        <v>0.77414162105236894</v>
      </c>
      <c r="V84" s="4">
        <f t="shared" si="115"/>
        <v>0.56390076555917124</v>
      </c>
      <c r="W84" s="351">
        <f t="shared" si="90"/>
        <v>3.1798407339821941E-4</v>
      </c>
      <c r="X84" s="351">
        <f t="shared" si="116"/>
        <v>3.1798407339821941E-4</v>
      </c>
      <c r="Y84" s="4">
        <f t="shared" si="91"/>
        <v>1.5556228995292061</v>
      </c>
      <c r="Z84" s="351">
        <f t="shared" si="117"/>
        <v>2.4199626055396543E-3</v>
      </c>
      <c r="AA84" s="520">
        <f t="shared" si="118"/>
        <v>2.4199626055396543E-3</v>
      </c>
      <c r="AB84" s="351">
        <f t="shared" si="92"/>
        <v>1.7548106794276006</v>
      </c>
      <c r="AC84" s="351">
        <f t="shared" si="93"/>
        <v>3.5412645987281312E-2</v>
      </c>
      <c r="AD84" s="351">
        <f t="shared" si="94"/>
        <v>0.14662607142857143</v>
      </c>
      <c r="AE84" s="351">
        <f t="shared" si="95"/>
        <v>0.53416704000000004</v>
      </c>
      <c r="AF84" s="351">
        <f t="shared" si="96"/>
        <v>0</v>
      </c>
      <c r="AG84" s="351">
        <f t="shared" si="97"/>
        <v>0.72028691992860494</v>
      </c>
      <c r="AH84" s="351">
        <f t="shared" si="98"/>
        <v>3.3617143770351849</v>
      </c>
      <c r="AI84" s="351">
        <f t="shared" si="99"/>
        <v>3.72937077241247E-2</v>
      </c>
      <c r="AJ84" s="351">
        <f t="shared" si="100"/>
        <v>4.6199999999999998E-2</v>
      </c>
      <c r="AK84" s="351">
        <f t="shared" si="101"/>
        <v>8.4020122602532402E-2</v>
      </c>
      <c r="AL84" s="351">
        <f t="shared" si="102"/>
        <v>4.6199999999999998E-2</v>
      </c>
      <c r="AM84" s="351">
        <f t="shared" si="103"/>
        <v>0.57816000000000001</v>
      </c>
      <c r="AN84" s="351">
        <f t="shared" si="104"/>
        <v>0.11504387258718576</v>
      </c>
      <c r="AO84" s="351">
        <f t="shared" si="105"/>
        <v>8.3999999999999993E-4</v>
      </c>
      <c r="AP84" s="351">
        <f>'Variable Management'!$B$347</f>
        <v>0.41183999999999998</v>
      </c>
      <c r="AQ84" s="351">
        <f t="shared" si="106"/>
        <v>0.36108727954971853</v>
      </c>
      <c r="AR84" s="351">
        <f t="shared" si="107"/>
        <v>0.32603999999999994</v>
      </c>
      <c r="AS84" s="351">
        <f t="shared" si="126"/>
        <v>0.41267999999999999</v>
      </c>
      <c r="AT84" s="351">
        <f t="shared" si="119"/>
        <v>2.7332704828496297</v>
      </c>
      <c r="AU84">
        <f t="shared" si="108"/>
        <v>18.75</v>
      </c>
      <c r="AV84" s="521">
        <f t="shared" si="120"/>
        <v>0.87277214216375321</v>
      </c>
      <c r="AW84" s="530">
        <f t="shared" si="109"/>
        <v>46.278645837001413</v>
      </c>
      <c r="AX84" s="530">
        <f t="shared" si="110"/>
        <v>10.992516904101297</v>
      </c>
      <c r="AY84" s="9"/>
      <c r="AZ84" s="4">
        <f t="shared" si="121"/>
        <v>87.277214216375327</v>
      </c>
      <c r="BA84" s="351">
        <f t="shared" si="111"/>
        <v>0.77414162105236894</v>
      </c>
      <c r="BB84" s="351">
        <f t="shared" si="122"/>
        <v>1.3824670425311374</v>
      </c>
      <c r="BC84" s="351">
        <f t="shared" si="123"/>
        <v>1.101872519928605</v>
      </c>
      <c r="BD84" s="351">
        <f t="shared" si="124"/>
        <v>0.27481292260253243</v>
      </c>
      <c r="BE84" s="351">
        <f t="shared" si="125"/>
        <v>0.11504387258718576</v>
      </c>
      <c r="BK84" s="18"/>
      <c r="BL84" s="19"/>
    </row>
    <row r="85" spans="1:64" x14ac:dyDescent="0.25">
      <c r="G85">
        <v>76</v>
      </c>
      <c r="H85" s="527">
        <f t="shared" si="80"/>
        <v>24</v>
      </c>
      <c r="I85" s="4">
        <f t="shared" si="81"/>
        <v>1</v>
      </c>
      <c r="J85" s="351">
        <f t="shared" si="112"/>
        <v>3.8</v>
      </c>
      <c r="K85" s="4">
        <f t="shared" si="82"/>
        <v>0.87962962962962954</v>
      </c>
      <c r="L85" s="4"/>
      <c r="M85" s="351">
        <f t="shared" si="83"/>
        <v>0.21421203314246864</v>
      </c>
      <c r="N85" s="4">
        <f t="shared" si="84"/>
        <v>1.9539286380913994</v>
      </c>
      <c r="O85" s="4">
        <f t="shared" si="113"/>
        <v>4.7769643190456996</v>
      </c>
      <c r="P85" s="4">
        <f t="shared" si="114"/>
        <v>2.8230356809543</v>
      </c>
      <c r="Q85" s="4">
        <f t="shared" si="85"/>
        <v>0</v>
      </c>
      <c r="R85" s="4">
        <f t="shared" si="86"/>
        <v>3.8416341696682688</v>
      </c>
      <c r="S85" s="351">
        <f t="shared" si="87"/>
        <v>0.36157475079228885</v>
      </c>
      <c r="T85" s="351">
        <f t="shared" si="88"/>
        <v>0.4</v>
      </c>
      <c r="U85" s="351">
        <f t="shared" si="89"/>
        <v>0.78426024706334718</v>
      </c>
      <c r="V85" s="4">
        <f t="shared" si="115"/>
        <v>0.56405061258969413</v>
      </c>
      <c r="W85" s="351">
        <f t="shared" si="90"/>
        <v>3.1815309356280925E-4</v>
      </c>
      <c r="X85" s="351">
        <f t="shared" si="116"/>
        <v>3.1815309356280925E-4</v>
      </c>
      <c r="Y85" s="4">
        <f t="shared" si="91"/>
        <v>1.5761248782714239</v>
      </c>
      <c r="Z85" s="351">
        <f t="shared" si="117"/>
        <v>2.4841696319061108E-3</v>
      </c>
      <c r="AA85" s="520">
        <f t="shared" si="118"/>
        <v>2.4841696319061108E-3</v>
      </c>
      <c r="AB85" s="351">
        <f t="shared" si="92"/>
        <v>1.7780253034194713</v>
      </c>
      <c r="AC85" s="351">
        <f t="shared" si="93"/>
        <v>3.6355800765398884E-2</v>
      </c>
      <c r="AD85" s="351">
        <f t="shared" si="94"/>
        <v>0.14858108571428569</v>
      </c>
      <c r="AE85" s="351">
        <f t="shared" si="95"/>
        <v>0.53416704000000004</v>
      </c>
      <c r="AF85" s="351">
        <f t="shared" si="96"/>
        <v>0</v>
      </c>
      <c r="AG85" s="351">
        <f t="shared" si="97"/>
        <v>0.72331137676850743</v>
      </c>
      <c r="AH85" s="351">
        <f t="shared" si="98"/>
        <v>3.4054043980066311</v>
      </c>
      <c r="AI85" s="351">
        <f t="shared" si="99"/>
        <v>3.8269371076077585E-2</v>
      </c>
      <c r="AJ85" s="351">
        <f t="shared" si="100"/>
        <v>4.6815999999999997E-2</v>
      </c>
      <c r="AK85" s="351">
        <f t="shared" si="101"/>
        <v>8.563594635591322E-2</v>
      </c>
      <c r="AL85" s="351">
        <f t="shared" si="102"/>
        <v>4.6815999999999997E-2</v>
      </c>
      <c r="AM85" s="351">
        <f t="shared" si="103"/>
        <v>0.58586879999999997</v>
      </c>
      <c r="AN85" s="351">
        <f t="shared" si="104"/>
        <v>0.11806522474850248</v>
      </c>
      <c r="AO85" s="351">
        <f t="shared" si="105"/>
        <v>8.3999999999999993E-4</v>
      </c>
      <c r="AP85" s="351">
        <f>'Variable Management'!$B$347</f>
        <v>0.41183999999999998</v>
      </c>
      <c r="AQ85" s="351">
        <f t="shared" si="106"/>
        <v>0.36108727954971853</v>
      </c>
      <c r="AR85" s="351">
        <f t="shared" si="107"/>
        <v>0.32603999999999994</v>
      </c>
      <c r="AS85" s="351">
        <f t="shared" si="126"/>
        <v>0.41267999999999999</v>
      </c>
      <c r="AT85" s="351">
        <f t="shared" si="119"/>
        <v>2.7594399176617395</v>
      </c>
      <c r="AU85">
        <f t="shared" si="108"/>
        <v>19</v>
      </c>
      <c r="AV85" s="521">
        <f t="shared" si="120"/>
        <v>0.87318423966317471</v>
      </c>
      <c r="AW85" s="530">
        <f t="shared" si="109"/>
        <v>46.619360960277312</v>
      </c>
      <c r="AX85" s="530">
        <f t="shared" si="110"/>
        <v>11.158906014236528</v>
      </c>
      <c r="AY85" s="9"/>
      <c r="AZ85" s="4">
        <f t="shared" si="121"/>
        <v>87.318423966317468</v>
      </c>
      <c r="BA85" s="351">
        <f t="shared" si="111"/>
        <v>0.78426024706334718</v>
      </c>
      <c r="BB85" s="351">
        <f t="shared" si="122"/>
        <v>1.3948161231244205</v>
      </c>
      <c r="BC85" s="351">
        <f t="shared" si="123"/>
        <v>1.1099847847685074</v>
      </c>
      <c r="BD85" s="351">
        <f t="shared" si="124"/>
        <v>0.27897265035591323</v>
      </c>
      <c r="BE85" s="351">
        <f t="shared" si="125"/>
        <v>0.11806522474850248</v>
      </c>
      <c r="BK85" s="18"/>
      <c r="BL85" s="19"/>
    </row>
    <row r="86" spans="1:64" x14ac:dyDescent="0.25">
      <c r="G86">
        <v>77</v>
      </c>
      <c r="H86" s="527">
        <f t="shared" si="80"/>
        <v>24</v>
      </c>
      <c r="I86" s="4">
        <f t="shared" si="81"/>
        <v>1</v>
      </c>
      <c r="J86" s="351">
        <f t="shared" si="112"/>
        <v>3.85</v>
      </c>
      <c r="K86" s="4">
        <f t="shared" si="82"/>
        <v>0.89120370370370361</v>
      </c>
      <c r="L86" s="4"/>
      <c r="M86" s="351">
        <f t="shared" si="83"/>
        <v>0.21428937453026861</v>
      </c>
      <c r="N86" s="4">
        <f t="shared" si="84"/>
        <v>1.9544475864435245</v>
      </c>
      <c r="O86" s="4">
        <f t="shared" si="113"/>
        <v>4.8272237932217621</v>
      </c>
      <c r="P86" s="4">
        <f t="shared" si="114"/>
        <v>2.8727762067782381</v>
      </c>
      <c r="Q86" s="4">
        <f t="shared" si="85"/>
        <v>0</v>
      </c>
      <c r="R86" s="4">
        <f t="shared" si="86"/>
        <v>3.8911209328435055</v>
      </c>
      <c r="S86" s="351">
        <f t="shared" si="87"/>
        <v>0.37095014179331637</v>
      </c>
      <c r="T86" s="351">
        <f t="shared" si="88"/>
        <v>0.4</v>
      </c>
      <c r="U86" s="351">
        <f t="shared" si="89"/>
        <v>0.79452858097503909</v>
      </c>
      <c r="V86" s="4">
        <f t="shared" si="115"/>
        <v>0.56420042007509164</v>
      </c>
      <c r="W86" s="351">
        <f t="shared" si="90"/>
        <v>3.183221140129099E-4</v>
      </c>
      <c r="X86" s="351">
        <f t="shared" si="116"/>
        <v>3.183221140129099E-4</v>
      </c>
      <c r="Y86" s="4">
        <f t="shared" si="91"/>
        <v>1.5966376287903501</v>
      </c>
      <c r="Z86" s="351">
        <f t="shared" si="117"/>
        <v>2.5492517176692719E-3</v>
      </c>
      <c r="AA86" s="520">
        <f t="shared" si="118"/>
        <v>2.5492517176692719E-3</v>
      </c>
      <c r="AB86" s="351">
        <f t="shared" si="92"/>
        <v>1.8012543686791953</v>
      </c>
      <c r="AC86" s="351">
        <f t="shared" si="93"/>
        <v>3.7311948957887697E-2</v>
      </c>
      <c r="AD86" s="351">
        <f t="shared" si="94"/>
        <v>0.15053610000000001</v>
      </c>
      <c r="AE86" s="351">
        <f t="shared" si="95"/>
        <v>0.53416704000000004</v>
      </c>
      <c r="AF86" s="351">
        <f t="shared" si="96"/>
        <v>0</v>
      </c>
      <c r="AG86" s="351">
        <f t="shared" si="97"/>
        <v>0.72635134243217936</v>
      </c>
      <c r="AH86" s="351">
        <f t="shared" si="98"/>
        <v>3.4491020299966522</v>
      </c>
      <c r="AI86" s="351">
        <f t="shared" si="99"/>
        <v>3.9257805883979188E-2</v>
      </c>
      <c r="AJ86" s="351">
        <f t="shared" si="100"/>
        <v>4.7432000000000002E-2</v>
      </c>
      <c r="AK86" s="351">
        <f t="shared" si="101"/>
        <v>8.7265348027648099E-2</v>
      </c>
      <c r="AL86" s="351">
        <f t="shared" si="102"/>
        <v>4.7432000000000002E-2</v>
      </c>
      <c r="AM86" s="351">
        <f t="shared" si="103"/>
        <v>0.59357760000000015</v>
      </c>
      <c r="AN86" s="351">
        <f t="shared" si="104"/>
        <v>0.12112657691210331</v>
      </c>
      <c r="AO86" s="351">
        <f t="shared" si="105"/>
        <v>8.3999999999999993E-4</v>
      </c>
      <c r="AP86" s="351">
        <f>'Variable Management'!$B$347</f>
        <v>0.41183999999999998</v>
      </c>
      <c r="AQ86" s="351">
        <f t="shared" si="106"/>
        <v>0.36108727954971853</v>
      </c>
      <c r="AR86" s="351">
        <f t="shared" si="107"/>
        <v>0.32603999999999994</v>
      </c>
      <c r="AS86" s="351">
        <f t="shared" si="126"/>
        <v>0.41267999999999999</v>
      </c>
      <c r="AT86" s="351">
        <f t="shared" si="119"/>
        <v>2.7858290221786524</v>
      </c>
      <c r="AU86">
        <f t="shared" si="108"/>
        <v>19.25</v>
      </c>
      <c r="AV86" s="521">
        <f t="shared" si="120"/>
        <v>0.87357729907167236</v>
      </c>
      <c r="AW86" s="530">
        <f t="shared" si="109"/>
        <v>46.960727454151545</v>
      </c>
      <c r="AX86" s="530">
        <f t="shared" si="110"/>
        <v>11.325838241105926</v>
      </c>
      <c r="AY86" s="9"/>
      <c r="AZ86" s="4">
        <f t="shared" si="121"/>
        <v>87.35772990716724</v>
      </c>
      <c r="BA86" s="351">
        <f t="shared" si="111"/>
        <v>0.79452858097503909</v>
      </c>
      <c r="BB86" s="351">
        <f t="shared" si="122"/>
        <v>1.4071942904598276</v>
      </c>
      <c r="BC86" s="351">
        <f t="shared" si="123"/>
        <v>1.1181125584321796</v>
      </c>
      <c r="BD86" s="351">
        <f t="shared" si="124"/>
        <v>0.28314595602764814</v>
      </c>
      <c r="BE86" s="351">
        <f t="shared" si="125"/>
        <v>0.12112657691210331</v>
      </c>
      <c r="BK86" s="18"/>
      <c r="BL86" s="19"/>
    </row>
    <row r="87" spans="1:64" x14ac:dyDescent="0.25">
      <c r="G87">
        <v>78</v>
      </c>
      <c r="H87" s="527">
        <f t="shared" si="80"/>
        <v>24</v>
      </c>
      <c r="I87" s="4">
        <f t="shared" si="81"/>
        <v>1</v>
      </c>
      <c r="J87" s="351">
        <f t="shared" si="112"/>
        <v>3.9</v>
      </c>
      <c r="K87" s="4">
        <f t="shared" si="82"/>
        <v>0.90277777777777768</v>
      </c>
      <c r="L87" s="4"/>
      <c r="M87" s="351">
        <f t="shared" si="83"/>
        <v>0.2143667156602975</v>
      </c>
      <c r="N87" s="4">
        <f t="shared" si="84"/>
        <v>1.9549663978080012</v>
      </c>
      <c r="O87" s="4">
        <f t="shared" si="113"/>
        <v>4.8774831989040006</v>
      </c>
      <c r="P87" s="4">
        <f t="shared" si="114"/>
        <v>2.9225168010959992</v>
      </c>
      <c r="Q87" s="4">
        <f t="shared" si="85"/>
        <v>0</v>
      </c>
      <c r="R87" s="4">
        <f t="shared" si="86"/>
        <v>3.9406206534901576</v>
      </c>
      <c r="S87" s="351">
        <f t="shared" si="87"/>
        <v>0.38044803280047329</v>
      </c>
      <c r="T87" s="351">
        <f t="shared" si="88"/>
        <v>0.4</v>
      </c>
      <c r="U87" s="351">
        <f t="shared" si="89"/>
        <v>0.80494728158339246</v>
      </c>
      <c r="V87" s="4">
        <f t="shared" si="115"/>
        <v>0.56435018801556125</v>
      </c>
      <c r="W87" s="351">
        <f t="shared" si="90"/>
        <v>3.1849113471319937E-4</v>
      </c>
      <c r="X87" s="351">
        <f t="shared" si="116"/>
        <v>3.1849113471319937E-4</v>
      </c>
      <c r="Y87" s="4">
        <f t="shared" si="91"/>
        <v>1.6171609418760016</v>
      </c>
      <c r="Z87" s="351">
        <f t="shared" si="117"/>
        <v>2.6152095119292766E-3</v>
      </c>
      <c r="AA87" s="520">
        <f t="shared" si="118"/>
        <v>2.6152095119292766E-3</v>
      </c>
      <c r="AB87" s="351">
        <f t="shared" si="92"/>
        <v>1.8244976414642236</v>
      </c>
      <c r="AC87" s="351">
        <f t="shared" si="93"/>
        <v>3.8281103902647912E-2</v>
      </c>
      <c r="AD87" s="351">
        <f t="shared" si="94"/>
        <v>0.1524911142857143</v>
      </c>
      <c r="AE87" s="351">
        <f t="shared" si="95"/>
        <v>0.53416704000000004</v>
      </c>
      <c r="AF87" s="351">
        <f t="shared" si="96"/>
        <v>0</v>
      </c>
      <c r="AG87" s="351">
        <f t="shared" si="97"/>
        <v>0.72940685814418971</v>
      </c>
      <c r="AH87" s="351">
        <f t="shared" si="98"/>
        <v>3.4928068213121493</v>
      </c>
      <c r="AI87" s="351">
        <f t="shared" si="99"/>
        <v>4.025900832031544E-2</v>
      </c>
      <c r="AJ87" s="351">
        <f t="shared" si="100"/>
        <v>4.8047999999999993E-2</v>
      </c>
      <c r="AK87" s="351">
        <f t="shared" si="101"/>
        <v>8.8908341076362737E-2</v>
      </c>
      <c r="AL87" s="351">
        <f t="shared" si="102"/>
        <v>4.8047999999999993E-2</v>
      </c>
      <c r="AM87" s="351">
        <f t="shared" si="103"/>
        <v>0.6012864</v>
      </c>
      <c r="AN87" s="351">
        <f t="shared" si="104"/>
        <v>0.12422792907770557</v>
      </c>
      <c r="AO87" s="351">
        <f t="shared" si="105"/>
        <v>8.3999999999999993E-4</v>
      </c>
      <c r="AP87" s="351">
        <f>'Variable Management'!$B$347</f>
        <v>0.41183999999999998</v>
      </c>
      <c r="AQ87" s="351">
        <f t="shared" si="106"/>
        <v>0.36108727954971853</v>
      </c>
      <c r="AR87" s="351">
        <f t="shared" si="107"/>
        <v>0.32603999999999994</v>
      </c>
      <c r="AS87" s="351">
        <f t="shared" si="126"/>
        <v>0.41267999999999999</v>
      </c>
      <c r="AT87" s="351">
        <f t="shared" si="119"/>
        <v>2.8124385105282927</v>
      </c>
      <c r="AU87">
        <f t="shared" si="108"/>
        <v>19.5</v>
      </c>
      <c r="AV87" s="521">
        <f t="shared" si="120"/>
        <v>0.87395198829562171</v>
      </c>
      <c r="AW87" s="530">
        <f t="shared" si="109"/>
        <v>47.30274705005597</v>
      </c>
      <c r="AX87" s="530">
        <f t="shared" si="110"/>
        <v>11.49331412305451</v>
      </c>
      <c r="AY87" s="9"/>
      <c r="AZ87" s="4">
        <f t="shared" si="121"/>
        <v>87.395198829562176</v>
      </c>
      <c r="BA87" s="351">
        <f t="shared" si="111"/>
        <v>0.80494728158339246</v>
      </c>
      <c r="BB87" s="351">
        <f t="shared" si="122"/>
        <v>1.4196015992205524</v>
      </c>
      <c r="BC87" s="351">
        <f t="shared" si="123"/>
        <v>1.1262558821441897</v>
      </c>
      <c r="BD87" s="351">
        <f t="shared" si="124"/>
        <v>0.28733285307636275</v>
      </c>
      <c r="BE87" s="351">
        <f t="shared" si="125"/>
        <v>0.12422792907770557</v>
      </c>
      <c r="BK87" s="18"/>
      <c r="BL87" s="19"/>
    </row>
    <row r="88" spans="1:64" x14ac:dyDescent="0.25">
      <c r="G88">
        <v>79</v>
      </c>
      <c r="H88" s="527">
        <f t="shared" si="80"/>
        <v>24</v>
      </c>
      <c r="I88" s="4">
        <f t="shared" si="81"/>
        <v>1</v>
      </c>
      <c r="J88" s="351">
        <f t="shared" si="112"/>
        <v>3.95</v>
      </c>
      <c r="K88" s="4">
        <f t="shared" si="82"/>
        <v>0.91435185185185175</v>
      </c>
      <c r="L88" s="4"/>
      <c r="M88" s="351">
        <f t="shared" si="83"/>
        <v>0.21444405653255655</v>
      </c>
      <c r="N88" s="4">
        <f t="shared" si="84"/>
        <v>1.955485072185515</v>
      </c>
      <c r="O88" s="4">
        <f t="shared" si="113"/>
        <v>4.927742536092758</v>
      </c>
      <c r="P88" s="4">
        <f t="shared" si="114"/>
        <v>2.9722574639072428</v>
      </c>
      <c r="Q88" s="4">
        <f t="shared" si="85"/>
        <v>0</v>
      </c>
      <c r="R88" s="4">
        <f t="shared" si="86"/>
        <v>3.9901328493708537</v>
      </c>
      <c r="S88" s="351">
        <f t="shared" si="87"/>
        <v>0.39006842381289503</v>
      </c>
      <c r="T88" s="351">
        <f t="shared" si="88"/>
        <v>0.4</v>
      </c>
      <c r="U88" s="351">
        <f t="shared" si="89"/>
        <v>0.81551701886417005</v>
      </c>
      <c r="V88" s="4">
        <f t="shared" si="115"/>
        <v>0.56449991641130093</v>
      </c>
      <c r="W88" s="351">
        <f t="shared" si="90"/>
        <v>3.1866015562836573E-4</v>
      </c>
      <c r="X88" s="351">
        <f t="shared" si="116"/>
        <v>3.1866015562836573E-4</v>
      </c>
      <c r="Y88" s="4">
        <f t="shared" si="91"/>
        <v>1.6376946184875634</v>
      </c>
      <c r="Z88" s="351">
        <f t="shared" si="117"/>
        <v>2.6820436634231262E-3</v>
      </c>
      <c r="AA88" s="520">
        <f t="shared" si="118"/>
        <v>2.6820436634231262E-3</v>
      </c>
      <c r="AB88" s="351">
        <f t="shared" si="92"/>
        <v>1.8477548994597355</v>
      </c>
      <c r="AC88" s="351">
        <f t="shared" si="93"/>
        <v>3.9263278937490757E-2</v>
      </c>
      <c r="AD88" s="351">
        <f t="shared" si="94"/>
        <v>0.15444612857142859</v>
      </c>
      <c r="AE88" s="351">
        <f t="shared" si="95"/>
        <v>0.53416704000000004</v>
      </c>
      <c r="AF88" s="351">
        <f t="shared" si="96"/>
        <v>0</v>
      </c>
      <c r="AG88" s="351">
        <f t="shared" si="97"/>
        <v>0.73247796537613996</v>
      </c>
      <c r="AH88" s="351">
        <f t="shared" si="98"/>
        <v>3.536518342544106</v>
      </c>
      <c r="AI88" s="351">
        <f t="shared" si="99"/>
        <v>4.1272974557598006E-2</v>
      </c>
      <c r="AJ88" s="351">
        <f t="shared" si="100"/>
        <v>4.8663999999999999E-2</v>
      </c>
      <c r="AK88" s="351">
        <f t="shared" si="101"/>
        <v>9.0564939141670769E-2</v>
      </c>
      <c r="AL88" s="351">
        <f t="shared" si="102"/>
        <v>4.8663999999999999E-2</v>
      </c>
      <c r="AM88" s="351">
        <f t="shared" si="103"/>
        <v>0.60899519999999996</v>
      </c>
      <c r="AN88" s="351">
        <f t="shared" si="104"/>
        <v>0.12736928124502694</v>
      </c>
      <c r="AO88" s="351">
        <f t="shared" si="105"/>
        <v>8.3999999999999993E-4</v>
      </c>
      <c r="AP88" s="351">
        <f>'Variable Management'!$B$347</f>
        <v>0.41183999999999998</v>
      </c>
      <c r="AQ88" s="351">
        <f t="shared" si="106"/>
        <v>0.36108727954971853</v>
      </c>
      <c r="AR88" s="351">
        <f t="shared" si="107"/>
        <v>0.32603999999999994</v>
      </c>
      <c r="AS88" s="351">
        <f t="shared" si="126"/>
        <v>0.41267999999999999</v>
      </c>
      <c r="AT88" s="351">
        <f t="shared" si="119"/>
        <v>2.8392691084460591</v>
      </c>
      <c r="AU88">
        <f t="shared" si="108"/>
        <v>19.75</v>
      </c>
      <c r="AV88" s="521">
        <f t="shared" si="120"/>
        <v>0.8743089431173996</v>
      </c>
      <c r="AW88" s="530">
        <f t="shared" si="109"/>
        <v>47.645421489797869</v>
      </c>
      <c r="AX88" s="530">
        <f t="shared" si="110"/>
        <v>11.661334205666831</v>
      </c>
      <c r="AY88" s="9"/>
      <c r="AZ88" s="4">
        <f t="shared" si="121"/>
        <v>87.430894311739962</v>
      </c>
      <c r="BA88" s="351">
        <f t="shared" si="111"/>
        <v>0.81551701886417005</v>
      </c>
      <c r="BB88" s="351">
        <f t="shared" si="122"/>
        <v>1.4320381045178108</v>
      </c>
      <c r="BC88" s="351">
        <f t="shared" si="123"/>
        <v>1.1344147973761398</v>
      </c>
      <c r="BD88" s="351">
        <f t="shared" si="124"/>
        <v>0.29153335514167078</v>
      </c>
      <c r="BE88" s="351">
        <f t="shared" si="125"/>
        <v>0.12736928124502694</v>
      </c>
      <c r="BK88" s="18"/>
      <c r="BL88" s="19"/>
    </row>
    <row r="89" spans="1:64" x14ac:dyDescent="0.25">
      <c r="G89">
        <v>80</v>
      </c>
      <c r="H89" s="527">
        <f t="shared" si="80"/>
        <v>24</v>
      </c>
      <c r="I89" s="4">
        <f t="shared" si="81"/>
        <v>1</v>
      </c>
      <c r="J89" s="351">
        <f t="shared" si="112"/>
        <v>4</v>
      </c>
      <c r="K89" s="4">
        <f t="shared" si="82"/>
        <v>0.92592592592592582</v>
      </c>
      <c r="L89" s="4"/>
      <c r="M89" s="351">
        <f t="shared" si="83"/>
        <v>0.21452139714704707</v>
      </c>
      <c r="N89" s="4">
        <f t="shared" si="84"/>
        <v>1.9560036095767506</v>
      </c>
      <c r="O89" s="4">
        <f t="shared" si="113"/>
        <v>4.9780018047883754</v>
      </c>
      <c r="P89" s="4">
        <f t="shared" si="114"/>
        <v>3.0219981952116246</v>
      </c>
      <c r="Q89" s="4">
        <f t="shared" si="85"/>
        <v>0</v>
      </c>
      <c r="R89" s="4">
        <f t="shared" si="86"/>
        <v>4.039657061771841</v>
      </c>
      <c r="S89" s="351">
        <f t="shared" si="87"/>
        <v>0.39981131482971605</v>
      </c>
      <c r="T89" s="351">
        <f t="shared" si="88"/>
        <v>0.4</v>
      </c>
      <c r="U89" s="351">
        <f t="shared" si="89"/>
        <v>0.82623847408465079</v>
      </c>
      <c r="V89" s="4">
        <f t="shared" si="115"/>
        <v>0.56464960526250829</v>
      </c>
      <c r="W89" s="351">
        <f t="shared" si="90"/>
        <v>3.1882917672310644E-4</v>
      </c>
      <c r="X89" s="351">
        <f t="shared" si="116"/>
        <v>3.1882917672310644E-4</v>
      </c>
      <c r="Y89" s="4">
        <f t="shared" si="91"/>
        <v>1.6582384691366567</v>
      </c>
      <c r="Z89" s="351">
        <f t="shared" si="117"/>
        <v>2.7497548205246826E-3</v>
      </c>
      <c r="AA89" s="520">
        <f t="shared" si="118"/>
        <v>2.7497548205246826E-3</v>
      </c>
      <c r="AB89" s="351">
        <f t="shared" si="92"/>
        <v>1.8710259310855732</v>
      </c>
      <c r="AC89" s="351">
        <f t="shared" si="93"/>
        <v>4.0258487400138314E-2</v>
      </c>
      <c r="AD89" s="351">
        <f t="shared" si="94"/>
        <v>0.15640114285714285</v>
      </c>
      <c r="AE89" s="351">
        <f t="shared" si="95"/>
        <v>0.53416704000000004</v>
      </c>
      <c r="AF89" s="351">
        <f t="shared" si="96"/>
        <v>0</v>
      </c>
      <c r="AG89" s="351">
        <f t="shared" si="97"/>
        <v>0.73556470584806033</v>
      </c>
      <c r="AH89" s="351">
        <f t="shared" si="98"/>
        <v>3.5802361852157838</v>
      </c>
      <c r="AI89" s="351">
        <f t="shared" si="99"/>
        <v>4.2299700768363944E-2</v>
      </c>
      <c r="AJ89" s="351">
        <f t="shared" si="100"/>
        <v>4.9279999999999997E-2</v>
      </c>
      <c r="AK89" s="351">
        <f t="shared" si="101"/>
        <v>9.223515604453314E-2</v>
      </c>
      <c r="AL89" s="351">
        <f t="shared" si="102"/>
        <v>4.9279999999999997E-2</v>
      </c>
      <c r="AM89" s="351">
        <f t="shared" si="103"/>
        <v>0.61670400000000014</v>
      </c>
      <c r="AN89" s="351">
        <f t="shared" si="104"/>
        <v>0.13055063341378484</v>
      </c>
      <c r="AO89" s="351">
        <f t="shared" si="105"/>
        <v>8.3999999999999993E-4</v>
      </c>
      <c r="AP89" s="351">
        <f>'Variable Management'!$B$347</f>
        <v>0.41183999999999998</v>
      </c>
      <c r="AQ89" s="351">
        <f t="shared" si="106"/>
        <v>0.36108727954971853</v>
      </c>
      <c r="AR89" s="351">
        <f t="shared" si="107"/>
        <v>0.32603999999999994</v>
      </c>
      <c r="AS89" s="351">
        <f t="shared" si="126"/>
        <v>0.41267999999999999</v>
      </c>
      <c r="AT89" s="351">
        <f t="shared" si="119"/>
        <v>2.8663215533882771</v>
      </c>
      <c r="AU89">
        <f t="shared" si="108"/>
        <v>20</v>
      </c>
      <c r="AV89" s="521">
        <f t="shared" si="120"/>
        <v>0.87464876907744027</v>
      </c>
      <c r="AW89" s="530">
        <f t="shared" si="109"/>
        <v>47.988752525618537</v>
      </c>
      <c r="AX89" s="530">
        <f t="shared" si="110"/>
        <v>11.829899041781328</v>
      </c>
      <c r="AY89" s="9"/>
      <c r="AZ89" s="4">
        <f t="shared" si="121"/>
        <v>87.464876907744028</v>
      </c>
      <c r="BA89" s="351">
        <f t="shared" si="111"/>
        <v>0.82623847408465079</v>
      </c>
      <c r="BB89" s="351">
        <f t="shared" si="122"/>
        <v>1.4445038618925936</v>
      </c>
      <c r="BC89" s="351">
        <f t="shared" si="123"/>
        <v>1.1425893458480605</v>
      </c>
      <c r="BD89" s="351">
        <f t="shared" si="124"/>
        <v>0.29574747604453322</v>
      </c>
      <c r="BE89" s="351">
        <f t="shared" si="125"/>
        <v>0.13055063341378484</v>
      </c>
      <c r="BK89" s="18"/>
      <c r="BL89" s="19"/>
    </row>
    <row r="90" spans="1:64" x14ac:dyDescent="0.25">
      <c r="G90">
        <v>81</v>
      </c>
      <c r="H90" s="527">
        <f t="shared" si="80"/>
        <v>24</v>
      </c>
      <c r="I90" s="4">
        <f t="shared" si="81"/>
        <v>1</v>
      </c>
      <c r="J90" s="351">
        <f t="shared" si="112"/>
        <v>4.05</v>
      </c>
      <c r="K90" s="4">
        <f t="shared" si="82"/>
        <v>0.93749999999999989</v>
      </c>
      <c r="L90" s="4"/>
      <c r="M90" s="351">
        <f t="shared" si="83"/>
        <v>0.21459873750377031</v>
      </c>
      <c r="N90" s="4">
        <f t="shared" si="84"/>
        <v>1.9565220099823915</v>
      </c>
      <c r="O90" s="4">
        <f t="shared" si="113"/>
        <v>5.0282610049911955</v>
      </c>
      <c r="P90" s="4">
        <f t="shared" si="114"/>
        <v>3.0717389950088041</v>
      </c>
      <c r="Q90" s="4">
        <f t="shared" si="85"/>
        <v>0</v>
      </c>
      <c r="R90" s="4">
        <f t="shared" si="86"/>
        <v>4.0891928540926177</v>
      </c>
      <c r="S90" s="351">
        <f t="shared" si="87"/>
        <v>0.40967670585007215</v>
      </c>
      <c r="T90" s="351">
        <f t="shared" si="88"/>
        <v>0.4</v>
      </c>
      <c r="U90" s="351">
        <f t="shared" si="89"/>
        <v>0.83711233991758272</v>
      </c>
      <c r="V90" s="4">
        <f t="shared" si="115"/>
        <v>0.56479925456938074</v>
      </c>
      <c r="W90" s="351">
        <f t="shared" si="90"/>
        <v>3.1899819796212816E-4</v>
      </c>
      <c r="X90" s="351">
        <f t="shared" si="116"/>
        <v>3.1899819796212816E-4</v>
      </c>
      <c r="Y90" s="4">
        <f t="shared" si="91"/>
        <v>1.6787923133147502</v>
      </c>
      <c r="Z90" s="351">
        <f t="shared" si="117"/>
        <v>2.8183436312446903E-3</v>
      </c>
      <c r="AA90" s="520">
        <f t="shared" si="118"/>
        <v>2.8183436312446903E-3</v>
      </c>
      <c r="AB90" s="351">
        <f t="shared" si="92"/>
        <v>1.8943105348527847</v>
      </c>
      <c r="AC90" s="351">
        <f t="shared" si="93"/>
        <v>4.1266742628223795E-2</v>
      </c>
      <c r="AD90" s="351">
        <f t="shared" si="94"/>
        <v>0.15835615714285711</v>
      </c>
      <c r="AE90" s="351">
        <f t="shared" si="95"/>
        <v>0.53416704000000004</v>
      </c>
      <c r="AF90" s="351">
        <f t="shared" si="96"/>
        <v>0</v>
      </c>
      <c r="AG90" s="351">
        <f t="shared" si="97"/>
        <v>0.73866712152981728</v>
      </c>
      <c r="AH90" s="351">
        <f t="shared" si="98"/>
        <v>3.623959960527694</v>
      </c>
      <c r="AI90" s="351">
        <f t="shared" si="99"/>
        <v>4.3339183125176019E-2</v>
      </c>
      <c r="AJ90" s="351">
        <f t="shared" si="100"/>
        <v>4.9895999999999996E-2</v>
      </c>
      <c r="AK90" s="351">
        <f t="shared" si="101"/>
        <v>9.391900578762441E-2</v>
      </c>
      <c r="AL90" s="351">
        <f t="shared" si="102"/>
        <v>4.9895999999999996E-2</v>
      </c>
      <c r="AM90" s="351">
        <f t="shared" si="103"/>
        <v>0.6244128000000001</v>
      </c>
      <c r="AN90" s="351">
        <f t="shared" si="104"/>
        <v>0.13377198558369702</v>
      </c>
      <c r="AO90" s="351">
        <f t="shared" si="105"/>
        <v>8.3999999999999993E-4</v>
      </c>
      <c r="AP90" s="351">
        <f>'Variable Management'!$B$347</f>
        <v>0.41183999999999998</v>
      </c>
      <c r="AQ90" s="351">
        <f t="shared" si="106"/>
        <v>0.36108727954971853</v>
      </c>
      <c r="AR90" s="351">
        <f t="shared" si="107"/>
        <v>0.32603999999999994</v>
      </c>
      <c r="AS90" s="351">
        <f t="shared" si="126"/>
        <v>0.41267999999999999</v>
      </c>
      <c r="AT90" s="351">
        <f t="shared" si="119"/>
        <v>2.8935965946479283</v>
      </c>
      <c r="AU90">
        <f t="shared" si="108"/>
        <v>20.25</v>
      </c>
      <c r="AV90" s="521">
        <f t="shared" si="120"/>
        <v>0.87497204322524846</v>
      </c>
      <c r="AW90" s="530">
        <f t="shared" si="109"/>
        <v>48.332741920252325</v>
      </c>
      <c r="AX90" s="530">
        <f t="shared" si="110"/>
        <v>11.999009191504978</v>
      </c>
      <c r="AY90" s="9"/>
      <c r="AZ90" s="4">
        <f t="shared" si="121"/>
        <v>87.497204322524851</v>
      </c>
      <c r="BA90" s="351">
        <f t="shared" si="111"/>
        <v>0.83711233991758272</v>
      </c>
      <c r="BB90" s="351">
        <f t="shared" si="122"/>
        <v>1.456998927317442</v>
      </c>
      <c r="BC90" s="351">
        <f t="shared" si="123"/>
        <v>1.1507795695298173</v>
      </c>
      <c r="BD90" s="351">
        <f t="shared" si="124"/>
        <v>0.29997522978762448</v>
      </c>
      <c r="BE90" s="351">
        <f t="shared" si="125"/>
        <v>0.13377198558369702</v>
      </c>
      <c r="BK90" s="18"/>
      <c r="BL90" s="19"/>
    </row>
    <row r="91" spans="1:64" x14ac:dyDescent="0.25">
      <c r="G91">
        <v>82</v>
      </c>
      <c r="H91" s="527">
        <f t="shared" si="80"/>
        <v>24</v>
      </c>
      <c r="I91" s="4">
        <f t="shared" si="81"/>
        <v>1</v>
      </c>
      <c r="J91" s="351">
        <f t="shared" si="112"/>
        <v>4.0999999999999996</v>
      </c>
      <c r="K91" s="4">
        <f t="shared" si="82"/>
        <v>0.94907407407407396</v>
      </c>
      <c r="L91" s="4"/>
      <c r="M91" s="351">
        <f t="shared" si="83"/>
        <v>0.21467607760272761</v>
      </c>
      <c r="N91" s="4">
        <f t="shared" si="84"/>
        <v>1.9570402734031245</v>
      </c>
      <c r="O91" s="4">
        <f t="shared" si="113"/>
        <v>5.0785201367015622</v>
      </c>
      <c r="P91" s="4">
        <f t="shared" si="114"/>
        <v>3.1214798632984375</v>
      </c>
      <c r="Q91" s="4">
        <f t="shared" si="85"/>
        <v>0</v>
      </c>
      <c r="R91" s="4">
        <f t="shared" si="86"/>
        <v>4.1387398105353457</v>
      </c>
      <c r="S91" s="351">
        <f t="shared" si="87"/>
        <v>0.41966459687309865</v>
      </c>
      <c r="T91" s="351">
        <f t="shared" si="88"/>
        <v>0.4</v>
      </c>
      <c r="U91" s="351">
        <f t="shared" si="89"/>
        <v>0.8481393205574147</v>
      </c>
      <c r="V91" s="4">
        <f t="shared" si="115"/>
        <v>0.56494886433211644</v>
      </c>
      <c r="W91" s="351">
        <f t="shared" si="90"/>
        <v>3.1916721931014814E-4</v>
      </c>
      <c r="X91" s="351">
        <f t="shared" si="116"/>
        <v>3.1916721931014814E-4</v>
      </c>
      <c r="Y91" s="4">
        <f t="shared" si="91"/>
        <v>1.6993559789610797</v>
      </c>
      <c r="Z91" s="351">
        <f t="shared" si="117"/>
        <v>2.8878107432307692E-3</v>
      </c>
      <c r="AA91" s="520">
        <f t="shared" si="118"/>
        <v>2.8878107432307692E-3</v>
      </c>
      <c r="AB91" s="351">
        <f t="shared" si="92"/>
        <v>1.9176085187656846</v>
      </c>
      <c r="AC91" s="351">
        <f t="shared" si="93"/>
        <v>4.228805795929131E-2</v>
      </c>
      <c r="AD91" s="351">
        <f t="shared" si="94"/>
        <v>0.1603111714285714</v>
      </c>
      <c r="AE91" s="351">
        <f t="shared" si="95"/>
        <v>0.53416704000000004</v>
      </c>
      <c r="AF91" s="351">
        <f t="shared" si="96"/>
        <v>0</v>
      </c>
      <c r="AG91" s="351">
        <f t="shared" si="97"/>
        <v>0.7417852546425302</v>
      </c>
      <c r="AH91" s="351">
        <f t="shared" si="98"/>
        <v>3.6676892981913589</v>
      </c>
      <c r="AI91" s="351">
        <f t="shared" si="99"/>
        <v>4.4391417800622494E-2</v>
      </c>
      <c r="AJ91" s="351">
        <f t="shared" si="100"/>
        <v>5.0511999999999994E-2</v>
      </c>
      <c r="AK91" s="351">
        <f t="shared" si="101"/>
        <v>9.5616502555704697E-2</v>
      </c>
      <c r="AL91" s="351">
        <f t="shared" si="102"/>
        <v>5.0511999999999994E-2</v>
      </c>
      <c r="AM91" s="351">
        <f t="shared" si="103"/>
        <v>0.63212159999999995</v>
      </c>
      <c r="AN91" s="351">
        <f t="shared" si="104"/>
        <v>0.13703333775448118</v>
      </c>
      <c r="AO91" s="351">
        <f t="shared" si="105"/>
        <v>8.3999999999999993E-4</v>
      </c>
      <c r="AP91" s="351">
        <f>'Variable Management'!$B$347</f>
        <v>0.41183999999999998</v>
      </c>
      <c r="AQ91" s="351">
        <f t="shared" si="106"/>
        <v>0.36108727954971853</v>
      </c>
      <c r="AR91" s="351">
        <f t="shared" si="107"/>
        <v>0.32603999999999994</v>
      </c>
      <c r="AS91" s="351">
        <f t="shared" si="126"/>
        <v>0.41267999999999999</v>
      </c>
      <c r="AT91" s="351">
        <f t="shared" si="119"/>
        <v>2.9210949934726713</v>
      </c>
      <c r="AU91">
        <f t="shared" si="108"/>
        <v>20.5</v>
      </c>
      <c r="AV91" s="521">
        <f t="shared" si="120"/>
        <v>0.87527931574989282</v>
      </c>
      <c r="AW91" s="530">
        <f t="shared" si="109"/>
        <v>48.67739144698627</v>
      </c>
      <c r="AX91" s="530">
        <f t="shared" si="110"/>
        <v>12.168665222228189</v>
      </c>
      <c r="AY91" s="9"/>
      <c r="AZ91" s="4">
        <f t="shared" si="121"/>
        <v>87.527931574989282</v>
      </c>
      <c r="BA91" s="351">
        <f t="shared" si="111"/>
        <v>0.8481393205574147</v>
      </c>
      <c r="BB91" s="351">
        <f t="shared" si="122"/>
        <v>1.4695233571982347</v>
      </c>
      <c r="BC91" s="351">
        <f t="shared" si="123"/>
        <v>1.1589855106425302</v>
      </c>
      <c r="BD91" s="351">
        <f t="shared" si="124"/>
        <v>0.30421663055570469</v>
      </c>
      <c r="BE91" s="351">
        <f t="shared" si="125"/>
        <v>0.13703333775448118</v>
      </c>
      <c r="BK91" s="18"/>
      <c r="BL91" s="19"/>
    </row>
    <row r="92" spans="1:64" x14ac:dyDescent="0.25">
      <c r="G92">
        <v>83</v>
      </c>
      <c r="H92" s="527">
        <f t="shared" si="80"/>
        <v>24</v>
      </c>
      <c r="I92" s="4">
        <f t="shared" si="81"/>
        <v>1</v>
      </c>
      <c r="J92" s="351">
        <f t="shared" si="112"/>
        <v>4.1500000000000004</v>
      </c>
      <c r="K92" s="4">
        <f t="shared" si="82"/>
        <v>0.96064814814814814</v>
      </c>
      <c r="L92" s="4"/>
      <c r="M92" s="351">
        <f t="shared" si="83"/>
        <v>0.21475341744392026</v>
      </c>
      <c r="N92" s="4">
        <f t="shared" si="84"/>
        <v>1.957558399839634</v>
      </c>
      <c r="O92" s="4">
        <f t="shared" si="113"/>
        <v>5.1287791999198173</v>
      </c>
      <c r="P92" s="4">
        <f t="shared" si="114"/>
        <v>3.1712208000801834</v>
      </c>
      <c r="Q92" s="4">
        <f t="shared" si="85"/>
        <v>0</v>
      </c>
      <c r="R92" s="4">
        <f t="shared" si="86"/>
        <v>4.1882975348859706</v>
      </c>
      <c r="S92" s="351">
        <f t="shared" si="87"/>
        <v>0.4297749878979315</v>
      </c>
      <c r="T92" s="351">
        <f t="shared" si="88"/>
        <v>0.4</v>
      </c>
      <c r="U92" s="351">
        <f t="shared" si="89"/>
        <v>0.8593201318388507</v>
      </c>
      <c r="V92" s="4">
        <f t="shared" si="115"/>
        <v>0.56509843455091291</v>
      </c>
      <c r="W92" s="351">
        <f t="shared" si="90"/>
        <v>3.1933624073189235E-4</v>
      </c>
      <c r="X92" s="351">
        <f t="shared" si="116"/>
        <v>3.1933624073189235E-4</v>
      </c>
      <c r="Y92" s="4">
        <f t="shared" si="91"/>
        <v>1.7199293019677948</v>
      </c>
      <c r="Z92" s="351">
        <f t="shared" si="117"/>
        <v>2.9581568037674259E-3</v>
      </c>
      <c r="AA92" s="520">
        <f t="shared" si="118"/>
        <v>2.9581568037674259E-3</v>
      </c>
      <c r="AB92" s="351">
        <f t="shared" si="92"/>
        <v>1.9409196997657543</v>
      </c>
      <c r="AC92" s="351">
        <f t="shared" si="93"/>
        <v>4.3322446730796035E-2</v>
      </c>
      <c r="AD92" s="351">
        <f t="shared" si="94"/>
        <v>0.16226618571428575</v>
      </c>
      <c r="AE92" s="351">
        <f t="shared" si="95"/>
        <v>0.53416704000000004</v>
      </c>
      <c r="AF92" s="351">
        <f t="shared" si="96"/>
        <v>0</v>
      </c>
      <c r="AG92" s="351">
        <f t="shared" si="97"/>
        <v>0.74491914766000178</v>
      </c>
      <c r="AH92" s="351">
        <f t="shared" si="98"/>
        <v>3.7114238453446826</v>
      </c>
      <c r="AI92" s="351">
        <f t="shared" si="99"/>
        <v>4.5456400967317262E-2</v>
      </c>
      <c r="AJ92" s="351">
        <f t="shared" si="100"/>
        <v>5.1128E-2</v>
      </c>
      <c r="AK92" s="351">
        <f t="shared" si="101"/>
        <v>9.7327660715997799E-2</v>
      </c>
      <c r="AL92" s="351">
        <f t="shared" si="102"/>
        <v>5.1128E-2</v>
      </c>
      <c r="AM92" s="351">
        <f t="shared" si="103"/>
        <v>0.63983040000000013</v>
      </c>
      <c r="AN92" s="351">
        <f t="shared" si="104"/>
        <v>0.14033468992585518</v>
      </c>
      <c r="AO92" s="351">
        <f t="shared" si="105"/>
        <v>8.3999999999999993E-4</v>
      </c>
      <c r="AP92" s="351">
        <f>'Variable Management'!$B$347</f>
        <v>0.41183999999999998</v>
      </c>
      <c r="AQ92" s="351">
        <f t="shared" si="106"/>
        <v>0.36108727954971853</v>
      </c>
      <c r="AR92" s="351">
        <f t="shared" si="107"/>
        <v>0.32603999999999994</v>
      </c>
      <c r="AS92" s="351">
        <f t="shared" si="126"/>
        <v>0.41267999999999999</v>
      </c>
      <c r="AT92" s="351">
        <f t="shared" si="119"/>
        <v>2.9488175231852054</v>
      </c>
      <c r="AU92">
        <f t="shared" si="108"/>
        <v>20.75</v>
      </c>
      <c r="AV92" s="521">
        <f t="shared" si="120"/>
        <v>0.87557111149953804</v>
      </c>
      <c r="AW92" s="530">
        <f t="shared" si="109"/>
        <v>49.02270288972008</v>
      </c>
      <c r="AX92" s="530">
        <f t="shared" si="110"/>
        <v>12.338867708639913</v>
      </c>
      <c r="AY92" s="9"/>
      <c r="AZ92" s="4">
        <f t="shared" si="121"/>
        <v>87.557111149953798</v>
      </c>
      <c r="BA92" s="351">
        <f t="shared" si="111"/>
        <v>0.8593201318388507</v>
      </c>
      <c r="BB92" s="351">
        <f t="shared" si="122"/>
        <v>1.4820772083759997</v>
      </c>
      <c r="BC92" s="351">
        <f t="shared" si="123"/>
        <v>1.1672072116600019</v>
      </c>
      <c r="BD92" s="351">
        <f t="shared" si="124"/>
        <v>0.30847169271599784</v>
      </c>
      <c r="BE92" s="351">
        <f t="shared" si="125"/>
        <v>0.14033468992585518</v>
      </c>
      <c r="BK92" s="18"/>
      <c r="BL92" s="19"/>
    </row>
    <row r="93" spans="1:64" x14ac:dyDescent="0.25">
      <c r="G93">
        <v>84</v>
      </c>
      <c r="H93" s="527">
        <f t="shared" si="80"/>
        <v>24</v>
      </c>
      <c r="I93" s="4">
        <f t="shared" si="81"/>
        <v>1</v>
      </c>
      <c r="J93" s="351">
        <f t="shared" si="112"/>
        <v>4.2</v>
      </c>
      <c r="K93" s="4">
        <f t="shared" si="82"/>
        <v>0.97222222222222221</v>
      </c>
      <c r="L93" s="4"/>
      <c r="M93" s="351">
        <f t="shared" si="83"/>
        <v>0.21483075702734947</v>
      </c>
      <c r="N93" s="4">
        <f t="shared" si="84"/>
        <v>1.9580763892926039</v>
      </c>
      <c r="O93" s="4">
        <f t="shared" si="113"/>
        <v>5.179038194646302</v>
      </c>
      <c r="P93" s="4">
        <f t="shared" si="114"/>
        <v>3.2209618053536984</v>
      </c>
      <c r="Q93" s="4">
        <f t="shared" si="85"/>
        <v>0</v>
      </c>
      <c r="R93" s="4">
        <f t="shared" si="86"/>
        <v>4.2378656493796614</v>
      </c>
      <c r="S93" s="351">
        <f t="shared" si="87"/>
        <v>0.44000787892370646</v>
      </c>
      <c r="T93" s="351">
        <f t="shared" si="88"/>
        <v>0.4</v>
      </c>
      <c r="U93" s="351">
        <f t="shared" si="89"/>
        <v>0.87065550135776126</v>
      </c>
      <c r="V93" s="4">
        <f t="shared" si="115"/>
        <v>0.56524796522596765</v>
      </c>
      <c r="W93" s="351">
        <f t="shared" si="90"/>
        <v>3.1950526219209674E-4</v>
      </c>
      <c r="X93" s="351">
        <f t="shared" si="116"/>
        <v>3.1950526219209674E-4</v>
      </c>
      <c r="Y93" s="4">
        <f t="shared" si="91"/>
        <v>1.7405121257193397</v>
      </c>
      <c r="Z93" s="351">
        <f t="shared" si="117"/>
        <v>3.0293824597760546E-3</v>
      </c>
      <c r="AA93" s="520">
        <f t="shared" si="118"/>
        <v>3.0293824597760546E-3</v>
      </c>
      <c r="AB93" s="351">
        <f t="shared" si="92"/>
        <v>1.9642439032140064</v>
      </c>
      <c r="AC93" s="351">
        <f t="shared" si="93"/>
        <v>4.4369922280104043E-2</v>
      </c>
      <c r="AD93" s="351">
        <f t="shared" si="94"/>
        <v>0.16422120000000004</v>
      </c>
      <c r="AE93" s="351">
        <f t="shared" si="95"/>
        <v>0.53416704000000004</v>
      </c>
      <c r="AF93" s="351">
        <f t="shared" si="96"/>
        <v>0</v>
      </c>
      <c r="AG93" s="351">
        <f t="shared" si="97"/>
        <v>0.74806884331015844</v>
      </c>
      <c r="AH93" s="351">
        <f t="shared" si="98"/>
        <v>3.7551632655423526</v>
      </c>
      <c r="AI93" s="351">
        <f t="shared" si="99"/>
        <v>4.6534128797899726E-2</v>
      </c>
      <c r="AJ93" s="351">
        <f t="shared" si="100"/>
        <v>5.1743999999999998E-2</v>
      </c>
      <c r="AK93" s="351">
        <f t="shared" si="101"/>
        <v>9.9052494818575393E-2</v>
      </c>
      <c r="AL93" s="351">
        <f t="shared" si="102"/>
        <v>5.1743999999999998E-2</v>
      </c>
      <c r="AM93" s="351">
        <f t="shared" si="103"/>
        <v>0.64753920000000009</v>
      </c>
      <c r="AN93" s="351">
        <f t="shared" si="104"/>
        <v>0.14367604209753679</v>
      </c>
      <c r="AO93" s="351">
        <f t="shared" si="105"/>
        <v>8.3999999999999993E-4</v>
      </c>
      <c r="AP93" s="351">
        <f>'Variable Management'!$B$347</f>
        <v>0.41183999999999998</v>
      </c>
      <c r="AQ93" s="351">
        <f t="shared" si="106"/>
        <v>0.36108727954971853</v>
      </c>
      <c r="AR93" s="351">
        <f t="shared" si="107"/>
        <v>0.32603999999999994</v>
      </c>
      <c r="AS93" s="351">
        <f t="shared" si="126"/>
        <v>0.41267999999999999</v>
      </c>
      <c r="AT93" s="351">
        <f t="shared" si="119"/>
        <v>2.9767649693059997</v>
      </c>
      <c r="AU93">
        <f t="shared" si="108"/>
        <v>21</v>
      </c>
      <c r="AV93" s="521">
        <f t="shared" si="120"/>
        <v>0.87584793139872186</v>
      </c>
      <c r="AW93" s="530">
        <f t="shared" si="109"/>
        <v>49.368678043026662</v>
      </c>
      <c r="AX93" s="530">
        <f t="shared" si="110"/>
        <v>12.509617232743018</v>
      </c>
      <c r="AY93" s="9"/>
      <c r="AZ93" s="4">
        <f t="shared" si="121"/>
        <v>87.58479313987219</v>
      </c>
      <c r="BA93" s="351">
        <f t="shared" si="111"/>
        <v>0.87065550135776126</v>
      </c>
      <c r="BB93" s="351">
        <f t="shared" si="122"/>
        <v>1.4946605381287339</v>
      </c>
      <c r="BC93" s="351">
        <f t="shared" si="123"/>
        <v>1.1754447153101586</v>
      </c>
      <c r="BD93" s="351">
        <f t="shared" si="124"/>
        <v>0.31274043081857544</v>
      </c>
      <c r="BE93" s="351">
        <f t="shared" si="125"/>
        <v>0.14367604209753679</v>
      </c>
      <c r="BK93" s="18"/>
      <c r="BL93" s="19"/>
    </row>
    <row r="94" spans="1:64" x14ac:dyDescent="0.25">
      <c r="G94">
        <v>85</v>
      </c>
      <c r="H94" s="527">
        <f t="shared" si="80"/>
        <v>24</v>
      </c>
      <c r="I94" s="4">
        <f t="shared" si="81"/>
        <v>1</v>
      </c>
      <c r="J94" s="351">
        <f t="shared" si="112"/>
        <v>4.25</v>
      </c>
      <c r="K94" s="4">
        <f t="shared" si="82"/>
        <v>0.98379629629629628</v>
      </c>
      <c r="L94" s="4"/>
      <c r="M94" s="351">
        <f t="shared" si="83"/>
        <v>0.21490809635301666</v>
      </c>
      <c r="N94" s="4">
        <f t="shared" si="84"/>
        <v>1.9585942417627202</v>
      </c>
      <c r="O94" s="4">
        <f t="shared" si="113"/>
        <v>5.2292971208813599</v>
      </c>
      <c r="P94" s="4">
        <f t="shared" si="114"/>
        <v>3.2707028791186401</v>
      </c>
      <c r="Q94" s="4">
        <f t="shared" si="85"/>
        <v>0</v>
      </c>
      <c r="R94" s="4">
        <f t="shared" si="86"/>
        <v>4.2874437936438898</v>
      </c>
      <c r="S94" s="351">
        <f t="shared" si="87"/>
        <v>0.45036326994956</v>
      </c>
      <c r="T94" s="351">
        <f t="shared" si="88"/>
        <v>0.4</v>
      </c>
      <c r="U94" s="351">
        <f t="shared" si="89"/>
        <v>0.88214616859449535</v>
      </c>
      <c r="V94" s="4">
        <f t="shared" si="115"/>
        <v>0.56539745635747873</v>
      </c>
      <c r="W94" s="351">
        <f t="shared" si="90"/>
        <v>3.1967428365550711E-4</v>
      </c>
      <c r="X94" s="351">
        <f t="shared" si="116"/>
        <v>3.1967428365550711E-4</v>
      </c>
      <c r="Y94" s="4">
        <f t="shared" si="91"/>
        <v>1.7611043006633524</v>
      </c>
      <c r="Z94" s="351">
        <f t="shared" si="117"/>
        <v>3.101488357814956E-3</v>
      </c>
      <c r="AA94" s="520">
        <f t="shared" si="118"/>
        <v>3.101488357814956E-3</v>
      </c>
      <c r="AB94" s="351">
        <f t="shared" si="92"/>
        <v>1.9875809624087728</v>
      </c>
      <c r="AC94" s="351">
        <f t="shared" si="93"/>
        <v>4.5430497944492505E-2</v>
      </c>
      <c r="AD94" s="351">
        <f t="shared" si="94"/>
        <v>0.16617621428571427</v>
      </c>
      <c r="AE94" s="351">
        <f t="shared" si="95"/>
        <v>0.53416704000000004</v>
      </c>
      <c r="AF94" s="351">
        <f t="shared" si="96"/>
        <v>0</v>
      </c>
      <c r="AG94" s="351">
        <f t="shared" si="97"/>
        <v>0.75123438457650038</v>
      </c>
      <c r="AH94" s="351">
        <f t="shared" si="98"/>
        <v>3.7989072378153335</v>
      </c>
      <c r="AI94" s="351">
        <f t="shared" si="99"/>
        <v>4.7624597465034897E-2</v>
      </c>
      <c r="AJ94" s="351">
        <f t="shared" si="100"/>
        <v>5.2359999999999997E-2</v>
      </c>
      <c r="AK94" s="351">
        <f t="shared" si="101"/>
        <v>0.10079101959674767</v>
      </c>
      <c r="AL94" s="351">
        <f t="shared" si="102"/>
        <v>5.2359999999999997E-2</v>
      </c>
      <c r="AM94" s="351">
        <f t="shared" si="103"/>
        <v>0.65524800000000005</v>
      </c>
      <c r="AN94" s="351">
        <f t="shared" si="104"/>
        <v>0.14705739426924408</v>
      </c>
      <c r="AO94" s="351">
        <f t="shared" si="105"/>
        <v>8.3999999999999993E-4</v>
      </c>
      <c r="AP94" s="351">
        <f>'Variable Management'!$B$347</f>
        <v>0.41183999999999998</v>
      </c>
      <c r="AQ94" s="351">
        <f t="shared" si="106"/>
        <v>0.36108727954971853</v>
      </c>
      <c r="AR94" s="351">
        <f t="shared" si="107"/>
        <v>0.32603999999999994</v>
      </c>
      <c r="AS94" s="351">
        <f t="shared" si="126"/>
        <v>0.41267999999999999</v>
      </c>
      <c r="AT94" s="351">
        <f t="shared" si="119"/>
        <v>3.0049381296784583</v>
      </c>
      <c r="AU94">
        <f t="shared" si="108"/>
        <v>21.25</v>
      </c>
      <c r="AV94" s="521">
        <f t="shared" si="120"/>
        <v>0.87611025377130936</v>
      </c>
      <c r="AW94" s="530">
        <f t="shared" si="109"/>
        <v>49.715318712213019</v>
      </c>
      <c r="AX94" s="530">
        <f t="shared" si="110"/>
        <v>12.680914383869908</v>
      </c>
      <c r="AY94" s="9"/>
      <c r="AZ94" s="4">
        <f t="shared" si="121"/>
        <v>87.611025377130929</v>
      </c>
      <c r="BA94" s="351">
        <f t="shared" si="111"/>
        <v>0.88214616859449535</v>
      </c>
      <c r="BB94" s="351">
        <f t="shared" si="122"/>
        <v>1.5072734041732481</v>
      </c>
      <c r="BC94" s="351">
        <f t="shared" si="123"/>
        <v>1.1836980645765005</v>
      </c>
      <c r="BD94" s="351">
        <f t="shared" si="124"/>
        <v>0.3170228595967477</v>
      </c>
      <c r="BE94" s="351">
        <f t="shared" si="125"/>
        <v>0.14705739426924408</v>
      </c>
      <c r="BK94" s="18"/>
      <c r="BL94" s="19"/>
    </row>
    <row r="95" spans="1:64" x14ac:dyDescent="0.25">
      <c r="G95">
        <v>86</v>
      </c>
      <c r="H95" s="527">
        <f t="shared" si="80"/>
        <v>24</v>
      </c>
      <c r="I95" s="4">
        <f t="shared" si="81"/>
        <v>1</v>
      </c>
      <c r="J95" s="351">
        <f t="shared" si="112"/>
        <v>4.3</v>
      </c>
      <c r="K95" s="4">
        <f t="shared" si="82"/>
        <v>0.99537037037037035</v>
      </c>
      <c r="L95" s="4"/>
      <c r="M95" s="351">
        <f t="shared" si="83"/>
        <v>0.21498543542092297</v>
      </c>
      <c r="N95" s="4">
        <f t="shared" si="84"/>
        <v>1.9591119572506659</v>
      </c>
      <c r="O95" s="4">
        <f t="shared" si="113"/>
        <v>5.279555978625333</v>
      </c>
      <c r="P95" s="4">
        <f t="shared" si="114"/>
        <v>3.3204440213746667</v>
      </c>
      <c r="Q95" s="4">
        <f t="shared" si="85"/>
        <v>0</v>
      </c>
      <c r="R95" s="4">
        <f t="shared" si="86"/>
        <v>4.3370316237130293</v>
      </c>
      <c r="S95" s="351">
        <f t="shared" si="87"/>
        <v>0.46084116097462846</v>
      </c>
      <c r="T95" s="351">
        <f t="shared" si="88"/>
        <v>0.4</v>
      </c>
      <c r="U95" s="351">
        <f t="shared" si="89"/>
        <v>0.89379288503963061</v>
      </c>
      <c r="V95" s="4">
        <f t="shared" si="115"/>
        <v>0.56554690794564333</v>
      </c>
      <c r="W95" s="351">
        <f t="shared" si="90"/>
        <v>3.1984330508687795E-4</v>
      </c>
      <c r="X95" s="351">
        <f t="shared" si="116"/>
        <v>3.1984330508687795E-4</v>
      </c>
      <c r="Y95" s="4">
        <f t="shared" si="91"/>
        <v>1.7817056839105958</v>
      </c>
      <c r="Z95" s="351">
        <f t="shared" si="117"/>
        <v>3.1744751440793239E-3</v>
      </c>
      <c r="AA95" s="520">
        <f t="shared" si="118"/>
        <v>3.1744751440793239E-3</v>
      </c>
      <c r="AB95" s="351">
        <f t="shared" si="92"/>
        <v>2.010930718136116</v>
      </c>
      <c r="AC95" s="351">
        <f t="shared" si="93"/>
        <v>4.6504187061149505E-2</v>
      </c>
      <c r="AD95" s="351">
        <f t="shared" si="94"/>
        <v>0.16813122857142854</v>
      </c>
      <c r="AE95" s="351">
        <f t="shared" si="95"/>
        <v>0.53416704000000004</v>
      </c>
      <c r="AF95" s="351">
        <f t="shared" si="96"/>
        <v>0</v>
      </c>
      <c r="AG95" s="351">
        <f t="shared" si="97"/>
        <v>0.75441581469956653</v>
      </c>
      <c r="AH95" s="351">
        <f t="shared" si="98"/>
        <v>3.8426554557940062</v>
      </c>
      <c r="AI95" s="351">
        <f t="shared" si="99"/>
        <v>4.8727803141413353E-2</v>
      </c>
      <c r="AJ95" s="351">
        <f t="shared" si="100"/>
        <v>5.2975999999999995E-2</v>
      </c>
      <c r="AK95" s="351">
        <f t="shared" si="101"/>
        <v>0.10254324996745973</v>
      </c>
      <c r="AL95" s="351">
        <f t="shared" si="102"/>
        <v>5.2975999999999995E-2</v>
      </c>
      <c r="AM95" s="351">
        <f t="shared" si="103"/>
        <v>0.66295680000000012</v>
      </c>
      <c r="AN95" s="351">
        <f t="shared" si="104"/>
        <v>0.150478746440695</v>
      </c>
      <c r="AO95" s="351">
        <f t="shared" si="105"/>
        <v>8.3999999999999993E-4</v>
      </c>
      <c r="AP95" s="351">
        <f>'Variable Management'!$B$347</f>
        <v>0.41183999999999998</v>
      </c>
      <c r="AQ95" s="351">
        <f t="shared" si="106"/>
        <v>0.36108727954971853</v>
      </c>
      <c r="AR95" s="351">
        <f t="shared" si="107"/>
        <v>0.32603999999999994</v>
      </c>
      <c r="AS95" s="351">
        <f t="shared" si="126"/>
        <v>0.41267999999999999</v>
      </c>
      <c r="AT95" s="351">
        <f t="shared" si="119"/>
        <v>3.0333378145965182</v>
      </c>
      <c r="AU95">
        <f t="shared" si="108"/>
        <v>21.5</v>
      </c>
      <c r="AV95" s="521">
        <f t="shared" si="120"/>
        <v>0.87635853557636245</v>
      </c>
      <c r="AW95" s="530">
        <f t="shared" si="109"/>
        <v>50.062626713381803</v>
      </c>
      <c r="AX95" s="530">
        <f t="shared" si="110"/>
        <v>12.85275975869839</v>
      </c>
      <c r="AY95" s="9"/>
      <c r="AZ95" s="4">
        <f t="shared" si="121"/>
        <v>87.635853557636239</v>
      </c>
      <c r="BA95" s="351">
        <f t="shared" si="111"/>
        <v>0.89379288503963061</v>
      </c>
      <c r="BB95" s="351">
        <f t="shared" si="122"/>
        <v>1.5199158646670263</v>
      </c>
      <c r="BC95" s="351">
        <f t="shared" si="123"/>
        <v>1.1919673026995667</v>
      </c>
      <c r="BD95" s="351">
        <f t="shared" si="124"/>
        <v>0.32131899396745978</v>
      </c>
      <c r="BE95" s="351">
        <f t="shared" si="125"/>
        <v>0.150478746440695</v>
      </c>
      <c r="BK95" s="18"/>
      <c r="BL95" s="19"/>
    </row>
    <row r="96" spans="1:64" x14ac:dyDescent="0.25">
      <c r="G96">
        <v>87</v>
      </c>
      <c r="H96" s="527">
        <f t="shared" si="80"/>
        <v>24</v>
      </c>
      <c r="I96" s="4">
        <f t="shared" si="81"/>
        <v>1</v>
      </c>
      <c r="J96" s="351">
        <f t="shared" si="112"/>
        <v>4.3499999999999996</v>
      </c>
      <c r="K96" s="4">
        <f t="shared" si="82"/>
        <v>1.0069444444444444</v>
      </c>
      <c r="L96" s="4"/>
      <c r="M96" s="351">
        <f t="shared" si="83"/>
        <v>0.21506277423106984</v>
      </c>
      <c r="N96" s="4">
        <f t="shared" si="84"/>
        <v>1.9596295357571283</v>
      </c>
      <c r="O96" s="4">
        <f t="shared" si="113"/>
        <v>5.3298147678785641</v>
      </c>
      <c r="P96" s="4">
        <f t="shared" si="114"/>
        <v>3.3701852321214356</v>
      </c>
      <c r="Q96" s="4">
        <f t="shared" si="85"/>
        <v>0</v>
      </c>
      <c r="R96" s="4">
        <f t="shared" si="86"/>
        <v>4.3866288111089329</v>
      </c>
      <c r="S96" s="351">
        <f t="shared" si="87"/>
        <v>0.47144155199804882</v>
      </c>
      <c r="T96" s="351">
        <f t="shared" si="88"/>
        <v>0.4</v>
      </c>
      <c r="U96" s="351">
        <f t="shared" si="89"/>
        <v>0.90559641432220306</v>
      </c>
      <c r="V96" s="4">
        <f t="shared" si="115"/>
        <v>0.56569631999065972</v>
      </c>
      <c r="W96" s="351">
        <f t="shared" si="90"/>
        <v>3.2001232645097487E-4</v>
      </c>
      <c r="X96" s="351">
        <f t="shared" si="116"/>
        <v>3.2001232645097487E-4</v>
      </c>
      <c r="Y96" s="4">
        <f t="shared" si="91"/>
        <v>1.8023161388616793</v>
      </c>
      <c r="Z96" s="351">
        <f t="shared" si="117"/>
        <v>3.2483434644012721E-3</v>
      </c>
      <c r="AA96" s="520">
        <f t="shared" si="118"/>
        <v>3.2483434644012721E-3</v>
      </c>
      <c r="AB96" s="351">
        <f t="shared" si="92"/>
        <v>2.034293018250346</v>
      </c>
      <c r="AC96" s="351">
        <f t="shared" si="93"/>
        <v>4.7591002967174181E-2</v>
      </c>
      <c r="AD96" s="351">
        <f t="shared" si="94"/>
        <v>0.17008624285714283</v>
      </c>
      <c r="AE96" s="351">
        <f t="shared" si="95"/>
        <v>0.53416704000000004</v>
      </c>
      <c r="AF96" s="351">
        <f t="shared" si="96"/>
        <v>0</v>
      </c>
      <c r="AG96" s="351">
        <f t="shared" si="97"/>
        <v>0.75761317717840793</v>
      </c>
      <c r="AH96" s="351">
        <f t="shared" si="98"/>
        <v>3.8864076268900134</v>
      </c>
      <c r="AI96" s="351">
        <f t="shared" si="99"/>
        <v>4.9843741999751258E-2</v>
      </c>
      <c r="AJ96" s="351">
        <f t="shared" si="100"/>
        <v>5.3591999999999994E-2</v>
      </c>
      <c r="AK96" s="351">
        <f t="shared" si="101"/>
        <v>0.10430920103169447</v>
      </c>
      <c r="AL96" s="351">
        <f t="shared" si="102"/>
        <v>5.3591999999999994E-2</v>
      </c>
      <c r="AM96" s="351">
        <f t="shared" si="103"/>
        <v>0.67066559999999997</v>
      </c>
      <c r="AN96" s="351">
        <f t="shared" si="104"/>
        <v>0.15394009861160776</v>
      </c>
      <c r="AO96" s="351">
        <f t="shared" si="105"/>
        <v>8.3999999999999993E-4</v>
      </c>
      <c r="AP96" s="351">
        <f>'Variable Management'!$B$347</f>
        <v>0.41183999999999998</v>
      </c>
      <c r="AQ96" s="351">
        <f t="shared" si="106"/>
        <v>0.36108727954971853</v>
      </c>
      <c r="AR96" s="351">
        <f t="shared" si="107"/>
        <v>0.32603999999999994</v>
      </c>
      <c r="AS96" s="351">
        <f t="shared" si="126"/>
        <v>0.41267999999999999</v>
      </c>
      <c r="AT96" s="351">
        <f t="shared" si="119"/>
        <v>3.0619648469347651</v>
      </c>
      <c r="AU96">
        <f t="shared" si="108"/>
        <v>21.75</v>
      </c>
      <c r="AV96" s="521">
        <f t="shared" si="120"/>
        <v>0.8765932135635347</v>
      </c>
      <c r="AW96" s="530">
        <f t="shared" si="109"/>
        <v>50.41060387349313</v>
      </c>
      <c r="AX96" s="530">
        <f t="shared" si="110"/>
        <v>13.02515396126778</v>
      </c>
      <c r="AY96" s="9"/>
      <c r="AZ96" s="4">
        <f t="shared" si="121"/>
        <v>87.659321356353473</v>
      </c>
      <c r="BA96" s="351">
        <f t="shared" si="111"/>
        <v>0.90559641432220306</v>
      </c>
      <c r="BB96" s="351">
        <f t="shared" si="122"/>
        <v>1.5325879782101024</v>
      </c>
      <c r="BC96" s="351">
        <f t="shared" si="123"/>
        <v>1.2002524731784079</v>
      </c>
      <c r="BD96" s="351">
        <f t="shared" si="124"/>
        <v>0.32562884903169448</v>
      </c>
      <c r="BE96" s="351">
        <f t="shared" si="125"/>
        <v>0.15394009861160776</v>
      </c>
      <c r="BK96" s="18"/>
      <c r="BL96" s="19"/>
    </row>
    <row r="97" spans="7:64" x14ac:dyDescent="0.25">
      <c r="G97">
        <v>88</v>
      </c>
      <c r="H97" s="527">
        <f t="shared" si="80"/>
        <v>24</v>
      </c>
      <c r="I97" s="4">
        <f t="shared" si="81"/>
        <v>1</v>
      </c>
      <c r="J97" s="351">
        <f t="shared" si="112"/>
        <v>4.4000000000000004</v>
      </c>
      <c r="K97" s="4">
        <f t="shared" si="82"/>
        <v>1.0185185185185184</v>
      </c>
      <c r="L97" s="4"/>
      <c r="M97" s="351">
        <f t="shared" si="83"/>
        <v>0.2151401127834584</v>
      </c>
      <c r="N97" s="4">
        <f t="shared" si="84"/>
        <v>1.9601469772827902</v>
      </c>
      <c r="O97" s="4">
        <f t="shared" si="113"/>
        <v>5.3800734886413952</v>
      </c>
      <c r="P97" s="4">
        <f t="shared" si="114"/>
        <v>3.4199265113586055</v>
      </c>
      <c r="Q97" s="4">
        <f t="shared" si="85"/>
        <v>0</v>
      </c>
      <c r="R97" s="4">
        <f t="shared" si="86"/>
        <v>4.4362350419823988</v>
      </c>
      <c r="S97" s="351">
        <f t="shared" si="87"/>
        <v>0.48216444301895811</v>
      </c>
      <c r="T97" s="351">
        <f t="shared" si="88"/>
        <v>0.4</v>
      </c>
      <c r="U97" s="351">
        <f t="shared" si="89"/>
        <v>0.91755753234046111</v>
      </c>
      <c r="V97" s="4">
        <f t="shared" si="115"/>
        <v>0.56584569249272509</v>
      </c>
      <c r="W97" s="351">
        <f t="shared" si="90"/>
        <v>3.2018134771257163E-4</v>
      </c>
      <c r="X97" s="351">
        <f t="shared" si="116"/>
        <v>3.2018134771257163E-4</v>
      </c>
      <c r="Y97" s="4">
        <f t="shared" si="91"/>
        <v>1.8229355348584946</v>
      </c>
      <c r="Z97" s="351">
        <f t="shared" si="117"/>
        <v>3.3230939642498259E-3</v>
      </c>
      <c r="AA97" s="520">
        <f t="shared" si="118"/>
        <v>3.3230939642498259E-3</v>
      </c>
      <c r="AB97" s="351">
        <f t="shared" si="92"/>
        <v>2.0576677172823117</v>
      </c>
      <c r="AC97" s="351">
        <f t="shared" si="93"/>
        <v>4.8690958999576699E-2</v>
      </c>
      <c r="AD97" s="351">
        <f t="shared" si="94"/>
        <v>0.17204125714285717</v>
      </c>
      <c r="AE97" s="351">
        <f t="shared" si="95"/>
        <v>0.53416704000000004</v>
      </c>
      <c r="AF97" s="351">
        <f t="shared" si="96"/>
        <v>0</v>
      </c>
      <c r="AG97" s="351">
        <f t="shared" si="97"/>
        <v>0.76082651577207361</v>
      </c>
      <c r="AH97" s="351">
        <f t="shared" si="98"/>
        <v>3.9301634715322948</v>
      </c>
      <c r="AI97" s="351">
        <f t="shared" si="99"/>
        <v>5.0972410212790371E-2</v>
      </c>
      <c r="AJ97" s="351">
        <f t="shared" si="100"/>
        <v>5.4207999999999999E-2</v>
      </c>
      <c r="AK97" s="351">
        <f t="shared" si="101"/>
        <v>0.10608888807488162</v>
      </c>
      <c r="AL97" s="351">
        <f t="shared" si="102"/>
        <v>5.4207999999999999E-2</v>
      </c>
      <c r="AM97" s="351">
        <f t="shared" si="103"/>
        <v>0.67837440000000016</v>
      </c>
      <c r="AN97" s="351">
        <f t="shared" si="104"/>
        <v>0.1574414507817006</v>
      </c>
      <c r="AO97" s="351">
        <f t="shared" si="105"/>
        <v>8.3999999999999993E-4</v>
      </c>
      <c r="AP97" s="351">
        <f>'Variable Management'!$B$347</f>
        <v>0.41183999999999998</v>
      </c>
      <c r="AQ97" s="351">
        <f t="shared" si="106"/>
        <v>0.36108727954971853</v>
      </c>
      <c r="AR97" s="351">
        <f t="shared" si="107"/>
        <v>0.32603999999999994</v>
      </c>
      <c r="AS97" s="351">
        <f t="shared" si="126"/>
        <v>0.41267999999999999</v>
      </c>
      <c r="AT97" s="351">
        <f t="shared" si="119"/>
        <v>3.0908200622810797</v>
      </c>
      <c r="AU97">
        <f t="shared" si="108"/>
        <v>22</v>
      </c>
      <c r="AV97" s="521">
        <f t="shared" si="120"/>
        <v>0.87681470535403128</v>
      </c>
      <c r="AW97" s="530">
        <f t="shared" si="109"/>
        <v>50.759252030427092</v>
      </c>
      <c r="AX97" s="530">
        <f t="shared" si="110"/>
        <v>13.198097602995267</v>
      </c>
      <c r="AY97" s="9"/>
      <c r="AZ97" s="4">
        <f t="shared" si="121"/>
        <v>87.681470535403122</v>
      </c>
      <c r="BA97" s="351">
        <f t="shared" si="111"/>
        <v>0.91755753234046111</v>
      </c>
      <c r="BB97" s="351">
        <f t="shared" si="122"/>
        <v>1.5452898038469554</v>
      </c>
      <c r="BC97" s="351">
        <f t="shared" si="123"/>
        <v>1.2085536197720737</v>
      </c>
      <c r="BD97" s="351">
        <f t="shared" si="124"/>
        <v>0.32995244007488167</v>
      </c>
      <c r="BE97" s="351">
        <f t="shared" si="125"/>
        <v>0.1574414507817006</v>
      </c>
      <c r="BK97" s="18"/>
      <c r="BL97" s="19"/>
    </row>
    <row r="98" spans="7:64" x14ac:dyDescent="0.25">
      <c r="G98">
        <v>89</v>
      </c>
      <c r="H98" s="527">
        <f t="shared" si="80"/>
        <v>24</v>
      </c>
      <c r="I98" s="4">
        <f t="shared" si="81"/>
        <v>1</v>
      </c>
      <c r="J98" s="351">
        <f t="shared" si="112"/>
        <v>4.45</v>
      </c>
      <c r="K98" s="4">
        <f t="shared" si="82"/>
        <v>1.0300925925925926</v>
      </c>
      <c r="L98" s="4"/>
      <c r="M98" s="351">
        <f t="shared" si="83"/>
        <v>0.21521745107809009</v>
      </c>
      <c r="N98" s="4">
        <f t="shared" si="84"/>
        <v>1.9606642818283373</v>
      </c>
      <c r="O98" s="4">
        <f t="shared" si="113"/>
        <v>5.4303321409141692</v>
      </c>
      <c r="P98" s="4">
        <f t="shared" si="114"/>
        <v>3.4696678590858316</v>
      </c>
      <c r="Q98" s="4">
        <f t="shared" si="85"/>
        <v>0</v>
      </c>
      <c r="R98" s="4">
        <f t="shared" si="86"/>
        <v>4.485850016310895</v>
      </c>
      <c r="S98" s="351">
        <f t="shared" si="87"/>
        <v>0.49300983403649318</v>
      </c>
      <c r="T98" s="351">
        <f t="shared" si="88"/>
        <v>0.4</v>
      </c>
      <c r="U98" s="351">
        <f t="shared" si="89"/>
        <v>0.92967702739518432</v>
      </c>
      <c r="V98" s="4">
        <f t="shared" si="115"/>
        <v>0.56599502545203739</v>
      </c>
      <c r="W98" s="351">
        <f t="shared" si="90"/>
        <v>3.2035036883645249E-4</v>
      </c>
      <c r="X98" s="351">
        <f t="shared" si="116"/>
        <v>3.2035036883645249E-4</v>
      </c>
      <c r="Y98" s="4">
        <f t="shared" si="91"/>
        <v>1.8435637468584944</v>
      </c>
      <c r="Z98" s="351">
        <f t="shared" si="117"/>
        <v>3.3987272887309309E-3</v>
      </c>
      <c r="AA98" s="520">
        <f t="shared" si="118"/>
        <v>3.3987272887309309E-3</v>
      </c>
      <c r="AB98" s="351">
        <f t="shared" si="92"/>
        <v>2.0810546760733577</v>
      </c>
      <c r="AC98" s="351">
        <f t="shared" si="93"/>
        <v>4.9804068495278062E-2</v>
      </c>
      <c r="AD98" s="351">
        <f t="shared" si="94"/>
        <v>0.17399627142857146</v>
      </c>
      <c r="AE98" s="351">
        <f t="shared" si="95"/>
        <v>0.53416704000000004</v>
      </c>
      <c r="AF98" s="351">
        <f t="shared" si="96"/>
        <v>0</v>
      </c>
      <c r="AG98" s="351">
        <f t="shared" si="97"/>
        <v>0.76405587450110923</v>
      </c>
      <c r="AH98" s="351">
        <f t="shared" si="98"/>
        <v>3.9739227224531768</v>
      </c>
      <c r="AI98" s="351">
        <f t="shared" si="99"/>
        <v>5.2113803953297906E-2</v>
      </c>
      <c r="AJ98" s="351">
        <f t="shared" si="100"/>
        <v>5.4823999999999998E-2</v>
      </c>
      <c r="AK98" s="351">
        <f t="shared" si="101"/>
        <v>0.10788232656731268</v>
      </c>
      <c r="AL98" s="351">
        <f t="shared" si="102"/>
        <v>5.4823999999999998E-2</v>
      </c>
      <c r="AM98" s="351">
        <f t="shared" si="103"/>
        <v>0.68608320000000012</v>
      </c>
      <c r="AN98" s="351">
        <f t="shared" si="104"/>
        <v>0.16098280295069164</v>
      </c>
      <c r="AO98" s="351">
        <f t="shared" si="105"/>
        <v>8.3999999999999993E-4</v>
      </c>
      <c r="AP98" s="351">
        <f>'Variable Management'!$B$347</f>
        <v>0.41183999999999998</v>
      </c>
      <c r="AQ98" s="351">
        <f t="shared" si="106"/>
        <v>0.36108727954971853</v>
      </c>
      <c r="AR98" s="351">
        <f t="shared" si="107"/>
        <v>0.32603999999999994</v>
      </c>
      <c r="AS98" s="351">
        <f t="shared" si="126"/>
        <v>0.41267999999999999</v>
      </c>
      <c r="AT98" s="351">
        <f t="shared" si="119"/>
        <v>3.119904309071865</v>
      </c>
      <c r="AU98">
        <f t="shared" si="108"/>
        <v>22.25</v>
      </c>
      <c r="AV98" s="521">
        <f t="shared" si="120"/>
        <v>0.8770234104526663</v>
      </c>
      <c r="AW98" s="530">
        <f t="shared" si="109"/>
        <v>51.108573033046589</v>
      </c>
      <c r="AX98" s="530">
        <f t="shared" si="110"/>
        <v>13.37159130269251</v>
      </c>
      <c r="AY98" s="9"/>
      <c r="AZ98" s="4">
        <f t="shared" si="121"/>
        <v>87.702341045266635</v>
      </c>
      <c r="BA98" s="351">
        <f t="shared" si="111"/>
        <v>0.92967702739518432</v>
      </c>
      <c r="BB98" s="351">
        <f t="shared" si="122"/>
        <v>1.5580214010684221</v>
      </c>
      <c r="BC98" s="351">
        <f t="shared" si="123"/>
        <v>1.2168707865011092</v>
      </c>
      <c r="BD98" s="351">
        <f t="shared" si="124"/>
        <v>0.33428978256731273</v>
      </c>
      <c r="BE98" s="351">
        <f t="shared" si="125"/>
        <v>0.16098280295069164</v>
      </c>
      <c r="BK98" s="18"/>
      <c r="BL98" s="19"/>
    </row>
    <row r="99" spans="7:64" x14ac:dyDescent="0.25">
      <c r="G99">
        <v>90</v>
      </c>
      <c r="H99" s="527">
        <f t="shared" si="80"/>
        <v>24</v>
      </c>
      <c r="I99" s="4">
        <f t="shared" si="81"/>
        <v>1</v>
      </c>
      <c r="J99" s="351">
        <f t="shared" si="112"/>
        <v>4.5</v>
      </c>
      <c r="K99" s="4">
        <f t="shared" si="82"/>
        <v>1.0416666666666665</v>
      </c>
      <c r="L99" s="4"/>
      <c r="M99" s="351">
        <f t="shared" si="83"/>
        <v>0.21529478911496608</v>
      </c>
      <c r="N99" s="4">
        <f t="shared" si="84"/>
        <v>1.9611814493944542</v>
      </c>
      <c r="O99" s="4">
        <f t="shared" si="113"/>
        <v>5.480590724697227</v>
      </c>
      <c r="P99" s="4">
        <f t="shared" si="114"/>
        <v>3.519409275302773</v>
      </c>
      <c r="Q99" s="4">
        <f t="shared" si="85"/>
        <v>0</v>
      </c>
      <c r="R99" s="4">
        <f t="shared" si="86"/>
        <v>4.5354734471483136</v>
      </c>
      <c r="S99" s="351">
        <f t="shared" si="87"/>
        <v>0.50397772504979144</v>
      </c>
      <c r="T99" s="351">
        <f t="shared" si="88"/>
        <v>0.4</v>
      </c>
      <c r="U99" s="351">
        <f t="shared" si="89"/>
        <v>0.94195570032561426</v>
      </c>
      <c r="V99" s="4">
        <f t="shared" si="115"/>
        <v>0.56614431886879435</v>
      </c>
      <c r="W99" s="351">
        <f t="shared" si="90"/>
        <v>3.2051938978741107E-4</v>
      </c>
      <c r="X99" s="351">
        <f t="shared" si="116"/>
        <v>3.2051938978741107E-4</v>
      </c>
      <c r="Y99" s="4">
        <f t="shared" si="91"/>
        <v>1.8642006551300907</v>
      </c>
      <c r="Z99" s="351">
        <f t="shared" si="117"/>
        <v>3.4752440825874596E-3</v>
      </c>
      <c r="AA99" s="520">
        <f t="shared" si="118"/>
        <v>3.4752440825874596E-3</v>
      </c>
      <c r="AB99" s="351">
        <f t="shared" si="92"/>
        <v>2.1044537614330232</v>
      </c>
      <c r="AC99" s="351">
        <f t="shared" si="93"/>
        <v>5.0930344791110395E-2</v>
      </c>
      <c r="AD99" s="351">
        <f t="shared" si="94"/>
        <v>0.17595128571428573</v>
      </c>
      <c r="AE99" s="351">
        <f t="shared" si="95"/>
        <v>0.53416704000000004</v>
      </c>
      <c r="AF99" s="351">
        <f t="shared" si="96"/>
        <v>0</v>
      </c>
      <c r="AG99" s="351">
        <f t="shared" si="97"/>
        <v>0.76730129764906552</v>
      </c>
      <c r="AH99" s="351">
        <f t="shared" si="98"/>
        <v>4.0176851240207716</v>
      </c>
      <c r="AI99" s="351">
        <f t="shared" si="99"/>
        <v>5.3267919394066755E-2</v>
      </c>
      <c r="AJ99" s="351">
        <f t="shared" si="100"/>
        <v>5.5439999999999996E-2</v>
      </c>
      <c r="AK99" s="351">
        <f t="shared" si="101"/>
        <v>0.10968953216456284</v>
      </c>
      <c r="AL99" s="351">
        <f t="shared" si="102"/>
        <v>5.5439999999999996E-2</v>
      </c>
      <c r="AM99" s="351">
        <f t="shared" si="103"/>
        <v>0.69379199999999996</v>
      </c>
      <c r="AN99" s="351">
        <f t="shared" si="104"/>
        <v>0.16456415511829925</v>
      </c>
      <c r="AO99" s="351">
        <f t="shared" si="105"/>
        <v>8.3999999999999993E-4</v>
      </c>
      <c r="AP99" s="351">
        <f>'Variable Management'!$B$347</f>
        <v>0.41183999999999998</v>
      </c>
      <c r="AQ99" s="351">
        <f t="shared" si="106"/>
        <v>0.36108727954971853</v>
      </c>
      <c r="AR99" s="351">
        <f t="shared" si="107"/>
        <v>0.32603999999999994</v>
      </c>
      <c r="AS99" s="351">
        <f t="shared" si="126"/>
        <v>0.41267999999999999</v>
      </c>
      <c r="AT99" s="351">
        <f t="shared" si="119"/>
        <v>3.1492184487299166</v>
      </c>
      <c r="AU99">
        <f t="shared" si="108"/>
        <v>22.5</v>
      </c>
      <c r="AV99" s="521">
        <f t="shared" si="120"/>
        <v>0.877219711196079</v>
      </c>
      <c r="AW99" s="530">
        <f t="shared" si="109"/>
        <v>51.458568741260748</v>
      </c>
      <c r="AX99" s="530">
        <f t="shared" si="110"/>
        <v>13.545635686582514</v>
      </c>
      <c r="AY99" s="9"/>
      <c r="AZ99" s="4">
        <f t="shared" si="121"/>
        <v>87.7219711196079</v>
      </c>
      <c r="BA99" s="351">
        <f t="shared" si="111"/>
        <v>0.94195570032561426</v>
      </c>
      <c r="BB99" s="351">
        <f t="shared" si="122"/>
        <v>1.5707828298136284</v>
      </c>
      <c r="BC99" s="351">
        <f t="shared" si="123"/>
        <v>1.2252040176490655</v>
      </c>
      <c r="BD99" s="351">
        <f t="shared" si="124"/>
        <v>0.33864089216456283</v>
      </c>
      <c r="BE99" s="351">
        <f t="shared" si="125"/>
        <v>0.16456415511829925</v>
      </c>
      <c r="BK99" s="18"/>
      <c r="BL99" s="19"/>
    </row>
    <row r="100" spans="7:64" x14ac:dyDescent="0.25">
      <c r="G100">
        <v>91</v>
      </c>
      <c r="H100" s="527">
        <f t="shared" si="80"/>
        <v>24</v>
      </c>
      <c r="I100" s="4">
        <f t="shared" si="81"/>
        <v>1</v>
      </c>
      <c r="J100" s="351">
        <f t="shared" si="112"/>
        <v>4.55</v>
      </c>
      <c r="K100" s="4">
        <f t="shared" si="82"/>
        <v>1.0532407407407407</v>
      </c>
      <c r="L100" s="4"/>
      <c r="M100" s="351">
        <f t="shared" si="83"/>
        <v>0.21537212689408772</v>
      </c>
      <c r="N100" s="4">
        <f t="shared" si="84"/>
        <v>1.9616984799818256</v>
      </c>
      <c r="O100" s="4">
        <f t="shared" si="113"/>
        <v>5.5308492399909124</v>
      </c>
      <c r="P100" s="4">
        <f t="shared" si="114"/>
        <v>3.5691507600090873</v>
      </c>
      <c r="Q100" s="4">
        <f t="shared" si="85"/>
        <v>0</v>
      </c>
      <c r="R100" s="4">
        <f t="shared" si="86"/>
        <v>4.5851050599228635</v>
      </c>
      <c r="S100" s="351">
        <f t="shared" si="87"/>
        <v>0.51506811605799108</v>
      </c>
      <c r="T100" s="351">
        <f t="shared" si="88"/>
        <v>0.4</v>
      </c>
      <c r="U100" s="351">
        <f t="shared" si="89"/>
        <v>0.9543943646480415</v>
      </c>
      <c r="V100" s="4">
        <f t="shared" si="115"/>
        <v>0.56629357274319336</v>
      </c>
      <c r="W100" s="351">
        <f t="shared" si="90"/>
        <v>3.2068841053025044E-4</v>
      </c>
      <c r="X100" s="351">
        <f t="shared" si="116"/>
        <v>3.2068841053025044E-4</v>
      </c>
      <c r="Y100" s="4">
        <f t="shared" si="91"/>
        <v>1.8848461449676006</v>
      </c>
      <c r="Z100" s="351">
        <f t="shared" si="117"/>
        <v>3.5526449901992253E-3</v>
      </c>
      <c r="AA100" s="520">
        <f t="shared" si="118"/>
        <v>3.5526449901992253E-3</v>
      </c>
      <c r="AB100" s="351">
        <f t="shared" si="92"/>
        <v>2.1278648458186988</v>
      </c>
      <c r="AC100" s="351">
        <f t="shared" si="93"/>
        <v>5.2069801223816901E-2</v>
      </c>
      <c r="AD100" s="351">
        <f t="shared" si="94"/>
        <v>0.17790629999999996</v>
      </c>
      <c r="AE100" s="351">
        <f t="shared" si="95"/>
        <v>0.53416704000000004</v>
      </c>
      <c r="AF100" s="351">
        <f t="shared" si="96"/>
        <v>0</v>
      </c>
      <c r="AG100" s="351">
        <f t="shared" si="97"/>
        <v>0.7705628297640208</v>
      </c>
      <c r="AH100" s="351">
        <f t="shared" si="98"/>
        <v>4.0614504316142055</v>
      </c>
      <c r="AI100" s="351">
        <f t="shared" si="99"/>
        <v>5.4434752707915417E-2</v>
      </c>
      <c r="AJ100" s="351">
        <f t="shared" si="100"/>
        <v>5.6055999999999995E-2</v>
      </c>
      <c r="AK100" s="351">
        <f t="shared" si="101"/>
        <v>0.11151052070791857</v>
      </c>
      <c r="AL100" s="351">
        <f t="shared" si="102"/>
        <v>5.6055999999999995E-2</v>
      </c>
      <c r="AM100" s="351">
        <f t="shared" si="103"/>
        <v>0.70150080000000004</v>
      </c>
      <c r="AN100" s="351">
        <f t="shared" si="104"/>
        <v>0.16818550728424198</v>
      </c>
      <c r="AO100" s="351">
        <f t="shared" si="105"/>
        <v>8.3999999999999993E-4</v>
      </c>
      <c r="AP100" s="351">
        <f>'Variable Management'!$B$347</f>
        <v>0.41183999999999998</v>
      </c>
      <c r="AQ100" s="351">
        <f t="shared" si="106"/>
        <v>0.36108727954971853</v>
      </c>
      <c r="AR100" s="351">
        <f t="shared" si="107"/>
        <v>0.32603999999999994</v>
      </c>
      <c r="AS100" s="351">
        <f t="shared" si="126"/>
        <v>0.41267999999999999</v>
      </c>
      <c r="AT100" s="351">
        <f t="shared" si="119"/>
        <v>3.1787633558049522</v>
      </c>
      <c r="AU100">
        <f t="shared" si="108"/>
        <v>22.75</v>
      </c>
      <c r="AV100" s="521">
        <f t="shared" si="120"/>
        <v>0.87740397364175526</v>
      </c>
      <c r="AW100" s="530">
        <f t="shared" si="109"/>
        <v>51.80924102608887</v>
      </c>
      <c r="AX100" s="530">
        <f t="shared" si="110"/>
        <v>13.720231388316744</v>
      </c>
      <c r="AY100" s="9"/>
      <c r="AZ100" s="4">
        <f t="shared" si="121"/>
        <v>87.740397364175521</v>
      </c>
      <c r="BA100" s="351">
        <f t="shared" si="111"/>
        <v>0.9543943646480415</v>
      </c>
      <c r="BB100" s="351">
        <f t="shared" si="122"/>
        <v>1.5835741504719394</v>
      </c>
      <c r="BC100" s="351">
        <f t="shared" si="123"/>
        <v>1.2335533577640208</v>
      </c>
      <c r="BD100" s="351">
        <f t="shared" si="124"/>
        <v>0.34300578470791859</v>
      </c>
      <c r="BE100" s="351">
        <f t="shared" si="125"/>
        <v>0.16818550728424198</v>
      </c>
      <c r="BK100" s="18"/>
      <c r="BL100" s="19"/>
    </row>
    <row r="101" spans="7:64" x14ac:dyDescent="0.25">
      <c r="G101">
        <v>92</v>
      </c>
      <c r="H101" s="527">
        <f t="shared" si="80"/>
        <v>24</v>
      </c>
      <c r="I101" s="4">
        <f t="shared" si="81"/>
        <v>1</v>
      </c>
      <c r="J101" s="351">
        <f t="shared" si="112"/>
        <v>4.5999999999999996</v>
      </c>
      <c r="K101" s="4">
        <f t="shared" si="82"/>
        <v>1.0648148148148147</v>
      </c>
      <c r="L101" s="4"/>
      <c r="M101" s="351">
        <f t="shared" si="83"/>
        <v>0.21544946441545629</v>
      </c>
      <c r="N101" s="4">
        <f t="shared" si="84"/>
        <v>1.9622153735911363</v>
      </c>
      <c r="O101" s="4">
        <f t="shared" si="113"/>
        <v>5.5811076867955673</v>
      </c>
      <c r="P101" s="4">
        <f t="shared" si="114"/>
        <v>3.6188923132044315</v>
      </c>
      <c r="Q101" s="4">
        <f t="shared" si="85"/>
        <v>0</v>
      </c>
      <c r="R101" s="4">
        <f t="shared" si="86"/>
        <v>4.6347445917795493</v>
      </c>
      <c r="S101" s="351">
        <f t="shared" si="87"/>
        <v>0.52628100706022973</v>
      </c>
      <c r="T101" s="351">
        <f t="shared" si="88"/>
        <v>0.4</v>
      </c>
      <c r="U101" s="351">
        <f t="shared" si="89"/>
        <v>0.9669938466970931</v>
      </c>
      <c r="V101" s="4">
        <f t="shared" si="115"/>
        <v>0.56644278707543239</v>
      </c>
      <c r="W101" s="351">
        <f t="shared" si="90"/>
        <v>3.2085743102978366E-4</v>
      </c>
      <c r="X101" s="351">
        <f t="shared" si="116"/>
        <v>3.2085743102978366E-4</v>
      </c>
      <c r="Y101" s="4">
        <f t="shared" si="91"/>
        <v>1.9055001064242882</v>
      </c>
      <c r="Z101" s="351">
        <f t="shared" si="117"/>
        <v>3.6309306555829739E-3</v>
      </c>
      <c r="AA101" s="520">
        <f t="shared" si="118"/>
        <v>3.6309306555829739E-3</v>
      </c>
      <c r="AB101" s="351">
        <f t="shared" si="92"/>
        <v>2.1512878070356232</v>
      </c>
      <c r="AC101" s="351">
        <f t="shared" si="93"/>
        <v>5.3222451130051619E-2</v>
      </c>
      <c r="AD101" s="351">
        <f t="shared" si="94"/>
        <v>0.17986131428571425</v>
      </c>
      <c r="AE101" s="351">
        <f t="shared" si="95"/>
        <v>0.53416704000000004</v>
      </c>
      <c r="AF101" s="351">
        <f t="shared" si="96"/>
        <v>0</v>
      </c>
      <c r="AG101" s="351">
        <f t="shared" si="97"/>
        <v>0.7738405156601138</v>
      </c>
      <c r="AH101" s="351">
        <f t="shared" si="98"/>
        <v>4.1052184110385213</v>
      </c>
      <c r="AI101" s="351">
        <f t="shared" si="99"/>
        <v>5.5614300067687812E-2</v>
      </c>
      <c r="AJ101" s="351">
        <f t="shared" si="100"/>
        <v>5.6671999999999993E-2</v>
      </c>
      <c r="AK101" s="351">
        <f t="shared" si="101"/>
        <v>0.11334530822481151</v>
      </c>
      <c r="AL101" s="351">
        <f t="shared" si="102"/>
        <v>5.6671999999999993E-2</v>
      </c>
      <c r="AM101" s="351">
        <f t="shared" si="103"/>
        <v>0.7092096</v>
      </c>
      <c r="AN101" s="351">
        <f t="shared" si="104"/>
        <v>0.17184685944823827</v>
      </c>
      <c r="AO101" s="351">
        <f t="shared" si="105"/>
        <v>8.3999999999999993E-4</v>
      </c>
      <c r="AP101" s="351">
        <f>'Variable Management'!$B$347</f>
        <v>0.41183999999999998</v>
      </c>
      <c r="AQ101" s="351">
        <f t="shared" si="106"/>
        <v>0.36108727954971853</v>
      </c>
      <c r="AR101" s="351">
        <f t="shared" si="107"/>
        <v>0.32603999999999994</v>
      </c>
      <c r="AS101" s="351">
        <f t="shared" si="126"/>
        <v>0.41267999999999999</v>
      </c>
      <c r="AT101" s="351">
        <f t="shared" si="119"/>
        <v>3.2085399181168692</v>
      </c>
      <c r="AU101">
        <f t="shared" si="108"/>
        <v>23</v>
      </c>
      <c r="AV101" s="521">
        <f t="shared" si="120"/>
        <v>0.87757654840211297</v>
      </c>
      <c r="AW101" s="530">
        <f t="shared" si="109"/>
        <v>52.160591769724782</v>
      </c>
      <c r="AX101" s="530">
        <f t="shared" si="110"/>
        <v>13.89537904899246</v>
      </c>
      <c r="AY101" s="9"/>
      <c r="AZ101" s="4">
        <f t="shared" si="121"/>
        <v>87.757654840211302</v>
      </c>
      <c r="BA101" s="351">
        <f t="shared" si="111"/>
        <v>0.9669938466970931</v>
      </c>
      <c r="BB101" s="351">
        <f t="shared" si="122"/>
        <v>1.5963954238849252</v>
      </c>
      <c r="BC101" s="351">
        <f t="shared" si="123"/>
        <v>1.2419188516601138</v>
      </c>
      <c r="BD101" s="351">
        <f t="shared" si="124"/>
        <v>0.3473844762248115</v>
      </c>
      <c r="BE101" s="351">
        <f t="shared" si="125"/>
        <v>0.17184685944823827</v>
      </c>
      <c r="BK101" s="18"/>
      <c r="BL101" s="19"/>
    </row>
    <row r="102" spans="7:64" x14ac:dyDescent="0.25">
      <c r="G102">
        <v>93</v>
      </c>
      <c r="H102" s="527">
        <f t="shared" si="80"/>
        <v>24</v>
      </c>
      <c r="I102" s="4">
        <f t="shared" si="81"/>
        <v>1</v>
      </c>
      <c r="J102" s="351">
        <f t="shared" si="112"/>
        <v>4.6500000000000004</v>
      </c>
      <c r="K102" s="4">
        <f t="shared" si="82"/>
        <v>1.0763888888888888</v>
      </c>
      <c r="L102" s="4"/>
      <c r="M102" s="351">
        <f t="shared" si="83"/>
        <v>0.21552680167907307</v>
      </c>
      <c r="N102" s="4">
        <f t="shared" si="84"/>
        <v>1.9627321302230711</v>
      </c>
      <c r="O102" s="4">
        <f t="shared" si="113"/>
        <v>5.6313660651115356</v>
      </c>
      <c r="P102" s="4">
        <f t="shared" si="114"/>
        <v>3.6686339348884647</v>
      </c>
      <c r="Q102" s="4">
        <f t="shared" si="85"/>
        <v>0</v>
      </c>
      <c r="R102" s="4">
        <f t="shared" si="86"/>
        <v>4.6843917909639918</v>
      </c>
      <c r="S102" s="351">
        <f t="shared" si="87"/>
        <v>0.53761639805564554</v>
      </c>
      <c r="T102" s="351">
        <f t="shared" si="88"/>
        <v>0.4</v>
      </c>
      <c r="U102" s="351">
        <f t="shared" si="89"/>
        <v>0.97975498576977404</v>
      </c>
      <c r="V102" s="4">
        <f t="shared" si="115"/>
        <v>0.56659196186570893</v>
      </c>
      <c r="W102" s="351">
        <f t="shared" si="90"/>
        <v>3.2102645125083295E-4</v>
      </c>
      <c r="X102" s="351">
        <f t="shared" si="116"/>
        <v>3.2102645125083295E-4</v>
      </c>
      <c r="Y102" s="4">
        <f t="shared" si="91"/>
        <v>1.9261624340621957</v>
      </c>
      <c r="Z102" s="351">
        <f t="shared" si="117"/>
        <v>3.7101017223924023E-3</v>
      </c>
      <c r="AA102" s="520">
        <f t="shared" si="118"/>
        <v>3.7101017223924023E-3</v>
      </c>
      <c r="AB102" s="351">
        <f t="shared" si="92"/>
        <v>2.1747225279557467</v>
      </c>
      <c r="AC102" s="351">
        <f t="shared" si="93"/>
        <v>5.4388307846379678E-2</v>
      </c>
      <c r="AD102" s="351">
        <f t="shared" si="94"/>
        <v>0.1818163285714286</v>
      </c>
      <c r="AE102" s="351">
        <f t="shared" si="95"/>
        <v>0.53416704000000004</v>
      </c>
      <c r="AF102" s="351">
        <f t="shared" si="96"/>
        <v>0</v>
      </c>
      <c r="AG102" s="351">
        <f t="shared" si="97"/>
        <v>0.77713440041908921</v>
      </c>
      <c r="AH102" s="351">
        <f t="shared" si="98"/>
        <v>4.1489888379763817</v>
      </c>
      <c r="AI102" s="351">
        <f t="shared" si="99"/>
        <v>5.6806557646253607E-2</v>
      </c>
      <c r="AJ102" s="351">
        <f t="shared" si="100"/>
        <v>5.7287999999999999E-2</v>
      </c>
      <c r="AK102" s="351">
        <f t="shared" si="101"/>
        <v>0.11519391092925928</v>
      </c>
      <c r="AL102" s="351">
        <f t="shared" si="102"/>
        <v>5.7287999999999999E-2</v>
      </c>
      <c r="AM102" s="351">
        <f t="shared" si="103"/>
        <v>0.71691840000000018</v>
      </c>
      <c r="AN102" s="351">
        <f t="shared" si="104"/>
        <v>0.17554821161000669</v>
      </c>
      <c r="AO102" s="351">
        <f t="shared" si="105"/>
        <v>8.3999999999999993E-4</v>
      </c>
      <c r="AP102" s="351">
        <f>'Variable Management'!$B$347</f>
        <v>0.41183999999999998</v>
      </c>
      <c r="AQ102" s="351">
        <f t="shared" si="106"/>
        <v>0.36108727954971853</v>
      </c>
      <c r="AR102" s="351">
        <f t="shared" si="107"/>
        <v>0.32603999999999994</v>
      </c>
      <c r="AS102" s="351">
        <f t="shared" si="126"/>
        <v>0.41267999999999999</v>
      </c>
      <c r="AT102" s="351">
        <f t="shared" si="119"/>
        <v>3.2385490369017726</v>
      </c>
      <c r="AU102">
        <f t="shared" si="108"/>
        <v>23.25</v>
      </c>
      <c r="AV102" s="521">
        <f t="shared" si="120"/>
        <v>0.87773777142756748</v>
      </c>
      <c r="AW102" s="530">
        <f t="shared" si="109"/>
        <v>52.512622865601749</v>
      </c>
      <c r="AX102" s="530">
        <f t="shared" si="110"/>
        <v>14.071079317170375</v>
      </c>
      <c r="AY102" s="9"/>
      <c r="AZ102" s="4">
        <f t="shared" si="121"/>
        <v>87.773777142756742</v>
      </c>
      <c r="BA102" s="351">
        <f t="shared" si="111"/>
        <v>0.97975498576977404</v>
      </c>
      <c r="BB102" s="351">
        <f t="shared" si="122"/>
        <v>1.6092467113483486</v>
      </c>
      <c r="BC102" s="351">
        <f t="shared" si="123"/>
        <v>1.2503005444190893</v>
      </c>
      <c r="BD102" s="351">
        <f t="shared" si="124"/>
        <v>0.35177698292925935</v>
      </c>
      <c r="BE102" s="351">
        <f t="shared" si="125"/>
        <v>0.17554821161000669</v>
      </c>
      <c r="BK102" s="18"/>
      <c r="BL102" s="19"/>
    </row>
    <row r="103" spans="7:64" x14ac:dyDescent="0.25">
      <c r="G103">
        <v>94</v>
      </c>
      <c r="H103" s="527">
        <f t="shared" si="80"/>
        <v>24</v>
      </c>
      <c r="I103" s="4">
        <f t="shared" si="81"/>
        <v>1</v>
      </c>
      <c r="J103" s="351">
        <f t="shared" si="112"/>
        <v>4.7</v>
      </c>
      <c r="K103" s="4">
        <f t="shared" si="82"/>
        <v>1.0879629629629628</v>
      </c>
      <c r="L103" s="4"/>
      <c r="M103" s="351">
        <f t="shared" si="83"/>
        <v>0.21560413868493936</v>
      </c>
      <c r="N103" s="4">
        <f t="shared" si="84"/>
        <v>1.9632487498783151</v>
      </c>
      <c r="O103" s="4">
        <f t="shared" si="113"/>
        <v>5.6816243749391582</v>
      </c>
      <c r="P103" s="4">
        <f t="shared" si="114"/>
        <v>3.7183756250608426</v>
      </c>
      <c r="Q103" s="4">
        <f t="shared" si="85"/>
        <v>0</v>
      </c>
      <c r="R103" s="4">
        <f t="shared" si="86"/>
        <v>4.7340464162445883</v>
      </c>
      <c r="S103" s="351">
        <f t="shared" si="87"/>
        <v>0.54907428904337663</v>
      </c>
      <c r="T103" s="351">
        <f t="shared" si="88"/>
        <v>0.4</v>
      </c>
      <c r="U103" s="351">
        <f t="shared" si="89"/>
        <v>0.99267863427230596</v>
      </c>
      <c r="V103" s="4">
        <f t="shared" si="115"/>
        <v>0.56674109711422083</v>
      </c>
      <c r="W103" s="351">
        <f t="shared" si="90"/>
        <v>3.2119547115823068E-4</v>
      </c>
      <c r="X103" s="351">
        <f t="shared" si="116"/>
        <v>3.2119547115823068E-4</v>
      </c>
      <c r="Y103" s="4">
        <f t="shared" si="91"/>
        <v>1.9468330267175344</v>
      </c>
      <c r="Z103" s="351">
        <f t="shared" si="117"/>
        <v>3.7901588339181564E-3</v>
      </c>
      <c r="AA103" s="520">
        <f t="shared" si="118"/>
        <v>3.7901588339181564E-3</v>
      </c>
      <c r="AB103" s="351">
        <f t="shared" si="92"/>
        <v>2.1981688962540806</v>
      </c>
      <c r="AC103" s="351">
        <f t="shared" si="93"/>
        <v>5.5567384709277155E-2</v>
      </c>
      <c r="AD103" s="351">
        <f t="shared" si="94"/>
        <v>0.18377134285714289</v>
      </c>
      <c r="AE103" s="351">
        <f t="shared" si="95"/>
        <v>0.53416704000000004</v>
      </c>
      <c r="AF103" s="351">
        <f t="shared" si="96"/>
        <v>0</v>
      </c>
      <c r="AG103" s="351">
        <f t="shared" si="97"/>
        <v>0.78044452939185494</v>
      </c>
      <c r="AH103" s="351">
        <f t="shared" si="98"/>
        <v>4.1927614974738718</v>
      </c>
      <c r="AI103" s="351">
        <f t="shared" si="99"/>
        <v>5.8011521616507834E-2</v>
      </c>
      <c r="AJ103" s="351">
        <f t="shared" si="100"/>
        <v>5.7903999999999997E-2</v>
      </c>
      <c r="AK103" s="351">
        <f t="shared" si="101"/>
        <v>0.11705634522231172</v>
      </c>
      <c r="AL103" s="351">
        <f t="shared" si="102"/>
        <v>5.7903999999999997E-2</v>
      </c>
      <c r="AM103" s="351">
        <f t="shared" si="103"/>
        <v>0.72462720000000014</v>
      </c>
      <c r="AN103" s="351">
        <f t="shared" si="104"/>
        <v>0.17928956376926583</v>
      </c>
      <c r="AO103" s="351">
        <f t="shared" si="105"/>
        <v>8.3999999999999993E-4</v>
      </c>
      <c r="AP103" s="351">
        <f>'Variable Management'!$B$347</f>
        <v>0.41183999999999998</v>
      </c>
      <c r="AQ103" s="351">
        <f t="shared" si="106"/>
        <v>0.36108727954971853</v>
      </c>
      <c r="AR103" s="351">
        <f t="shared" si="107"/>
        <v>0.32603999999999994</v>
      </c>
      <c r="AS103" s="351">
        <f t="shared" si="126"/>
        <v>0.41267999999999999</v>
      </c>
      <c r="AT103" s="351">
        <f t="shared" si="119"/>
        <v>3.2687916269608146</v>
      </c>
      <c r="AU103">
        <f t="shared" si="108"/>
        <v>23.5</v>
      </c>
      <c r="AV103" s="521">
        <f t="shared" si="120"/>
        <v>0.87788796474217479</v>
      </c>
      <c r="AW103" s="530">
        <f t="shared" si="109"/>
        <v>52.865336218457912</v>
      </c>
      <c r="AX103" s="530">
        <f t="shared" si="110"/>
        <v>14.247332848892471</v>
      </c>
      <c r="AY103" s="9"/>
      <c r="AZ103" s="4">
        <f t="shared" si="121"/>
        <v>87.788796474217477</v>
      </c>
      <c r="BA103" s="351">
        <f t="shared" si="111"/>
        <v>0.99267863427230596</v>
      </c>
      <c r="BB103" s="351">
        <f t="shared" si="122"/>
        <v>1.6221280746141669</v>
      </c>
      <c r="BC103" s="351">
        <f t="shared" si="123"/>
        <v>1.2586984813918551</v>
      </c>
      <c r="BD103" s="351">
        <f t="shared" si="124"/>
        <v>0.35618332122231178</v>
      </c>
      <c r="BE103" s="351">
        <f t="shared" si="125"/>
        <v>0.17928956376926583</v>
      </c>
      <c r="BK103" s="18"/>
      <c r="BL103" s="19"/>
    </row>
    <row r="104" spans="7:64" x14ac:dyDescent="0.25">
      <c r="G104">
        <v>95</v>
      </c>
      <c r="H104" s="527">
        <f t="shared" si="80"/>
        <v>24</v>
      </c>
      <c r="I104" s="4">
        <f t="shared" si="81"/>
        <v>1</v>
      </c>
      <c r="J104" s="351">
        <f t="shared" si="112"/>
        <v>4.75</v>
      </c>
      <c r="K104" s="4">
        <f t="shared" si="82"/>
        <v>1.099537037037037</v>
      </c>
      <c r="L104" s="4"/>
      <c r="M104" s="351">
        <f t="shared" si="83"/>
        <v>0.21568147543305646</v>
      </c>
      <c r="N104" s="4">
        <f t="shared" si="84"/>
        <v>1.9637652325575532</v>
      </c>
      <c r="O104" s="4">
        <f t="shared" si="113"/>
        <v>5.7318826162787762</v>
      </c>
      <c r="P104" s="4">
        <f t="shared" si="114"/>
        <v>3.7681173837212234</v>
      </c>
      <c r="Q104" s="4">
        <f t="shared" si="85"/>
        <v>0</v>
      </c>
      <c r="R104" s="4">
        <f t="shared" si="86"/>
        <v>4.7837082363702761</v>
      </c>
      <c r="S104" s="351">
        <f t="shared" si="87"/>
        <v>0.56065468002256202</v>
      </c>
      <c r="T104" s="351">
        <f t="shared" si="88"/>
        <v>0.4</v>
      </c>
      <c r="U104" s="351">
        <f t="shared" si="89"/>
        <v>1.0057656578698169</v>
      </c>
      <c r="V104" s="4">
        <f t="shared" si="115"/>
        <v>0.56689019282116571</v>
      </c>
      <c r="W104" s="351">
        <f t="shared" si="90"/>
        <v>3.2136449071681845E-4</v>
      </c>
      <c r="X104" s="351">
        <f t="shared" si="116"/>
        <v>3.2136449071681845E-4</v>
      </c>
      <c r="Y104" s="4">
        <f t="shared" si="91"/>
        <v>1.9675117872805337</v>
      </c>
      <c r="Z104" s="351">
        <f t="shared" si="117"/>
        <v>3.8711026330878399E-3</v>
      </c>
      <c r="AA104" s="520">
        <f t="shared" si="118"/>
        <v>3.8711026330878399E-3</v>
      </c>
      <c r="AB104" s="351">
        <f t="shared" si="92"/>
        <v>2.2216268041612959</v>
      </c>
      <c r="AC104" s="351">
        <f t="shared" si="93"/>
        <v>5.6759695055131232E-2</v>
      </c>
      <c r="AD104" s="351">
        <f t="shared" si="94"/>
        <v>0.18572635714285715</v>
      </c>
      <c r="AE104" s="351">
        <f t="shared" si="95"/>
        <v>0.53416704000000004</v>
      </c>
      <c r="AF104" s="351">
        <f t="shared" si="96"/>
        <v>0</v>
      </c>
      <c r="AG104" s="351">
        <f t="shared" si="97"/>
        <v>0.78377094820005344</v>
      </c>
      <c r="AH104" s="351">
        <f t="shared" si="98"/>
        <v>4.2365361834580009</v>
      </c>
      <c r="AI104" s="351">
        <f t="shared" si="99"/>
        <v>5.922918815137132E-2</v>
      </c>
      <c r="AJ104" s="351">
        <f t="shared" si="100"/>
        <v>5.8519999999999996E-2</v>
      </c>
      <c r="AK104" s="351">
        <f t="shared" si="101"/>
        <v>0.11893262769250462</v>
      </c>
      <c r="AL104" s="351">
        <f t="shared" si="102"/>
        <v>5.8519999999999996E-2</v>
      </c>
      <c r="AM104" s="351">
        <f t="shared" si="103"/>
        <v>0.73233599999999999</v>
      </c>
      <c r="AN104" s="351">
        <f t="shared" si="104"/>
        <v>0.18307091592573455</v>
      </c>
      <c r="AO104" s="351">
        <f t="shared" si="105"/>
        <v>8.3999999999999993E-4</v>
      </c>
      <c r="AP104" s="351">
        <f>'Variable Management'!$B$347</f>
        <v>0.41183999999999998</v>
      </c>
      <c r="AQ104" s="351">
        <f t="shared" si="106"/>
        <v>0.36108727954971853</v>
      </c>
      <c r="AR104" s="351">
        <f t="shared" si="107"/>
        <v>0.32603999999999994</v>
      </c>
      <c r="AS104" s="351">
        <f t="shared" si="126"/>
        <v>0.41267999999999999</v>
      </c>
      <c r="AT104" s="351">
        <f t="shared" si="119"/>
        <v>3.2992686168119141</v>
      </c>
      <c r="AU104">
        <f t="shared" si="108"/>
        <v>23.75</v>
      </c>
      <c r="AV104" s="521">
        <f t="shared" si="120"/>
        <v>0.8780274371351644</v>
      </c>
      <c r="AW104" s="530">
        <f t="shared" si="109"/>
        <v>53.21873374440225</v>
      </c>
      <c r="AX104" s="530">
        <f t="shared" si="110"/>
        <v>14.424140307700185</v>
      </c>
      <c r="AY104" s="9"/>
      <c r="AZ104" s="4">
        <f t="shared" si="121"/>
        <v>87.802743713516435</v>
      </c>
      <c r="BA104" s="351">
        <f t="shared" si="111"/>
        <v>1.0057656578698169</v>
      </c>
      <c r="BB104" s="351">
        <f t="shared" si="122"/>
        <v>1.635039575892558</v>
      </c>
      <c r="BC104" s="351">
        <f t="shared" si="123"/>
        <v>1.2671127082000535</v>
      </c>
      <c r="BD104" s="351">
        <f t="shared" si="124"/>
        <v>0.3606035076925046</v>
      </c>
      <c r="BE104" s="351">
        <f t="shared" si="125"/>
        <v>0.18307091592573455</v>
      </c>
      <c r="BK104" s="18"/>
      <c r="BL104" s="19"/>
    </row>
    <row r="105" spans="7:64" x14ac:dyDescent="0.25">
      <c r="G105">
        <v>96</v>
      </c>
      <c r="H105" s="527">
        <f t="shared" si="80"/>
        <v>24</v>
      </c>
      <c r="I105" s="4">
        <f t="shared" si="81"/>
        <v>1</v>
      </c>
      <c r="J105" s="351">
        <f t="shared" si="112"/>
        <v>4.8</v>
      </c>
      <c r="K105" s="4">
        <f t="shared" ref="K105:K109" si="127">Vout2*J105/(Vin*Efficiency)</f>
        <v>1.1111111111111109</v>
      </c>
      <c r="L105" s="4"/>
      <c r="M105" s="351">
        <f t="shared" si="83"/>
        <v>0.21575881192342558</v>
      </c>
      <c r="N105" s="4">
        <f t="shared" ref="N105:N109" si="128">(Vin-(Rdson3+Rdcr2)*J105-Vout2)*M105/(Fsw*Lo_2)</f>
        <v>1.9642815782614693</v>
      </c>
      <c r="O105" s="4">
        <f t="shared" si="113"/>
        <v>5.7821407891307341</v>
      </c>
      <c r="P105" s="4">
        <f t="shared" si="114"/>
        <v>3.8178592108692651</v>
      </c>
      <c r="Q105" s="4">
        <f t="shared" ref="Q105:Q109" si="129">IF(MIN(Vin, -P105/(Coss_Q3+Coss_Q4)*0.00000002)&lt;0, 0, MIN(Vin, -P105/(Coss_Q3+Coss_Q4)*0.00000002))</f>
        <v>0</v>
      </c>
      <c r="R105" s="4">
        <f t="shared" si="86"/>
        <v>4.8333770295613654</v>
      </c>
      <c r="S105" s="351">
        <f t="shared" ref="S105:S109" si="130">R105^2*Rdcr2</f>
        <v>0.57235757099234053</v>
      </c>
      <c r="T105" s="351">
        <f t="shared" si="88"/>
        <v>0.4</v>
      </c>
      <c r="U105" s="351">
        <f t="shared" ref="U105:U109" si="131">(T105+S105*(1+Ltc*(Ta-25)))/(1-S105*Ltc*ThetaCa)</f>
        <v>1.0190169356389289</v>
      </c>
      <c r="V105" s="4">
        <f t="shared" si="115"/>
        <v>0.56703924898674118</v>
      </c>
      <c r="W105" s="351">
        <f t="shared" ref="W105:W109" si="132">Cout2_ESR*V105^2</f>
        <v>3.2153350989144746E-4</v>
      </c>
      <c r="X105" s="351">
        <f t="shared" si="116"/>
        <v>3.2153350989144746E-4</v>
      </c>
      <c r="Y105" s="4">
        <f t="shared" si="91"/>
        <v>1.9881986224887149</v>
      </c>
      <c r="Z105" s="351">
        <f t="shared" si="117"/>
        <v>3.952933762466024E-3</v>
      </c>
      <c r="AA105" s="520">
        <f t="shared" si="118"/>
        <v>3.952933762466024E-3</v>
      </c>
      <c r="AB105" s="351">
        <f t="shared" si="92"/>
        <v>2.2450961482314011</v>
      </c>
      <c r="AC105" s="351">
        <f t="shared" ref="AC105:AC109" si="133">Rdson3*AB105^2</f>
        <v>5.7965252220239939E-2</v>
      </c>
      <c r="AD105" s="351">
        <f t="shared" si="94"/>
        <v>0.18768137142857141</v>
      </c>
      <c r="AE105" s="351">
        <f t="shared" si="95"/>
        <v>0.53416704000000004</v>
      </c>
      <c r="AF105" s="351">
        <f t="shared" si="96"/>
        <v>0</v>
      </c>
      <c r="AG105" s="351">
        <f t="shared" ref="AG105:AG109" si="134">(AF105+AE105+AD105+AC105*(1+RdsonTopTc*Ta-RdsonTopTc*25))/(1-AC105*RdsonTopTc*ThetaJA_Q2)</f>
        <v>0.78711370273764258</v>
      </c>
      <c r="AH105" s="351">
        <f t="shared" si="98"/>
        <v>4.2803126982836162</v>
      </c>
      <c r="AI105" s="351">
        <f t="shared" ref="AI105:AI109" si="135">Rdson4*AH105^2</f>
        <v>6.0459553423790308E-2</v>
      </c>
      <c r="AJ105" s="351">
        <f t="shared" si="100"/>
        <v>5.9135999999999994E-2</v>
      </c>
      <c r="AK105" s="351">
        <f t="shared" ref="AK105:AK109" si="136">(AJ105+AI105*(1+RdsonBotTc*Ta-RdsonBotTc*25))/(1-AI105*RdsonBotTc*ThetaJA_Q3)</f>
        <v>0.12082277511631886</v>
      </c>
      <c r="AL105" s="351">
        <f t="shared" si="102"/>
        <v>5.9135999999999994E-2</v>
      </c>
      <c r="AM105" s="351">
        <f t="shared" si="103"/>
        <v>0.74004479999999995</v>
      </c>
      <c r="AN105" s="351">
        <f t="shared" si="104"/>
        <v>0.18689226807913159</v>
      </c>
      <c r="AO105" s="351">
        <f t="shared" si="105"/>
        <v>8.3999999999999993E-4</v>
      </c>
      <c r="AP105" s="351">
        <f>'Variable Management'!$B$347</f>
        <v>0.41183999999999998</v>
      </c>
      <c r="AQ105" s="351">
        <f t="shared" si="106"/>
        <v>0.36108727954971853</v>
      </c>
      <c r="AR105" s="351">
        <f t="shared" si="107"/>
        <v>0.32603999999999994</v>
      </c>
      <c r="AS105" s="351">
        <f t="shared" si="126"/>
        <v>0.41267999999999999</v>
      </c>
      <c r="AT105" s="351">
        <f t="shared" si="119"/>
        <v>3.3299809488443795</v>
      </c>
      <c r="AU105">
        <f t="shared" si="108"/>
        <v>24</v>
      </c>
      <c r="AV105" s="521">
        <f t="shared" si="120"/>
        <v>0.87815648481141062</v>
      </c>
      <c r="AW105" s="530">
        <f t="shared" si="109"/>
        <v>53.572817370980992</v>
      </c>
      <c r="AX105" s="530">
        <f t="shared" si="110"/>
        <v>14.601502364652754</v>
      </c>
      <c r="AY105" s="9"/>
      <c r="AZ105" s="4">
        <f t="shared" si="121"/>
        <v>87.815648481141068</v>
      </c>
      <c r="BA105" s="351">
        <f t="shared" si="111"/>
        <v>1.0190169356389289</v>
      </c>
      <c r="BB105" s="351">
        <f t="shared" si="122"/>
        <v>1.6479812778539613</v>
      </c>
      <c r="BC105" s="351">
        <f t="shared" si="123"/>
        <v>1.2755432707376426</v>
      </c>
      <c r="BD105" s="351">
        <f t="shared" si="124"/>
        <v>0.36503755911631885</v>
      </c>
      <c r="BE105" s="351">
        <f t="shared" si="125"/>
        <v>0.18689226807913159</v>
      </c>
      <c r="BK105" s="18"/>
      <c r="BL105" s="19"/>
    </row>
    <row r="106" spans="7:64" x14ac:dyDescent="0.25">
      <c r="G106">
        <v>97</v>
      </c>
      <c r="H106" s="527">
        <f t="shared" si="80"/>
        <v>24</v>
      </c>
      <c r="I106" s="4">
        <f t="shared" si="81"/>
        <v>1</v>
      </c>
      <c r="J106" s="351">
        <f t="shared" si="112"/>
        <v>4.8499999999999996</v>
      </c>
      <c r="K106" s="4">
        <f t="shared" si="127"/>
        <v>1.1226851851851851</v>
      </c>
      <c r="L106" s="4"/>
      <c r="M106" s="351">
        <f t="shared" si="83"/>
        <v>0.21583614815604812</v>
      </c>
      <c r="N106" s="4">
        <f t="shared" si="128"/>
        <v>1.9647977869907487</v>
      </c>
      <c r="O106" s="4">
        <f t="shared" si="113"/>
        <v>5.8323988934953741</v>
      </c>
      <c r="P106" s="4">
        <f t="shared" si="114"/>
        <v>3.8676011065046252</v>
      </c>
      <c r="Q106" s="4">
        <f t="shared" si="129"/>
        <v>0</v>
      </c>
      <c r="R106" s="4">
        <f t="shared" si="86"/>
        <v>4.8830525830311284</v>
      </c>
      <c r="S106" s="351">
        <f t="shared" si="130"/>
        <v>0.58418296195185093</v>
      </c>
      <c r="T106" s="351">
        <f t="shared" si="88"/>
        <v>0.4</v>
      </c>
      <c r="U106" s="351">
        <f t="shared" si="131"/>
        <v>1.0324333602233031</v>
      </c>
      <c r="V106" s="4">
        <f t="shared" si="115"/>
        <v>0.56718826561114488</v>
      </c>
      <c r="W106" s="351">
        <f t="shared" si="132"/>
        <v>3.2170252864697861E-4</v>
      </c>
      <c r="X106" s="351">
        <f t="shared" si="116"/>
        <v>3.2170252864697861E-4</v>
      </c>
      <c r="Y106" s="4">
        <f t="shared" si="91"/>
        <v>2.0088934427326515</v>
      </c>
      <c r="Z106" s="351">
        <f t="shared" si="117"/>
        <v>4.0356528642542452E-3</v>
      </c>
      <c r="AA106" s="520">
        <f t="shared" si="118"/>
        <v>4.0356528642542452E-3</v>
      </c>
      <c r="AB106" s="351">
        <f t="shared" si="92"/>
        <v>2.2685768291234627</v>
      </c>
      <c r="AC106" s="351">
        <f t="shared" si="133"/>
        <v>5.9184069540812435E-2</v>
      </c>
      <c r="AD106" s="351">
        <f t="shared" si="94"/>
        <v>0.18963638571428568</v>
      </c>
      <c r="AE106" s="351">
        <f t="shared" si="95"/>
        <v>0.53416704000000004</v>
      </c>
      <c r="AF106" s="351">
        <f t="shared" si="96"/>
        <v>0</v>
      </c>
      <c r="AG106" s="351">
        <f t="shared" si="134"/>
        <v>0.79047283917249145</v>
      </c>
      <c r="AH106" s="351">
        <f t="shared" si="98"/>
        <v>4.3240908523076973</v>
      </c>
      <c r="AI106" s="351">
        <f t="shared" si="135"/>
        <v>6.170261360673665E-2</v>
      </c>
      <c r="AJ106" s="351">
        <f t="shared" si="100"/>
        <v>5.9751999999999993E-2</v>
      </c>
      <c r="AK106" s="351">
        <f t="shared" si="136"/>
        <v>0.12272680445864649</v>
      </c>
      <c r="AL106" s="351">
        <f t="shared" si="102"/>
        <v>5.9751999999999993E-2</v>
      </c>
      <c r="AM106" s="351">
        <f t="shared" si="103"/>
        <v>0.74775360000000013</v>
      </c>
      <c r="AN106" s="351">
        <f t="shared" si="104"/>
        <v>0.1907536202291758</v>
      </c>
      <c r="AO106" s="351">
        <f t="shared" si="105"/>
        <v>8.3999999999999993E-4</v>
      </c>
      <c r="AP106" s="351">
        <f>'Variable Management'!$B$347</f>
        <v>0.41183999999999998</v>
      </c>
      <c r="AQ106" s="351">
        <f t="shared" si="106"/>
        <v>0.36108727954971853</v>
      </c>
      <c r="AR106" s="351">
        <f t="shared" si="107"/>
        <v>0.32603999999999994</v>
      </c>
      <c r="AS106" s="351">
        <f t="shared" si="126"/>
        <v>0.41267999999999999</v>
      </c>
      <c r="AT106" s="351">
        <f t="shared" si="119"/>
        <v>3.3609295794765184</v>
      </c>
      <c r="AU106">
        <f t="shared" si="108"/>
        <v>24.25</v>
      </c>
      <c r="AV106" s="521">
        <f t="shared" si="120"/>
        <v>0.87827539200365312</v>
      </c>
      <c r="AW106" s="530">
        <f t="shared" si="109"/>
        <v>53.927589037244644</v>
      </c>
      <c r="AX106" s="530">
        <f t="shared" si="110"/>
        <v>14.779419698345862</v>
      </c>
      <c r="AY106" s="9"/>
      <c r="AZ106" s="4">
        <f t="shared" si="121"/>
        <v>87.827539200365308</v>
      </c>
      <c r="BA106" s="351">
        <f t="shared" si="111"/>
        <v>1.0324333602233031</v>
      </c>
      <c r="BB106" s="351">
        <f t="shared" si="122"/>
        <v>1.6609532436311381</v>
      </c>
      <c r="BC106" s="351">
        <f t="shared" si="123"/>
        <v>1.2839902151724916</v>
      </c>
      <c r="BD106" s="351">
        <f t="shared" si="124"/>
        <v>0.36948549245864654</v>
      </c>
      <c r="BE106" s="351">
        <f t="shared" si="125"/>
        <v>0.1907536202291758</v>
      </c>
      <c r="BK106" s="18"/>
      <c r="BL106" s="19"/>
    </row>
    <row r="107" spans="7:64" x14ac:dyDescent="0.25">
      <c r="G107">
        <v>98</v>
      </c>
      <c r="H107" s="527">
        <f t="shared" si="80"/>
        <v>24</v>
      </c>
      <c r="I107" s="4">
        <f t="shared" si="81"/>
        <v>1</v>
      </c>
      <c r="J107" s="351">
        <f t="shared" si="112"/>
        <v>4.9000000000000004</v>
      </c>
      <c r="K107" s="4">
        <f t="shared" si="127"/>
        <v>1.1342592592592591</v>
      </c>
      <c r="L107" s="4"/>
      <c r="M107" s="351">
        <f t="shared" si="83"/>
        <v>0.21591348413092526</v>
      </c>
      <c r="N107" s="4">
        <f t="shared" si="128"/>
        <v>1.9653138587460754</v>
      </c>
      <c r="O107" s="4">
        <f t="shared" si="113"/>
        <v>5.882656929373038</v>
      </c>
      <c r="P107" s="4">
        <f t="shared" si="114"/>
        <v>3.9173430706269627</v>
      </c>
      <c r="Q107" s="4">
        <f t="shared" si="129"/>
        <v>0</v>
      </c>
      <c r="R107" s="4">
        <f t="shared" si="86"/>
        <v>4.9327346925360063</v>
      </c>
      <c r="S107" s="351">
        <f t="shared" si="130"/>
        <v>0.59613085290023315</v>
      </c>
      <c r="T107" s="351">
        <f t="shared" si="88"/>
        <v>0.4</v>
      </c>
      <c r="U107" s="351">
        <f t="shared" si="131"/>
        <v>1.046015837992188</v>
      </c>
      <c r="V107" s="4">
        <f t="shared" si="115"/>
        <v>0.56733724269457442</v>
      </c>
      <c r="W107" s="351">
        <f t="shared" si="132"/>
        <v>3.218715469482824E-4</v>
      </c>
      <c r="X107" s="351">
        <f t="shared" si="116"/>
        <v>3.218715469482824E-4</v>
      </c>
      <c r="Y107" s="4">
        <f t="shared" si="91"/>
        <v>2.0295961618733465</v>
      </c>
      <c r="Z107" s="351">
        <f t="shared" si="117"/>
        <v>4.1192605802910197E-3</v>
      </c>
      <c r="AA107" s="520">
        <f t="shared" si="118"/>
        <v>4.1192605802910197E-3</v>
      </c>
      <c r="AB107" s="351">
        <f t="shared" si="92"/>
        <v>2.2920687513963736</v>
      </c>
      <c r="AC107" s="351">
        <f t="shared" si="133"/>
        <v>6.0416160352968908E-2</v>
      </c>
      <c r="AD107" s="351">
        <f t="shared" si="94"/>
        <v>0.19159140000000002</v>
      </c>
      <c r="AE107" s="351">
        <f t="shared" si="95"/>
        <v>0.53416704000000004</v>
      </c>
      <c r="AF107" s="351">
        <f t="shared" si="96"/>
        <v>0</v>
      </c>
      <c r="AG107" s="351">
        <f t="shared" si="134"/>
        <v>0.79384840394798828</v>
      </c>
      <c r="AH107" s="351">
        <f t="shared" si="98"/>
        <v>4.3678704634891083</v>
      </c>
      <c r="AI107" s="351">
        <f t="shared" si="135"/>
        <v>6.2958364873207842E-2</v>
      </c>
      <c r="AJ107" s="351">
        <f t="shared" si="100"/>
        <v>6.0367999999999998E-2</v>
      </c>
      <c r="AK107" s="351">
        <f t="shared" si="136"/>
        <v>0.12464473287326325</v>
      </c>
      <c r="AL107" s="351">
        <f t="shared" si="102"/>
        <v>6.0367999999999998E-2</v>
      </c>
      <c r="AM107" s="351">
        <f t="shared" si="103"/>
        <v>0.75546240000000009</v>
      </c>
      <c r="AN107" s="351">
        <f t="shared" si="104"/>
        <v>0.19465497237558632</v>
      </c>
      <c r="AO107" s="351">
        <f t="shared" si="105"/>
        <v>8.3999999999999993E-4</v>
      </c>
      <c r="AP107" s="351">
        <f>'Variable Management'!$B$347</f>
        <v>0.41183999999999998</v>
      </c>
      <c r="AQ107" s="351">
        <f t="shared" si="106"/>
        <v>0.36108727954971853</v>
      </c>
      <c r="AR107" s="351">
        <f t="shared" si="107"/>
        <v>0.32603999999999994</v>
      </c>
      <c r="AS107" s="351">
        <f t="shared" si="126"/>
        <v>0.41267999999999999</v>
      </c>
      <c r="AT107" s="351">
        <f t="shared" si="119"/>
        <v>3.3921154793162653</v>
      </c>
      <c r="AU107">
        <f t="shared" si="108"/>
        <v>24.5</v>
      </c>
      <c r="AV107" s="521">
        <f t="shared" si="120"/>
        <v>0.87838443154906154</v>
      </c>
      <c r="AW107" s="530">
        <f t="shared" si="109"/>
        <v>54.283050693815511</v>
      </c>
      <c r="AX107" s="530">
        <f t="shared" si="110"/>
        <v>14.957892994930532</v>
      </c>
      <c r="AY107" s="9"/>
      <c r="AZ107" s="4">
        <f t="shared" si="121"/>
        <v>87.838443154906159</v>
      </c>
      <c r="BA107" s="351">
        <f t="shared" si="111"/>
        <v>1.046015837992188</v>
      </c>
      <c r="BB107" s="351">
        <f t="shared" si="122"/>
        <v>1.6739555368212518</v>
      </c>
      <c r="BC107" s="351">
        <f t="shared" si="123"/>
        <v>1.2924535879479884</v>
      </c>
      <c r="BD107" s="351">
        <f t="shared" si="124"/>
        <v>0.37394732487326332</v>
      </c>
      <c r="BE107" s="351">
        <f t="shared" si="125"/>
        <v>0.19465497237558632</v>
      </c>
      <c r="BK107" s="18"/>
      <c r="BL107" s="19"/>
    </row>
    <row r="108" spans="7:64" x14ac:dyDescent="0.25">
      <c r="G108">
        <v>99</v>
      </c>
      <c r="H108" s="527">
        <f t="shared" si="80"/>
        <v>24</v>
      </c>
      <c r="I108" s="4">
        <f t="shared" si="81"/>
        <v>1</v>
      </c>
      <c r="J108" s="351">
        <f t="shared" si="112"/>
        <v>4.95</v>
      </c>
      <c r="K108" s="4">
        <f t="shared" si="127"/>
        <v>1.1458333333333333</v>
      </c>
      <c r="L108" s="4"/>
      <c r="M108" s="351">
        <f t="shared" si="83"/>
        <v>0.2159908198480584</v>
      </c>
      <c r="N108" s="4">
        <f t="shared" si="128"/>
        <v>1.9658297935281361</v>
      </c>
      <c r="O108" s="4">
        <f t="shared" si="113"/>
        <v>5.9329148967640686</v>
      </c>
      <c r="P108" s="4">
        <f t="shared" si="114"/>
        <v>3.9670851032359322</v>
      </c>
      <c r="Q108" s="4">
        <f t="shared" si="129"/>
        <v>0</v>
      </c>
      <c r="R108" s="4">
        <f t="shared" si="86"/>
        <v>4.9824231619524495</v>
      </c>
      <c r="S108" s="351">
        <f t="shared" si="130"/>
        <v>0.60820124383662599</v>
      </c>
      <c r="T108" s="351">
        <f t="shared" si="88"/>
        <v>0.4</v>
      </c>
      <c r="U108" s="351">
        <f t="shared" si="131"/>
        <v>1.0597652892020306</v>
      </c>
      <c r="V108" s="4">
        <f t="shared" si="115"/>
        <v>0.56748618023722797</v>
      </c>
      <c r="W108" s="351">
        <f t="shared" si="132"/>
        <v>3.2204056476023955E-4</v>
      </c>
      <c r="X108" s="351">
        <f t="shared" si="116"/>
        <v>3.2204056476023955E-4</v>
      </c>
      <c r="Y108" s="4">
        <f t="shared" si="91"/>
        <v>2.0503066970704267</v>
      </c>
      <c r="Z108" s="351">
        <f t="shared" si="117"/>
        <v>4.2037575520518424E-3</v>
      </c>
      <c r="AA108" s="520">
        <f t="shared" si="118"/>
        <v>4.2037575520518424E-3</v>
      </c>
      <c r="AB108" s="351">
        <f t="shared" si="92"/>
        <v>2.3155718233157758</v>
      </c>
      <c r="AC108" s="351">
        <f t="shared" si="133"/>
        <v>6.1661537992740378E-2</v>
      </c>
      <c r="AD108" s="351">
        <f t="shared" si="94"/>
        <v>0.19354641428571431</v>
      </c>
      <c r="AE108" s="351">
        <f t="shared" si="95"/>
        <v>0.53416704000000004</v>
      </c>
      <c r="AF108" s="351">
        <f t="shared" si="96"/>
        <v>0</v>
      </c>
      <c r="AG108" s="351">
        <f t="shared" si="134"/>
        <v>0.79724044378465908</v>
      </c>
      <c r="AH108" s="351">
        <f t="shared" si="98"/>
        <v>4.4116513570120537</v>
      </c>
      <c r="AI108" s="351">
        <f t="shared" si="135"/>
        <v>6.4226803396226773E-2</v>
      </c>
      <c r="AJ108" s="351">
        <f t="shared" si="100"/>
        <v>6.0983999999999997E-2</v>
      </c>
      <c r="AK108" s="351">
        <f t="shared" si="136"/>
        <v>0.1265765777033073</v>
      </c>
      <c r="AL108" s="351">
        <f t="shared" si="102"/>
        <v>6.0983999999999997E-2</v>
      </c>
      <c r="AM108" s="351">
        <f t="shared" si="103"/>
        <v>0.76317120000000005</v>
      </c>
      <c r="AN108" s="351">
        <f t="shared" si="104"/>
        <v>0.19859632451808196</v>
      </c>
      <c r="AO108" s="351">
        <f t="shared" si="105"/>
        <v>8.3999999999999993E-4</v>
      </c>
      <c r="AP108" s="351">
        <f>'Variable Management'!$B$347</f>
        <v>0.41183999999999998</v>
      </c>
      <c r="AQ108" s="351">
        <f t="shared" si="106"/>
        <v>0.36108727954971853</v>
      </c>
      <c r="AR108" s="351">
        <f t="shared" si="107"/>
        <v>0.32603999999999994</v>
      </c>
      <c r="AS108" s="351">
        <f t="shared" si="126"/>
        <v>0.41267999999999999</v>
      </c>
      <c r="AT108" s="351">
        <f t="shared" si="119"/>
        <v>3.4235396333248911</v>
      </c>
      <c r="AU108">
        <f t="shared" si="108"/>
        <v>24.75</v>
      </c>
      <c r="AV108" s="521">
        <f t="shared" si="120"/>
        <v>0.87848386543253587</v>
      </c>
      <c r="AW108" s="530">
        <f t="shared" si="109"/>
        <v>54.639204302955683</v>
      </c>
      <c r="AX108" s="530">
        <f t="shared" si="110"/>
        <v>15.136922948132291</v>
      </c>
      <c r="AY108" s="9"/>
      <c r="AZ108" s="4">
        <f t="shared" si="121"/>
        <v>87.848386543253582</v>
      </c>
      <c r="BA108" s="351">
        <f t="shared" si="111"/>
        <v>1.0597652892020306</v>
      </c>
      <c r="BB108" s="351">
        <f t="shared" si="122"/>
        <v>1.6869882214879666</v>
      </c>
      <c r="BC108" s="351">
        <f t="shared" si="123"/>
        <v>1.3009334357846591</v>
      </c>
      <c r="BD108" s="351">
        <f t="shared" si="124"/>
        <v>0.3784230737033073</v>
      </c>
      <c r="BE108" s="351">
        <f t="shared" si="125"/>
        <v>0.19859632451808196</v>
      </c>
      <c r="BK108" s="18"/>
      <c r="BL108" s="19"/>
    </row>
    <row r="109" spans="7:64" x14ac:dyDescent="0.25">
      <c r="G109">
        <v>100</v>
      </c>
      <c r="H109" s="527">
        <f t="shared" si="80"/>
        <v>24</v>
      </c>
      <c r="I109" s="4">
        <f t="shared" si="81"/>
        <v>1</v>
      </c>
      <c r="J109" s="351">
        <f t="shared" si="112"/>
        <v>5</v>
      </c>
      <c r="K109" s="4">
        <f t="shared" si="127"/>
        <v>1.1574074074074074</v>
      </c>
      <c r="L109" s="4"/>
      <c r="M109" s="351">
        <f t="shared" si="83"/>
        <v>0.21606815530744874</v>
      </c>
      <c r="N109" s="4">
        <f t="shared" si="128"/>
        <v>1.9663455913376136</v>
      </c>
      <c r="O109" s="4">
        <f t="shared" si="113"/>
        <v>5.983172795668807</v>
      </c>
      <c r="P109" s="4">
        <f t="shared" si="114"/>
        <v>4.016827204331193</v>
      </c>
      <c r="Q109" s="4">
        <f t="shared" si="129"/>
        <v>0</v>
      </c>
      <c r="R109" s="4">
        <f t="shared" si="86"/>
        <v>5.0321178028785996</v>
      </c>
      <c r="S109" s="351">
        <f t="shared" si="130"/>
        <v>0.6203941347601698</v>
      </c>
      <c r="T109" s="351">
        <f t="shared" si="88"/>
        <v>0.4</v>
      </c>
      <c r="U109" s="351">
        <f t="shared" si="131"/>
        <v>1.0736826481612083</v>
      </c>
      <c r="V109" s="4">
        <f t="shared" si="115"/>
        <v>0.56763507823930259</v>
      </c>
      <c r="W109" s="351">
        <f t="shared" si="132"/>
        <v>3.2220958204773922E-4</v>
      </c>
      <c r="X109" s="351">
        <f t="shared" si="116"/>
        <v>3.2220958204773922E-4</v>
      </c>
      <c r="Y109" s="4">
        <f t="shared" si="91"/>
        <v>2.0710249686204181</v>
      </c>
      <c r="Z109" s="351">
        <f t="shared" si="117"/>
        <v>4.2891444206492038E-3</v>
      </c>
      <c r="AA109" s="520">
        <f t="shared" si="118"/>
        <v>4.2891444206492038E-3</v>
      </c>
      <c r="AB109" s="351">
        <f t="shared" si="92"/>
        <v>2.3390859566723194</v>
      </c>
      <c r="AC109" s="351">
        <f t="shared" si="133"/>
        <v>6.2920215796069087E-2</v>
      </c>
      <c r="AD109" s="351">
        <f t="shared" si="94"/>
        <v>0.19550142857142858</v>
      </c>
      <c r="AE109" s="351">
        <f t="shared" si="95"/>
        <v>0.53416704000000004</v>
      </c>
      <c r="AF109" s="351">
        <f t="shared" si="96"/>
        <v>0</v>
      </c>
      <c r="AG109" s="351">
        <f t="shared" si="134"/>
        <v>0.80064900568180286</v>
      </c>
      <c r="AH109" s="351">
        <f t="shared" si="98"/>
        <v>4.4554333649316407</v>
      </c>
      <c r="AI109" s="351">
        <f t="shared" si="135"/>
        <v>6.5507925348842075E-2</v>
      </c>
      <c r="AJ109" s="351">
        <f t="shared" si="100"/>
        <v>6.1599999999999995E-2</v>
      </c>
      <c r="AK109" s="351">
        <f t="shared" si="136"/>
        <v>0.12852235648176497</v>
      </c>
      <c r="AL109" s="351">
        <f t="shared" si="102"/>
        <v>6.1599999999999995E-2</v>
      </c>
      <c r="AM109" s="351">
        <f t="shared" si="103"/>
        <v>0.77088000000000001</v>
      </c>
      <c r="AN109" s="351">
        <f t="shared" si="104"/>
        <v>0.20257767665638196</v>
      </c>
      <c r="AO109" s="351">
        <f t="shared" si="105"/>
        <v>8.3999999999999993E-4</v>
      </c>
      <c r="AP109" s="351">
        <f>'Variable Management'!$B$347</f>
        <v>0.41183999999999998</v>
      </c>
      <c r="AQ109" s="351">
        <f t="shared" si="106"/>
        <v>0.36108727954971853</v>
      </c>
      <c r="AR109" s="351">
        <f t="shared" si="107"/>
        <v>0.32603999999999994</v>
      </c>
      <c r="AS109" s="351">
        <f t="shared" si="126"/>
        <v>0.41267999999999999</v>
      </c>
      <c r="AT109" s="351">
        <f t="shared" si="119"/>
        <v>3.4552030409838546</v>
      </c>
      <c r="AU109">
        <f t="shared" si="108"/>
        <v>25</v>
      </c>
      <c r="AV109" s="521">
        <f t="shared" si="120"/>
        <v>0.87857394529895483</v>
      </c>
      <c r="AW109" s="530">
        <f t="shared" si="109"/>
        <v>54.996051838635715</v>
      </c>
      <c r="AX109" s="530">
        <f t="shared" si="110"/>
        <v>15.316510259270599</v>
      </c>
      <c r="AY109" s="9"/>
      <c r="AZ109" s="4">
        <f t="shared" si="121"/>
        <v>87.857394529895487</v>
      </c>
      <c r="BA109" s="351">
        <f t="shared" si="111"/>
        <v>1.0736826481612083</v>
      </c>
      <c r="BB109" s="351">
        <f t="shared" si="122"/>
        <v>1.7000513621635678</v>
      </c>
      <c r="BC109" s="351">
        <f t="shared" si="123"/>
        <v>1.3094298056818028</v>
      </c>
      <c r="BD109" s="351">
        <f t="shared" si="124"/>
        <v>0.38291275648176498</v>
      </c>
      <c r="BE109" s="351">
        <f t="shared" si="125"/>
        <v>0.20257767665638196</v>
      </c>
      <c r="BK109" s="18"/>
      <c r="BL109" s="19"/>
    </row>
    <row r="110" spans="7:64" x14ac:dyDescent="0.25">
      <c r="H110" s="527"/>
      <c r="I110" s="4"/>
      <c r="K110" s="4"/>
      <c r="L110" s="4"/>
      <c r="R110" s="351"/>
      <c r="S110" s="351"/>
      <c r="T110" s="351"/>
      <c r="U110" s="351"/>
      <c r="W110" s="351"/>
      <c r="X110" s="351"/>
      <c r="Y110" s="351"/>
      <c r="Z110" s="351"/>
      <c r="AA110" s="520"/>
      <c r="AB110" s="351"/>
      <c r="AC110" s="351"/>
      <c r="AD110" s="351"/>
      <c r="AE110" s="351"/>
      <c r="AG110" s="351"/>
      <c r="AH110" s="351"/>
      <c r="AI110" s="351"/>
      <c r="AJ110" s="351"/>
      <c r="AK110" s="351"/>
      <c r="AL110" s="351"/>
      <c r="AM110" s="351"/>
      <c r="AN110" s="351"/>
      <c r="AO110" s="351"/>
      <c r="AP110" s="351"/>
      <c r="AQ110" s="351"/>
      <c r="AR110" s="351"/>
      <c r="AS110" s="351"/>
      <c r="AT110" s="351"/>
      <c r="AV110" s="521"/>
      <c r="AW110" s="530"/>
      <c r="AX110" s="530"/>
      <c r="AY110" s="9"/>
      <c r="AZ110" s="48"/>
      <c r="BA110" s="351"/>
      <c r="BB110" s="351"/>
      <c r="BC110" s="351"/>
      <c r="BD110" s="351"/>
      <c r="BE110" s="351"/>
    </row>
    <row r="111" spans="7:64" x14ac:dyDescent="0.25">
      <c r="H111" s="527"/>
      <c r="I111" s="4"/>
      <c r="K111" s="4"/>
      <c r="L111" s="4"/>
      <c r="R111" s="351"/>
      <c r="S111" s="351"/>
      <c r="T111" s="351"/>
      <c r="U111" s="351"/>
      <c r="W111" s="351"/>
      <c r="X111" s="351"/>
      <c r="Y111" s="351"/>
      <c r="Z111" s="351"/>
      <c r="AA111" s="520"/>
      <c r="AB111" s="351"/>
      <c r="AC111" s="351"/>
      <c r="AD111" s="351"/>
      <c r="AE111" s="351"/>
      <c r="AG111" s="351">
        <v>1.0264505953745029</v>
      </c>
      <c r="AH111" s="351">
        <v>5.6934364538745408</v>
      </c>
      <c r="AI111" s="351">
        <v>0.18476674632955281</v>
      </c>
      <c r="AJ111" s="351">
        <v>0.50400000000000011</v>
      </c>
      <c r="AK111" s="351">
        <v>0.7151956198638304</v>
      </c>
      <c r="AL111" s="351">
        <v>0.50400000000000011</v>
      </c>
      <c r="AM111" s="351">
        <v>0.2772</v>
      </c>
      <c r="AN111" s="351">
        <f>CHOOSE(SENSING_TYPE, Rs_Ch2*R111^2, 0)</f>
        <v>0</v>
      </c>
      <c r="AO111" s="351">
        <v>4.1999999999999996E-4</v>
      </c>
      <c r="AP111" s="351">
        <v>0.189</v>
      </c>
      <c r="AQ111" s="351">
        <v>0.34559999999999996</v>
      </c>
      <c r="AR111" s="351">
        <v>0.2646</v>
      </c>
      <c r="AS111" s="351">
        <v>0.18942000000000001</v>
      </c>
      <c r="AT111" s="351">
        <v>3.6212425503668713</v>
      </c>
      <c r="AU111">
        <v>37.5</v>
      </c>
      <c r="AV111" s="521"/>
      <c r="AW111" s="530"/>
      <c r="AX111" s="530"/>
      <c r="AY111" s="9"/>
      <c r="AZ111" s="48"/>
      <c r="BA111" s="351"/>
      <c r="BB111" s="351"/>
      <c r="BC111" s="351"/>
      <c r="BD111" s="351"/>
      <c r="BE111" s="351"/>
    </row>
    <row r="112" spans="7:64" x14ac:dyDescent="0.25">
      <c r="H112" s="527"/>
      <c r="I112" s="4"/>
      <c r="K112" s="4"/>
      <c r="L112" s="4"/>
      <c r="R112" s="351"/>
      <c r="S112" s="351"/>
      <c r="T112" s="351"/>
      <c r="U112" s="351"/>
      <c r="W112" s="351"/>
      <c r="X112" s="351"/>
      <c r="Y112" s="351"/>
      <c r="Z112" s="351"/>
      <c r="AA112" s="520"/>
      <c r="AB112" s="351"/>
      <c r="AC112" s="351"/>
      <c r="AD112" s="351"/>
      <c r="AE112" s="351"/>
      <c r="AG112" s="351"/>
      <c r="AH112" s="351"/>
      <c r="AI112" s="351"/>
      <c r="AJ112" s="351"/>
      <c r="AK112" s="351"/>
      <c r="AL112" s="351"/>
      <c r="AM112" s="351"/>
      <c r="AN112" s="351"/>
      <c r="AO112" s="351"/>
      <c r="AP112" s="351"/>
      <c r="AQ112" s="351"/>
      <c r="AR112" s="351"/>
      <c r="AS112" s="351"/>
      <c r="AT112" s="351"/>
      <c r="AV112" s="521"/>
      <c r="AW112" s="530"/>
      <c r="AX112" s="530"/>
      <c r="AY112" s="9"/>
      <c r="AZ112" s="48"/>
      <c r="BA112" s="351"/>
      <c r="BB112" s="351"/>
      <c r="BC112" s="351"/>
      <c r="BD112" s="351"/>
      <c r="BE112" s="351"/>
    </row>
    <row r="113" spans="8:57" x14ac:dyDescent="0.25">
      <c r="H113" s="527"/>
      <c r="I113" s="4"/>
      <c r="K113" s="4"/>
      <c r="L113" s="4"/>
      <c r="R113" s="351"/>
      <c r="S113" s="351"/>
      <c r="T113" s="351"/>
      <c r="U113" s="351"/>
      <c r="W113" s="351"/>
      <c r="X113" s="351"/>
      <c r="Y113" s="351"/>
      <c r="Z113" s="351"/>
      <c r="AA113" s="520"/>
      <c r="AB113" s="351"/>
      <c r="AC113" s="351"/>
      <c r="AD113" s="351"/>
      <c r="AE113" s="351"/>
      <c r="AG113" s="351"/>
      <c r="AH113" s="351"/>
      <c r="AI113" s="351"/>
      <c r="AJ113" s="351"/>
      <c r="AK113" s="351"/>
      <c r="AL113" s="351"/>
      <c r="AM113" s="351"/>
      <c r="AN113" s="351"/>
      <c r="AO113" s="351"/>
      <c r="AP113" s="351"/>
      <c r="AQ113" s="351"/>
      <c r="AR113" s="351"/>
      <c r="AS113" s="351"/>
      <c r="AT113" s="351"/>
      <c r="AV113" s="521"/>
      <c r="AW113" s="530"/>
      <c r="AX113" s="530"/>
      <c r="AY113" s="9"/>
      <c r="AZ113" s="48"/>
      <c r="BA113" s="351"/>
      <c r="BB113" s="351"/>
      <c r="BC113" s="351"/>
      <c r="BD113" s="351"/>
      <c r="BE113" s="351"/>
    </row>
    <row r="114" spans="8:57" x14ac:dyDescent="0.25">
      <c r="H114" s="527"/>
      <c r="I114" s="4"/>
      <c r="K114" s="4"/>
      <c r="L114" s="4"/>
      <c r="R114" s="351"/>
      <c r="S114" s="351"/>
      <c r="T114" s="351"/>
      <c r="U114" s="351"/>
      <c r="W114" s="351"/>
      <c r="X114" s="351"/>
      <c r="Y114" s="351"/>
      <c r="Z114" s="351"/>
      <c r="AA114" s="520"/>
      <c r="AB114" s="351"/>
      <c r="AC114" s="351"/>
      <c r="AD114" s="351"/>
      <c r="AE114" s="351"/>
      <c r="AG114" s="351"/>
      <c r="AH114" s="351"/>
      <c r="AI114" s="351"/>
      <c r="AJ114" s="351"/>
      <c r="AK114" s="351"/>
      <c r="AL114" s="351"/>
      <c r="AM114" s="351"/>
      <c r="AN114" s="351"/>
      <c r="AO114" s="351"/>
      <c r="AP114" s="351"/>
      <c r="AQ114" s="351"/>
      <c r="AR114" s="351"/>
      <c r="AS114" s="351"/>
      <c r="AT114" s="351"/>
      <c r="AV114" s="521"/>
      <c r="AW114" s="530"/>
      <c r="AX114" s="530"/>
      <c r="AY114" s="9"/>
      <c r="AZ114" s="48"/>
      <c r="BA114" s="351"/>
      <c r="BB114" s="351"/>
      <c r="BC114" s="351"/>
      <c r="BD114" s="351"/>
      <c r="BE114" s="351"/>
    </row>
    <row r="115" spans="8:57" x14ac:dyDescent="0.25">
      <c r="H115" s="527"/>
      <c r="I115" s="4"/>
      <c r="K115" s="4"/>
      <c r="L115" s="4"/>
      <c r="R115" s="351"/>
      <c r="S115" s="351"/>
      <c r="T115" s="351"/>
      <c r="U115" s="351"/>
      <c r="W115" s="351"/>
      <c r="X115" s="351"/>
      <c r="Y115" s="351"/>
      <c r="Z115" s="351"/>
      <c r="AA115" s="520"/>
      <c r="AB115" s="351"/>
      <c r="AC115" s="351"/>
      <c r="AD115" s="351"/>
      <c r="AE115" s="351"/>
      <c r="AG115" s="351"/>
      <c r="AH115" s="351"/>
      <c r="AI115" s="351"/>
      <c r="AJ115" s="351"/>
      <c r="AK115" s="351"/>
      <c r="AL115" s="351"/>
      <c r="AM115" s="351"/>
      <c r="AN115" s="351"/>
      <c r="AO115" s="351"/>
      <c r="AP115" s="351"/>
      <c r="AQ115" s="351"/>
      <c r="AR115" s="351"/>
      <c r="AS115" s="351"/>
      <c r="AT115" s="351"/>
      <c r="AV115" s="521"/>
      <c r="AW115" s="530"/>
      <c r="AX115" s="530"/>
      <c r="AY115" s="9"/>
      <c r="AZ115" s="48"/>
      <c r="BA115" s="351"/>
      <c r="BB115" s="351"/>
      <c r="BC115" s="351"/>
      <c r="BD115" s="351"/>
      <c r="BE115" s="351"/>
    </row>
    <row r="116" spans="8:57" x14ac:dyDescent="0.25">
      <c r="H116" s="527"/>
      <c r="I116" s="4"/>
      <c r="K116" s="4"/>
      <c r="L116" s="4"/>
      <c r="R116" s="351"/>
      <c r="S116" s="351"/>
      <c r="T116" s="351"/>
      <c r="U116" s="351"/>
      <c r="W116" s="351"/>
      <c r="X116" s="351"/>
      <c r="Y116" s="351"/>
      <c r="Z116" s="351"/>
      <c r="AA116" s="520"/>
      <c r="AB116" s="351"/>
      <c r="AC116" s="351"/>
      <c r="AD116" s="351"/>
      <c r="AE116" s="351"/>
      <c r="AG116" s="351"/>
      <c r="AH116" s="351"/>
      <c r="AI116" s="351"/>
      <c r="AJ116" s="351"/>
      <c r="AK116" s="351"/>
      <c r="AL116" s="351"/>
      <c r="AM116" s="351"/>
      <c r="AN116" s="351"/>
      <c r="AO116" s="351"/>
      <c r="AP116" s="351"/>
      <c r="AQ116" s="351"/>
      <c r="AR116" s="351"/>
      <c r="AS116" s="351"/>
      <c r="AT116" s="351"/>
      <c r="AV116" s="521"/>
      <c r="AW116" s="530"/>
      <c r="AX116" s="530"/>
      <c r="AY116" s="9"/>
      <c r="AZ116" s="48"/>
      <c r="BA116" s="351"/>
      <c r="BB116" s="351"/>
      <c r="BC116" s="351"/>
      <c r="BD116" s="351"/>
      <c r="BE116" s="351"/>
    </row>
    <row r="117" spans="8:57" x14ac:dyDescent="0.25">
      <c r="H117" s="527"/>
      <c r="I117" s="4"/>
      <c r="K117" s="4"/>
      <c r="L117" s="4"/>
      <c r="R117" s="351"/>
      <c r="S117" s="351"/>
      <c r="T117" s="351"/>
      <c r="U117" s="351"/>
      <c r="W117" s="351"/>
      <c r="X117" s="351"/>
      <c r="Y117" s="351"/>
      <c r="Z117" s="351"/>
      <c r="AA117" s="520"/>
      <c r="AB117" s="351"/>
      <c r="AC117" s="351"/>
      <c r="AD117" s="351"/>
      <c r="AE117" s="351"/>
      <c r="AG117" s="351"/>
      <c r="AH117" s="351"/>
      <c r="AI117" s="351"/>
      <c r="AJ117" s="351"/>
      <c r="AK117" s="351"/>
      <c r="AL117" s="351"/>
      <c r="AM117" s="351"/>
      <c r="AN117" s="351"/>
      <c r="AO117" s="351"/>
      <c r="AP117" s="351"/>
      <c r="AQ117" s="351"/>
      <c r="AR117" s="351"/>
      <c r="AS117" s="351"/>
      <c r="AT117" s="351"/>
      <c r="AV117" s="521"/>
      <c r="AW117" s="530"/>
      <c r="AX117" s="530"/>
      <c r="AY117" s="9"/>
      <c r="AZ117" s="48"/>
      <c r="BA117" s="351"/>
      <c r="BB117" s="351"/>
      <c r="BC117" s="351"/>
      <c r="BD117" s="351"/>
      <c r="BE117" s="351"/>
    </row>
    <row r="118" spans="8:57" x14ac:dyDescent="0.25">
      <c r="H118" s="527"/>
      <c r="I118" s="4"/>
      <c r="K118" s="4"/>
      <c r="L118" s="4"/>
      <c r="R118" s="351"/>
      <c r="S118" s="351"/>
      <c r="T118" s="351"/>
      <c r="U118" s="351"/>
      <c r="W118" s="351"/>
      <c r="X118" s="351"/>
      <c r="Y118" s="351"/>
      <c r="Z118" s="351"/>
      <c r="AA118" s="520"/>
      <c r="AB118" s="351"/>
      <c r="AC118" s="351"/>
      <c r="AD118" s="351"/>
      <c r="AE118" s="351"/>
      <c r="AG118" s="351"/>
      <c r="AH118" s="351"/>
      <c r="AI118" s="351"/>
      <c r="AJ118" s="351"/>
      <c r="AK118" s="351"/>
      <c r="AL118" s="351"/>
      <c r="AM118" s="351"/>
      <c r="AN118" s="351"/>
      <c r="AO118" s="351"/>
      <c r="AP118" s="351"/>
      <c r="AQ118" s="351"/>
      <c r="AR118" s="351"/>
      <c r="AS118" s="351"/>
      <c r="AT118" s="351"/>
      <c r="AV118" s="521"/>
      <c r="AW118" s="530"/>
      <c r="AX118" s="530"/>
      <c r="AY118" s="9"/>
      <c r="AZ118" s="48"/>
      <c r="BA118" s="351"/>
      <c r="BB118" s="351"/>
      <c r="BC118" s="351"/>
      <c r="BD118" s="351"/>
      <c r="BE118" s="351"/>
    </row>
    <row r="119" spans="8:57" x14ac:dyDescent="0.25">
      <c r="H119" s="527"/>
      <c r="I119" s="4"/>
      <c r="K119" s="4"/>
      <c r="L119" s="4"/>
      <c r="R119" s="351"/>
      <c r="S119" s="351"/>
      <c r="T119" s="351"/>
      <c r="U119" s="351"/>
      <c r="W119" s="351"/>
      <c r="X119" s="351"/>
      <c r="Y119" s="351"/>
      <c r="Z119" s="351"/>
      <c r="AA119" s="520"/>
      <c r="AB119" s="351"/>
      <c r="AC119" s="351"/>
      <c r="AD119" s="351"/>
      <c r="AE119" s="351"/>
      <c r="AG119" s="351"/>
      <c r="AH119" s="351"/>
      <c r="AI119" s="351"/>
      <c r="AJ119" s="351"/>
      <c r="AK119" s="351"/>
      <c r="AL119" s="351"/>
      <c r="AM119" s="351"/>
      <c r="AN119" s="351"/>
      <c r="AO119" s="351"/>
      <c r="AP119" s="351"/>
      <c r="AQ119" s="351"/>
      <c r="AR119" s="351"/>
      <c r="AS119" s="351"/>
      <c r="AT119" s="351"/>
      <c r="AV119" s="521"/>
      <c r="AW119" s="530"/>
      <c r="AX119" s="530"/>
      <c r="AY119" s="9"/>
      <c r="AZ119" s="48"/>
      <c r="BA119" s="351"/>
      <c r="BB119" s="351"/>
      <c r="BC119" s="351"/>
      <c r="BD119" s="351"/>
      <c r="BE119" s="351"/>
    </row>
    <row r="120" spans="8:57" x14ac:dyDescent="0.25">
      <c r="H120" s="527"/>
      <c r="I120" s="4"/>
      <c r="K120" s="4"/>
      <c r="L120" s="4"/>
      <c r="R120" s="351"/>
      <c r="S120" s="351"/>
      <c r="T120" s="351"/>
      <c r="U120" s="351"/>
      <c r="W120" s="351"/>
      <c r="X120" s="351"/>
      <c r="Y120" s="351"/>
      <c r="Z120" s="351"/>
      <c r="AA120" s="520"/>
      <c r="AB120" s="351"/>
      <c r="AC120" s="351"/>
      <c r="AD120" s="351"/>
      <c r="AE120" s="351"/>
      <c r="AG120" s="351"/>
      <c r="AH120" s="351"/>
      <c r="AI120" s="351"/>
      <c r="AJ120" s="351"/>
      <c r="AK120" s="351"/>
      <c r="AL120" s="351"/>
      <c r="AM120" s="351"/>
      <c r="AN120" s="351"/>
      <c r="AO120" s="351"/>
      <c r="AP120" s="351"/>
      <c r="AQ120" s="351"/>
      <c r="AR120" s="351"/>
      <c r="AS120" s="351"/>
      <c r="AT120" s="351"/>
      <c r="AV120" s="521"/>
      <c r="AW120" s="530"/>
      <c r="AX120" s="530"/>
      <c r="AY120" s="9"/>
      <c r="AZ120" s="48"/>
      <c r="BA120" s="351"/>
      <c r="BB120" s="351"/>
      <c r="BC120" s="351"/>
      <c r="BD120" s="351"/>
      <c r="BE120" s="351"/>
    </row>
    <row r="121" spans="8:57" x14ac:dyDescent="0.25">
      <c r="H121" s="527"/>
      <c r="I121" s="4"/>
      <c r="K121" s="4"/>
      <c r="L121" s="4"/>
      <c r="R121" s="351"/>
      <c r="S121" s="351"/>
      <c r="T121" s="351"/>
      <c r="U121" s="351"/>
      <c r="W121" s="351"/>
      <c r="X121" s="351"/>
      <c r="Y121" s="351"/>
      <c r="Z121" s="351"/>
      <c r="AA121" s="520"/>
      <c r="AB121" s="351"/>
      <c r="AC121" s="351"/>
      <c r="AD121" s="351"/>
      <c r="AE121" s="351"/>
      <c r="AG121" s="351"/>
      <c r="AH121" s="351"/>
      <c r="AI121" s="351"/>
      <c r="AJ121" s="351"/>
      <c r="AK121" s="351"/>
      <c r="AL121" s="351"/>
      <c r="AM121" s="351"/>
      <c r="AN121" s="351"/>
      <c r="AO121" s="351"/>
      <c r="AP121" s="351"/>
      <c r="AQ121" s="351"/>
      <c r="AR121" s="351"/>
      <c r="AS121" s="351"/>
      <c r="AT121" s="351"/>
      <c r="AV121" s="521"/>
      <c r="AW121" s="530"/>
      <c r="AX121" s="530"/>
      <c r="AY121" s="9"/>
      <c r="AZ121" s="48"/>
      <c r="BA121" s="351"/>
      <c r="BB121" s="351"/>
      <c r="BC121" s="351"/>
      <c r="BD121" s="351"/>
      <c r="BE121" s="351"/>
    </row>
    <row r="122" spans="8:57" x14ac:dyDescent="0.25">
      <c r="H122" s="527"/>
      <c r="I122" s="4"/>
      <c r="K122" s="4"/>
      <c r="L122" s="4"/>
      <c r="R122" s="351"/>
      <c r="S122" s="351"/>
      <c r="T122" s="351"/>
      <c r="U122" s="351"/>
      <c r="W122" s="351"/>
      <c r="X122" s="351"/>
      <c r="Y122" s="351"/>
      <c r="Z122" s="351"/>
      <c r="AA122" s="520"/>
      <c r="AB122" s="351"/>
      <c r="AC122" s="351"/>
      <c r="AD122" s="351"/>
      <c r="AE122" s="351"/>
      <c r="AG122" s="351"/>
      <c r="AH122" s="351"/>
      <c r="AI122" s="351"/>
      <c r="AJ122" s="351"/>
      <c r="AK122" s="351"/>
      <c r="AL122" s="351"/>
      <c r="AM122" s="351"/>
      <c r="AN122" s="351"/>
      <c r="AO122" s="351"/>
      <c r="AP122" s="351"/>
      <c r="AQ122" s="351"/>
      <c r="AR122" s="351"/>
      <c r="AS122" s="351"/>
      <c r="AT122" s="351"/>
      <c r="AV122" s="521"/>
      <c r="AW122" s="530"/>
      <c r="AX122" s="530"/>
      <c r="AY122" s="9"/>
      <c r="AZ122" s="48"/>
      <c r="BA122" s="351"/>
      <c r="BB122" s="351"/>
      <c r="BC122" s="351"/>
      <c r="BD122" s="351"/>
      <c r="BE122" s="351"/>
    </row>
    <row r="123" spans="8:57" x14ac:dyDescent="0.25">
      <c r="H123" s="527"/>
      <c r="I123" s="4"/>
      <c r="K123" s="4"/>
      <c r="L123" s="4"/>
      <c r="R123" s="351"/>
      <c r="S123" s="351"/>
      <c r="T123" s="351"/>
      <c r="U123" s="351"/>
      <c r="W123" s="351"/>
      <c r="X123" s="351"/>
      <c r="Y123" s="351"/>
      <c r="Z123" s="351"/>
      <c r="AA123" s="520"/>
      <c r="AB123" s="351"/>
      <c r="AC123" s="351"/>
      <c r="AD123" s="351"/>
      <c r="AE123" s="351"/>
      <c r="AG123" s="351"/>
      <c r="AH123" s="351"/>
      <c r="AI123" s="351"/>
      <c r="AJ123" s="351"/>
      <c r="AK123" s="351"/>
      <c r="AL123" s="351"/>
      <c r="AM123" s="351"/>
      <c r="AN123" s="351"/>
      <c r="AO123" s="351"/>
      <c r="AP123" s="351"/>
      <c r="AQ123" s="351"/>
      <c r="AR123" s="351"/>
      <c r="AS123" s="351"/>
      <c r="AT123" s="351"/>
      <c r="AV123" s="521"/>
      <c r="AW123" s="530"/>
      <c r="AX123" s="530"/>
      <c r="AY123" s="9"/>
      <c r="AZ123" s="48"/>
      <c r="BA123" s="351"/>
      <c r="BB123" s="351"/>
      <c r="BC123" s="351"/>
      <c r="BD123" s="351"/>
      <c r="BE123" s="351"/>
    </row>
    <row r="124" spans="8:57" x14ac:dyDescent="0.25">
      <c r="H124" s="527"/>
      <c r="I124" s="4"/>
      <c r="K124" s="4"/>
      <c r="L124" s="4"/>
      <c r="R124" s="351"/>
      <c r="S124" s="351"/>
      <c r="T124" s="351"/>
      <c r="U124" s="351"/>
      <c r="W124" s="351"/>
      <c r="X124" s="351"/>
      <c r="Y124" s="351"/>
      <c r="Z124" s="351"/>
      <c r="AA124" s="520"/>
      <c r="AB124" s="351"/>
      <c r="AC124" s="351"/>
      <c r="AD124" s="351"/>
      <c r="AE124" s="351"/>
      <c r="AG124" s="351"/>
      <c r="AH124" s="351"/>
      <c r="AI124" s="351"/>
      <c r="AJ124" s="351"/>
      <c r="AK124" s="351"/>
      <c r="AL124" s="351"/>
      <c r="AM124" s="351"/>
      <c r="AN124" s="351"/>
      <c r="AO124" s="351"/>
      <c r="AP124" s="351"/>
      <c r="AQ124" s="351"/>
      <c r="AR124" s="351"/>
      <c r="AS124" s="351"/>
      <c r="AT124" s="351"/>
      <c r="AV124" s="521"/>
      <c r="AW124" s="530"/>
      <c r="AX124" s="530"/>
      <c r="AY124" s="9"/>
      <c r="AZ124" s="48"/>
      <c r="BA124" s="351"/>
      <c r="BB124" s="351"/>
      <c r="BC124" s="351"/>
      <c r="BD124" s="351"/>
      <c r="BE124" s="351"/>
    </row>
    <row r="125" spans="8:57" x14ac:dyDescent="0.25">
      <c r="H125" s="527"/>
      <c r="I125" s="4"/>
      <c r="K125" s="4"/>
      <c r="L125" s="4"/>
      <c r="R125" s="351"/>
      <c r="S125" s="351"/>
      <c r="T125" s="351"/>
      <c r="U125" s="351"/>
      <c r="W125" s="351"/>
      <c r="X125" s="351"/>
      <c r="Y125" s="351"/>
      <c r="Z125" s="351"/>
      <c r="AA125" s="520"/>
      <c r="AB125" s="351"/>
      <c r="AC125" s="351"/>
      <c r="AD125" s="351"/>
      <c r="AE125" s="351"/>
      <c r="AG125" s="351"/>
      <c r="AH125" s="351"/>
      <c r="AI125" s="351"/>
      <c r="AJ125" s="351"/>
      <c r="AK125" s="351"/>
      <c r="AL125" s="351"/>
      <c r="AM125" s="351"/>
      <c r="AN125" s="351"/>
      <c r="AO125" s="351"/>
      <c r="AP125" s="351"/>
      <c r="AQ125" s="351"/>
      <c r="AR125" s="351"/>
      <c r="AS125" s="351"/>
      <c r="AT125" s="351"/>
      <c r="AV125" s="521"/>
      <c r="AW125" s="530"/>
      <c r="AX125" s="530"/>
      <c r="AY125" s="9"/>
      <c r="AZ125" s="48"/>
      <c r="BA125" s="351"/>
      <c r="BB125" s="351"/>
      <c r="BC125" s="351"/>
      <c r="BD125" s="351"/>
      <c r="BE125" s="351"/>
    </row>
    <row r="126" spans="8:57" x14ac:dyDescent="0.25">
      <c r="H126" s="527"/>
      <c r="I126" s="4"/>
      <c r="K126" s="4"/>
      <c r="L126" s="4"/>
      <c r="R126" s="351"/>
      <c r="S126" s="351"/>
      <c r="T126" s="351"/>
      <c r="U126" s="351"/>
      <c r="W126" s="351"/>
      <c r="X126" s="351"/>
      <c r="Y126" s="351"/>
      <c r="Z126" s="351"/>
      <c r="AA126" s="520"/>
      <c r="AB126" s="351"/>
      <c r="AC126" s="351"/>
      <c r="AD126" s="351"/>
      <c r="AE126" s="351"/>
      <c r="AG126" s="351"/>
      <c r="AH126" s="351"/>
      <c r="AI126" s="351"/>
      <c r="AJ126" s="351"/>
      <c r="AK126" s="351"/>
      <c r="AL126" s="351"/>
      <c r="AM126" s="351"/>
      <c r="AN126" s="351"/>
      <c r="AO126" s="351"/>
      <c r="AP126" s="351"/>
      <c r="AQ126" s="351"/>
      <c r="AR126" s="351"/>
      <c r="AS126" s="351"/>
      <c r="AT126" s="351"/>
      <c r="AV126" s="521"/>
      <c r="AW126" s="530"/>
      <c r="AX126" s="530"/>
      <c r="AY126" s="9"/>
      <c r="AZ126" s="48"/>
      <c r="BA126" s="351"/>
      <c r="BB126" s="351"/>
      <c r="BC126" s="351"/>
      <c r="BD126" s="351"/>
      <c r="BE126" s="351"/>
    </row>
    <row r="127" spans="8:57" x14ac:dyDescent="0.25">
      <c r="H127" s="527"/>
      <c r="I127" s="4"/>
      <c r="K127" s="4"/>
      <c r="L127" s="4"/>
      <c r="R127" s="351"/>
      <c r="S127" s="351"/>
      <c r="T127" s="351"/>
      <c r="U127" s="351"/>
      <c r="W127" s="351"/>
      <c r="X127" s="351"/>
      <c r="Y127" s="351"/>
      <c r="Z127" s="351"/>
      <c r="AA127" s="520"/>
      <c r="AB127" s="351"/>
      <c r="AC127" s="351"/>
      <c r="AD127" s="351"/>
      <c r="AE127" s="351"/>
      <c r="AG127" s="351"/>
      <c r="AH127" s="351"/>
      <c r="AI127" s="351"/>
      <c r="AJ127" s="351"/>
      <c r="AK127" s="351"/>
      <c r="AL127" s="351"/>
      <c r="AM127" s="351"/>
      <c r="AN127" s="351"/>
      <c r="AO127" s="351"/>
      <c r="AP127" s="351"/>
      <c r="AQ127" s="351"/>
      <c r="AR127" s="351"/>
      <c r="AS127" s="351"/>
      <c r="AT127" s="351"/>
      <c r="AV127" s="521"/>
      <c r="AW127" s="530"/>
      <c r="AX127" s="530"/>
      <c r="AY127" s="9"/>
      <c r="AZ127" s="48"/>
      <c r="BA127" s="351"/>
      <c r="BB127" s="351"/>
      <c r="BC127" s="351"/>
      <c r="BD127" s="351"/>
      <c r="BE127" s="351"/>
    </row>
    <row r="128" spans="8:57" x14ac:dyDescent="0.25">
      <c r="H128" s="527"/>
      <c r="I128" s="4"/>
      <c r="K128" s="4"/>
      <c r="L128" s="4"/>
      <c r="R128" s="351"/>
      <c r="S128" s="351"/>
      <c r="T128" s="351"/>
      <c r="U128" s="351"/>
      <c r="W128" s="351"/>
      <c r="X128" s="351"/>
      <c r="Y128" s="351"/>
      <c r="Z128" s="351"/>
      <c r="AA128" s="520"/>
      <c r="AB128" s="351"/>
      <c r="AC128" s="351"/>
      <c r="AD128" s="351"/>
      <c r="AE128" s="351"/>
      <c r="AG128" s="351"/>
      <c r="AH128" s="351"/>
      <c r="AI128" s="351"/>
      <c r="AJ128" s="351"/>
      <c r="AK128" s="351"/>
      <c r="AL128" s="351"/>
      <c r="AM128" s="351"/>
      <c r="AN128" s="351"/>
      <c r="AO128" s="351"/>
      <c r="AP128" s="351"/>
      <c r="AQ128" s="351"/>
      <c r="AR128" s="351"/>
      <c r="AS128" s="351"/>
      <c r="AT128" s="351"/>
      <c r="AV128" s="521"/>
      <c r="AW128" s="530"/>
      <c r="AX128" s="530"/>
      <c r="AY128" s="9"/>
      <c r="AZ128" s="48"/>
      <c r="BA128" s="351"/>
      <c r="BB128" s="351"/>
      <c r="BC128" s="351"/>
      <c r="BD128" s="351"/>
      <c r="BE128" s="351"/>
    </row>
    <row r="129" spans="8:57" x14ac:dyDescent="0.25">
      <c r="H129" s="527"/>
      <c r="I129" s="4"/>
      <c r="K129" s="4"/>
      <c r="L129" s="4"/>
      <c r="R129" s="351"/>
      <c r="S129" s="351"/>
      <c r="T129" s="351"/>
      <c r="U129" s="351"/>
      <c r="W129" s="351"/>
      <c r="X129" s="351"/>
      <c r="Y129" s="351"/>
      <c r="Z129" s="351"/>
      <c r="AA129" s="520"/>
      <c r="AB129" s="351"/>
      <c r="AC129" s="351"/>
      <c r="AD129" s="351"/>
      <c r="AE129" s="351"/>
      <c r="AG129" s="351"/>
      <c r="AH129" s="351"/>
      <c r="AI129" s="351"/>
      <c r="AJ129" s="351"/>
      <c r="AK129" s="351"/>
      <c r="AL129" s="351"/>
      <c r="AM129" s="351"/>
      <c r="AN129" s="351"/>
      <c r="AO129" s="351"/>
      <c r="AP129" s="351"/>
      <c r="AQ129" s="351"/>
      <c r="AR129" s="351"/>
      <c r="AS129" s="351"/>
      <c r="AT129" s="351"/>
      <c r="AV129" s="521"/>
      <c r="AW129" s="530"/>
      <c r="AX129" s="530"/>
      <c r="AY129" s="9"/>
      <c r="AZ129" s="48"/>
      <c r="BA129" s="351"/>
      <c r="BB129" s="351"/>
      <c r="BC129" s="351"/>
      <c r="BD129" s="351"/>
      <c r="BE129" s="351"/>
    </row>
    <row r="130" spans="8:57" x14ac:dyDescent="0.25">
      <c r="H130" s="527"/>
      <c r="I130" s="4"/>
      <c r="K130" s="4"/>
      <c r="L130" s="4"/>
      <c r="R130" s="351"/>
      <c r="S130" s="351"/>
      <c r="T130" s="351"/>
      <c r="U130" s="351"/>
      <c r="W130" s="351"/>
      <c r="X130" s="351"/>
      <c r="Y130" s="351"/>
      <c r="Z130" s="351"/>
      <c r="AA130" s="520"/>
      <c r="AB130" s="351"/>
      <c r="AC130" s="351"/>
      <c r="AD130" s="351"/>
      <c r="AE130" s="351"/>
      <c r="AG130" s="351"/>
      <c r="AH130" s="351"/>
      <c r="AI130" s="351"/>
      <c r="AJ130" s="351"/>
      <c r="AK130" s="351"/>
      <c r="AL130" s="351"/>
      <c r="AM130" s="351"/>
      <c r="AN130" s="351"/>
      <c r="AO130" s="351"/>
      <c r="AP130" s="351"/>
      <c r="AQ130" s="351"/>
      <c r="AR130" s="351"/>
      <c r="AS130" s="351"/>
      <c r="AT130" s="351"/>
      <c r="AV130" s="521"/>
      <c r="AW130" s="530"/>
      <c r="AX130" s="530"/>
      <c r="AY130" s="9"/>
      <c r="AZ130" s="48"/>
      <c r="BA130" s="351"/>
      <c r="BB130" s="351"/>
      <c r="BC130" s="351"/>
      <c r="BD130" s="351"/>
      <c r="BE130" s="351"/>
    </row>
    <row r="131" spans="8:57" x14ac:dyDescent="0.25">
      <c r="H131" s="527"/>
      <c r="I131" s="4"/>
      <c r="K131" s="4"/>
      <c r="L131" s="4"/>
      <c r="R131" s="351"/>
      <c r="S131" s="351"/>
      <c r="T131" s="351"/>
      <c r="U131" s="351"/>
      <c r="W131" s="351"/>
      <c r="X131" s="351"/>
      <c r="Y131" s="351"/>
      <c r="Z131" s="351"/>
      <c r="AA131" s="520"/>
      <c r="AB131" s="351"/>
      <c r="AC131" s="351"/>
      <c r="AD131" s="351"/>
      <c r="AE131" s="351"/>
      <c r="AG131" s="351"/>
      <c r="AH131" s="351"/>
      <c r="AI131" s="351"/>
      <c r="AJ131" s="351"/>
      <c r="AK131" s="351"/>
      <c r="AL131" s="351"/>
      <c r="AM131" s="351"/>
      <c r="AN131" s="351"/>
      <c r="AO131" s="351"/>
      <c r="AP131" s="351"/>
      <c r="AQ131" s="351"/>
      <c r="AR131" s="351"/>
      <c r="AS131" s="351"/>
      <c r="AT131" s="351"/>
      <c r="AV131" s="521"/>
      <c r="AW131" s="530"/>
      <c r="AX131" s="530"/>
      <c r="AY131" s="9"/>
      <c r="AZ131" s="48"/>
      <c r="BA131" s="351"/>
      <c r="BB131" s="351"/>
      <c r="BC131" s="351"/>
      <c r="BD131" s="351"/>
      <c r="BE131" s="351"/>
    </row>
    <row r="132" spans="8:57" x14ac:dyDescent="0.25">
      <c r="H132" s="527"/>
      <c r="I132" s="4"/>
      <c r="K132" s="4"/>
      <c r="L132" s="4"/>
      <c r="R132" s="351"/>
      <c r="S132" s="351"/>
      <c r="T132" s="351"/>
      <c r="U132" s="351"/>
      <c r="W132" s="351"/>
      <c r="X132" s="351"/>
      <c r="Y132" s="351"/>
      <c r="Z132" s="351"/>
      <c r="AA132" s="520"/>
      <c r="AB132" s="351"/>
      <c r="AC132" s="351"/>
      <c r="AD132" s="351"/>
      <c r="AE132" s="351"/>
      <c r="AG132" s="351"/>
      <c r="AH132" s="351"/>
      <c r="AI132" s="351"/>
      <c r="AJ132" s="351"/>
      <c r="AK132" s="351"/>
      <c r="AL132" s="351"/>
      <c r="AM132" s="351"/>
      <c r="AN132" s="351"/>
      <c r="AO132" s="351"/>
      <c r="AP132" s="351"/>
      <c r="AQ132" s="351"/>
      <c r="AR132" s="351"/>
      <c r="AS132" s="351"/>
      <c r="AT132" s="351"/>
      <c r="AV132" s="521"/>
      <c r="AW132" s="530"/>
      <c r="AX132" s="530"/>
      <c r="AY132" s="9"/>
      <c r="AZ132" s="48"/>
      <c r="BA132" s="351"/>
      <c r="BB132" s="351"/>
      <c r="BC132" s="351"/>
      <c r="BD132" s="351"/>
      <c r="BE132" s="351"/>
    </row>
    <row r="133" spans="8:57" x14ac:dyDescent="0.25">
      <c r="H133" s="527"/>
      <c r="I133" s="4"/>
      <c r="K133" s="4"/>
      <c r="L133" s="4"/>
      <c r="R133" s="351"/>
      <c r="S133" s="351"/>
      <c r="T133" s="351"/>
      <c r="U133" s="351"/>
      <c r="W133" s="351"/>
      <c r="X133" s="351"/>
      <c r="Y133" s="351"/>
      <c r="Z133" s="351"/>
      <c r="AA133" s="520"/>
      <c r="AB133" s="351"/>
      <c r="AC133" s="351"/>
      <c r="AD133" s="351"/>
      <c r="AE133" s="351"/>
      <c r="AG133" s="351"/>
      <c r="AH133" s="351"/>
      <c r="AI133" s="351"/>
      <c r="AJ133" s="351"/>
      <c r="AK133" s="351"/>
      <c r="AL133" s="351"/>
      <c r="AM133" s="351"/>
      <c r="AN133" s="351"/>
      <c r="AO133" s="351"/>
      <c r="AP133" s="351"/>
      <c r="AQ133" s="351"/>
      <c r="AR133" s="351"/>
      <c r="AS133" s="351"/>
      <c r="AT133" s="351"/>
      <c r="AV133" s="521"/>
      <c r="AW133" s="530"/>
      <c r="AX133" s="530"/>
      <c r="AY133" s="9"/>
      <c r="AZ133" s="48"/>
      <c r="BA133" s="351"/>
      <c r="BB133" s="351"/>
      <c r="BC133" s="351"/>
      <c r="BD133" s="351"/>
      <c r="BE133" s="351"/>
    </row>
    <row r="134" spans="8:57" x14ac:dyDescent="0.25">
      <c r="H134" s="527"/>
      <c r="I134" s="4"/>
      <c r="K134" s="4"/>
      <c r="L134" s="4"/>
      <c r="R134" s="351"/>
      <c r="S134" s="351"/>
      <c r="T134" s="351"/>
      <c r="U134" s="351"/>
      <c r="W134" s="351"/>
      <c r="X134" s="351"/>
      <c r="Y134" s="351"/>
      <c r="Z134" s="351"/>
      <c r="AA134" s="520"/>
      <c r="AB134" s="351"/>
      <c r="AC134" s="351"/>
      <c r="AD134" s="351"/>
      <c r="AE134" s="351"/>
      <c r="AG134" s="351"/>
      <c r="AH134" s="351"/>
      <c r="AI134" s="351"/>
      <c r="AJ134" s="351"/>
      <c r="AK134" s="351"/>
      <c r="AL134" s="351"/>
      <c r="AM134" s="351"/>
      <c r="AN134" s="351"/>
      <c r="AO134" s="351"/>
      <c r="AP134" s="351"/>
      <c r="AQ134" s="351"/>
      <c r="AR134" s="351"/>
      <c r="AS134" s="351"/>
      <c r="AT134" s="351"/>
      <c r="AV134" s="521"/>
      <c r="AW134" s="530"/>
      <c r="AX134" s="530"/>
      <c r="AY134" s="9"/>
      <c r="AZ134" s="48"/>
      <c r="BA134" s="351"/>
      <c r="BB134" s="351"/>
      <c r="BC134" s="351"/>
      <c r="BD134" s="351"/>
      <c r="BE134" s="351"/>
    </row>
    <row r="135" spans="8:57" x14ac:dyDescent="0.25">
      <c r="H135" s="527"/>
      <c r="I135" s="4"/>
      <c r="K135" s="4"/>
      <c r="L135" s="4"/>
      <c r="R135" s="351"/>
      <c r="S135" s="351"/>
      <c r="T135" s="351"/>
      <c r="U135" s="351"/>
      <c r="W135" s="351"/>
      <c r="X135" s="351"/>
      <c r="Y135" s="351"/>
      <c r="Z135" s="351"/>
      <c r="AA135" s="520"/>
      <c r="AB135" s="351"/>
      <c r="AC135" s="351"/>
      <c r="AD135" s="351"/>
      <c r="AE135" s="351"/>
      <c r="AG135" s="351"/>
      <c r="AH135" s="351"/>
      <c r="AI135" s="351"/>
      <c r="AJ135" s="351"/>
      <c r="AK135" s="351"/>
      <c r="AL135" s="351"/>
      <c r="AM135" s="351"/>
      <c r="AN135" s="351"/>
      <c r="AO135" s="351"/>
      <c r="AP135" s="351"/>
      <c r="AQ135" s="351"/>
      <c r="AR135" s="351"/>
      <c r="AS135" s="351"/>
      <c r="AT135" s="351"/>
      <c r="AV135" s="521"/>
      <c r="AW135" s="530"/>
      <c r="AX135" s="530"/>
      <c r="AY135" s="9"/>
      <c r="AZ135" s="48"/>
      <c r="BA135" s="351"/>
      <c r="BB135" s="351"/>
      <c r="BC135" s="351"/>
      <c r="BD135" s="351"/>
      <c r="BE135" s="351"/>
    </row>
    <row r="136" spans="8:57" x14ac:dyDescent="0.25">
      <c r="H136" s="527"/>
      <c r="I136" s="4"/>
      <c r="K136" s="4"/>
      <c r="L136" s="4"/>
      <c r="R136" s="351"/>
      <c r="S136" s="351"/>
      <c r="T136" s="351"/>
      <c r="U136" s="351"/>
      <c r="W136" s="351"/>
      <c r="X136" s="351"/>
      <c r="Y136" s="351"/>
      <c r="Z136" s="351"/>
      <c r="AA136" s="520"/>
      <c r="AB136" s="351"/>
      <c r="AC136" s="351"/>
      <c r="AD136" s="351"/>
      <c r="AE136" s="351"/>
      <c r="AG136" s="351"/>
      <c r="AH136" s="351"/>
      <c r="AI136" s="351"/>
      <c r="AJ136" s="351"/>
      <c r="AK136" s="351"/>
      <c r="AL136" s="351"/>
      <c r="AM136" s="351"/>
      <c r="AN136" s="351"/>
      <c r="AO136" s="351"/>
      <c r="AP136" s="351"/>
      <c r="AQ136" s="351"/>
      <c r="AR136" s="351"/>
      <c r="AS136" s="351"/>
      <c r="AT136" s="351"/>
      <c r="AV136" s="521"/>
      <c r="AW136" s="530"/>
      <c r="AX136" s="530"/>
      <c r="AY136" s="9"/>
      <c r="AZ136" s="48"/>
      <c r="BA136" s="351"/>
      <c r="BB136" s="351"/>
      <c r="BC136" s="351"/>
      <c r="BD136" s="351"/>
      <c r="BE136" s="351"/>
    </row>
    <row r="137" spans="8:57" x14ac:dyDescent="0.25">
      <c r="H137" s="527"/>
      <c r="I137" s="4"/>
      <c r="K137" s="4"/>
      <c r="L137" s="4"/>
      <c r="R137" s="351"/>
      <c r="S137" s="351"/>
      <c r="T137" s="351"/>
      <c r="U137" s="351"/>
      <c r="W137" s="351"/>
      <c r="X137" s="351"/>
      <c r="Y137" s="351"/>
      <c r="Z137" s="351"/>
      <c r="AA137" s="520"/>
      <c r="AB137" s="351"/>
      <c r="AC137" s="351"/>
      <c r="AD137" s="351"/>
      <c r="AE137" s="351"/>
      <c r="AG137" s="351"/>
      <c r="AH137" s="351"/>
      <c r="AI137" s="351"/>
      <c r="AJ137" s="351"/>
      <c r="AK137" s="351"/>
      <c r="AL137" s="351"/>
      <c r="AM137" s="351"/>
      <c r="AN137" s="351"/>
      <c r="AO137" s="351"/>
      <c r="AP137" s="351"/>
      <c r="AQ137" s="351"/>
      <c r="AR137" s="351"/>
      <c r="AS137" s="351"/>
      <c r="AT137" s="351"/>
      <c r="AV137" s="521"/>
      <c r="AW137" s="530"/>
      <c r="AX137" s="530"/>
      <c r="AY137" s="9"/>
      <c r="AZ137" s="48"/>
      <c r="BA137" s="351"/>
      <c r="BB137" s="351"/>
      <c r="BC137" s="351"/>
      <c r="BD137" s="351"/>
      <c r="BE137" s="351"/>
    </row>
    <row r="138" spans="8:57" x14ac:dyDescent="0.25">
      <c r="H138" s="527"/>
      <c r="I138" s="4"/>
      <c r="K138" s="4"/>
      <c r="L138" s="4"/>
      <c r="R138" s="351"/>
      <c r="S138" s="351"/>
      <c r="T138" s="351"/>
      <c r="U138" s="351"/>
      <c r="W138" s="351"/>
      <c r="X138" s="351"/>
      <c r="Y138" s="351"/>
      <c r="Z138" s="351"/>
      <c r="AA138" s="520"/>
      <c r="AB138" s="351"/>
      <c r="AC138" s="351"/>
      <c r="AD138" s="351"/>
      <c r="AE138" s="351"/>
      <c r="AG138" s="351"/>
      <c r="AH138" s="351"/>
      <c r="AI138" s="351"/>
      <c r="AJ138" s="351"/>
      <c r="AK138" s="351"/>
      <c r="AL138" s="351"/>
      <c r="AM138" s="351"/>
      <c r="AN138" s="351"/>
      <c r="AO138" s="351"/>
      <c r="AP138" s="351"/>
      <c r="AQ138" s="351"/>
      <c r="AR138" s="351"/>
      <c r="AS138" s="351"/>
      <c r="AT138" s="351"/>
      <c r="AV138" s="521"/>
      <c r="AW138" s="530"/>
      <c r="AX138" s="530"/>
      <c r="AY138" s="9"/>
      <c r="AZ138" s="48"/>
      <c r="BA138" s="351"/>
      <c r="BB138" s="351"/>
      <c r="BC138" s="351"/>
      <c r="BD138" s="351"/>
      <c r="BE138" s="351"/>
    </row>
    <row r="139" spans="8:57" x14ac:dyDescent="0.25">
      <c r="H139" s="527"/>
      <c r="I139" s="4"/>
      <c r="K139" s="4"/>
      <c r="L139" s="4"/>
      <c r="R139" s="351"/>
      <c r="S139" s="351"/>
      <c r="T139" s="351"/>
      <c r="U139" s="351"/>
      <c r="W139" s="351"/>
      <c r="X139" s="351"/>
      <c r="Y139" s="351"/>
      <c r="Z139" s="351"/>
      <c r="AA139" s="520"/>
      <c r="AB139" s="351"/>
      <c r="AC139" s="351"/>
      <c r="AD139" s="351"/>
      <c r="AE139" s="351"/>
      <c r="AG139" s="351"/>
      <c r="AH139" s="351"/>
      <c r="AI139" s="351"/>
      <c r="AJ139" s="351"/>
      <c r="AK139" s="351"/>
      <c r="AL139" s="351"/>
      <c r="AM139" s="351"/>
      <c r="AN139" s="351"/>
      <c r="AO139" s="351"/>
      <c r="AP139" s="351"/>
      <c r="AQ139" s="351"/>
      <c r="AR139" s="351"/>
      <c r="AS139" s="351"/>
      <c r="AT139" s="351"/>
      <c r="AV139" s="521"/>
      <c r="AW139" s="530"/>
      <c r="AX139" s="530"/>
      <c r="AY139" s="9"/>
      <c r="AZ139" s="48"/>
      <c r="BA139" s="351"/>
      <c r="BB139" s="351"/>
      <c r="BC139" s="351"/>
      <c r="BD139" s="351"/>
      <c r="BE139" s="351"/>
    </row>
    <row r="140" spans="8:57" x14ac:dyDescent="0.25">
      <c r="H140" s="527"/>
      <c r="I140" s="4"/>
      <c r="K140" s="4"/>
      <c r="L140" s="4"/>
      <c r="R140" s="351"/>
      <c r="S140" s="351"/>
      <c r="T140" s="351"/>
      <c r="U140" s="351"/>
      <c r="W140" s="351"/>
      <c r="X140" s="351"/>
      <c r="Y140" s="351"/>
      <c r="Z140" s="351"/>
      <c r="AA140" s="520"/>
      <c r="AB140" s="351"/>
      <c r="AC140" s="351"/>
      <c r="AD140" s="351"/>
      <c r="AE140" s="351"/>
      <c r="AG140" s="351"/>
      <c r="AH140" s="351"/>
      <c r="AI140" s="351"/>
      <c r="AJ140" s="351"/>
      <c r="AK140" s="351"/>
      <c r="AL140" s="351"/>
      <c r="AM140" s="351"/>
      <c r="AN140" s="351"/>
      <c r="AO140" s="351"/>
      <c r="AP140" s="351"/>
      <c r="AQ140" s="351"/>
      <c r="AR140" s="351"/>
      <c r="AS140" s="351"/>
      <c r="AT140" s="351"/>
      <c r="AV140" s="521"/>
      <c r="AW140" s="530"/>
      <c r="AX140" s="530"/>
      <c r="AY140" s="9"/>
      <c r="AZ140" s="48"/>
      <c r="BA140" s="351"/>
      <c r="BB140" s="351"/>
      <c r="BC140" s="351"/>
      <c r="BD140" s="351"/>
      <c r="BE140" s="351"/>
    </row>
    <row r="141" spans="8:57" x14ac:dyDescent="0.25">
      <c r="H141" s="527"/>
      <c r="I141" s="4"/>
      <c r="K141" s="4"/>
      <c r="L141" s="4"/>
      <c r="R141" s="351"/>
      <c r="S141" s="351"/>
      <c r="T141" s="351"/>
      <c r="U141" s="351"/>
      <c r="W141" s="351"/>
      <c r="X141" s="351"/>
      <c r="Y141" s="351"/>
      <c r="Z141" s="351"/>
      <c r="AA141" s="520"/>
      <c r="AB141" s="351"/>
      <c r="AC141" s="351"/>
      <c r="AD141" s="351"/>
      <c r="AE141" s="351"/>
      <c r="AG141" s="351"/>
      <c r="AH141" s="351"/>
      <c r="AI141" s="351"/>
      <c r="AJ141" s="351"/>
      <c r="AK141" s="351"/>
      <c r="AL141" s="351"/>
      <c r="AM141" s="351"/>
      <c r="AN141" s="351"/>
      <c r="AO141" s="351"/>
      <c r="AP141" s="351"/>
      <c r="AQ141" s="351"/>
      <c r="AR141" s="351"/>
      <c r="AS141" s="351"/>
      <c r="AT141" s="351"/>
      <c r="AV141" s="521"/>
      <c r="AW141" s="530"/>
      <c r="AX141" s="530"/>
      <c r="AY141" s="9"/>
      <c r="AZ141" s="48"/>
      <c r="BA141" s="351"/>
      <c r="BB141" s="351"/>
      <c r="BC141" s="351"/>
      <c r="BD141" s="351"/>
      <c r="BE141" s="351"/>
    </row>
    <row r="142" spans="8:57" x14ac:dyDescent="0.25">
      <c r="H142" s="527"/>
      <c r="I142" s="4"/>
      <c r="K142" s="4"/>
      <c r="L142" s="4"/>
      <c r="R142" s="351"/>
      <c r="S142" s="351"/>
      <c r="T142" s="351"/>
      <c r="U142" s="351"/>
      <c r="W142" s="351"/>
      <c r="X142" s="351"/>
      <c r="Y142" s="351"/>
      <c r="Z142" s="351"/>
      <c r="AA142" s="520"/>
      <c r="AB142" s="351"/>
      <c r="AC142" s="351"/>
      <c r="AD142" s="351"/>
      <c r="AE142" s="351"/>
      <c r="AG142" s="351"/>
      <c r="AH142" s="351"/>
      <c r="AI142" s="351"/>
      <c r="AJ142" s="351"/>
      <c r="AK142" s="351"/>
      <c r="AL142" s="351"/>
      <c r="AM142" s="351"/>
      <c r="AN142" s="351"/>
      <c r="AO142" s="351"/>
      <c r="AP142" s="351"/>
      <c r="AQ142" s="351"/>
      <c r="AR142" s="351"/>
      <c r="AS142" s="351"/>
      <c r="AT142" s="351"/>
      <c r="AV142" s="521"/>
      <c r="AW142" s="530"/>
      <c r="AX142" s="530"/>
      <c r="AY142" s="9"/>
      <c r="AZ142" s="48"/>
      <c r="BA142" s="351"/>
      <c r="BB142" s="351"/>
      <c r="BC142" s="351"/>
      <c r="BD142" s="351"/>
      <c r="BE142" s="351"/>
    </row>
    <row r="143" spans="8:57" x14ac:dyDescent="0.25">
      <c r="H143" s="527"/>
      <c r="I143" s="4"/>
      <c r="K143" s="4"/>
      <c r="L143" s="4"/>
      <c r="R143" s="351"/>
      <c r="S143" s="351"/>
      <c r="T143" s="351"/>
      <c r="U143" s="351"/>
      <c r="W143" s="351"/>
      <c r="X143" s="351"/>
      <c r="Y143" s="351"/>
      <c r="Z143" s="351"/>
      <c r="AA143" s="520"/>
      <c r="AB143" s="351"/>
      <c r="AC143" s="351"/>
      <c r="AD143" s="351"/>
      <c r="AE143" s="351"/>
      <c r="AG143" s="351"/>
      <c r="AH143" s="351"/>
      <c r="AI143" s="351"/>
      <c r="AJ143" s="351"/>
      <c r="AK143" s="351"/>
      <c r="AL143" s="351"/>
      <c r="AM143" s="351"/>
      <c r="AN143" s="351"/>
      <c r="AO143" s="351"/>
      <c r="AP143" s="351"/>
      <c r="AQ143" s="351"/>
      <c r="AR143" s="351"/>
      <c r="AS143" s="351"/>
      <c r="AT143" s="351"/>
      <c r="AV143" s="521"/>
      <c r="AW143" s="530"/>
      <c r="AX143" s="530"/>
      <c r="AY143" s="9"/>
      <c r="AZ143" s="48"/>
      <c r="BA143" s="351"/>
      <c r="BB143" s="351"/>
      <c r="BC143" s="351"/>
      <c r="BD143" s="351"/>
      <c r="BE143" s="351"/>
    </row>
    <row r="144" spans="8:57" x14ac:dyDescent="0.25">
      <c r="H144" s="527"/>
      <c r="I144" s="4"/>
      <c r="K144" s="4"/>
      <c r="L144" s="4"/>
      <c r="R144" s="351"/>
      <c r="S144" s="351"/>
      <c r="T144" s="351"/>
      <c r="U144" s="351"/>
      <c r="W144" s="351"/>
      <c r="X144" s="351"/>
      <c r="Y144" s="351"/>
      <c r="Z144" s="351"/>
      <c r="AA144" s="520"/>
      <c r="AB144" s="351"/>
      <c r="AC144" s="351"/>
      <c r="AD144" s="351"/>
      <c r="AE144" s="351"/>
      <c r="AG144" s="351"/>
      <c r="AH144" s="351"/>
      <c r="AI144" s="351"/>
      <c r="AJ144" s="351"/>
      <c r="AK144" s="351"/>
      <c r="AL144" s="351"/>
      <c r="AM144" s="351"/>
      <c r="AN144" s="351"/>
      <c r="AO144" s="351"/>
      <c r="AP144" s="351"/>
      <c r="AQ144" s="351"/>
      <c r="AR144" s="351"/>
      <c r="AS144" s="351"/>
      <c r="AT144" s="351"/>
      <c r="AV144" s="521"/>
      <c r="AW144" s="530"/>
      <c r="AX144" s="530"/>
      <c r="AY144" s="9"/>
      <c r="AZ144" s="48"/>
      <c r="BA144" s="351"/>
      <c r="BB144" s="351"/>
      <c r="BC144" s="351"/>
      <c r="BD144" s="351"/>
      <c r="BE144" s="351"/>
    </row>
    <row r="145" spans="8:57" x14ac:dyDescent="0.25">
      <c r="H145" s="527"/>
      <c r="I145" s="4"/>
      <c r="K145" s="4"/>
      <c r="L145" s="4"/>
      <c r="R145" s="351"/>
      <c r="S145" s="351"/>
      <c r="T145" s="351"/>
      <c r="U145" s="351"/>
      <c r="W145" s="351"/>
      <c r="X145" s="351"/>
      <c r="Y145" s="351"/>
      <c r="Z145" s="351"/>
      <c r="AA145" s="520"/>
      <c r="AB145" s="351"/>
      <c r="AC145" s="351"/>
      <c r="AD145" s="351"/>
      <c r="AE145" s="351"/>
      <c r="AG145" s="351"/>
      <c r="AH145" s="351"/>
      <c r="AI145" s="351"/>
      <c r="AJ145" s="351"/>
      <c r="AK145" s="351"/>
      <c r="AL145" s="351"/>
      <c r="AM145" s="351"/>
      <c r="AN145" s="351"/>
      <c r="AO145" s="351"/>
      <c r="AP145" s="351"/>
      <c r="AQ145" s="351"/>
      <c r="AR145" s="351"/>
      <c r="AS145" s="351"/>
      <c r="AT145" s="351"/>
      <c r="AV145" s="521"/>
      <c r="AW145" s="530"/>
      <c r="AX145" s="530"/>
      <c r="AY145" s="9"/>
      <c r="AZ145" s="48"/>
      <c r="BA145" s="351"/>
      <c r="BB145" s="351"/>
      <c r="BC145" s="351"/>
      <c r="BD145" s="351"/>
      <c r="BE145" s="351"/>
    </row>
    <row r="146" spans="8:57" x14ac:dyDescent="0.25">
      <c r="H146" s="527"/>
      <c r="I146" s="4"/>
      <c r="K146" s="4"/>
      <c r="L146" s="4"/>
      <c r="R146" s="351"/>
      <c r="S146" s="351"/>
      <c r="T146" s="351"/>
      <c r="U146" s="351"/>
      <c r="W146" s="351"/>
      <c r="X146" s="351"/>
      <c r="Y146" s="351"/>
      <c r="Z146" s="351"/>
      <c r="AA146" s="520"/>
      <c r="AB146" s="351"/>
      <c r="AC146" s="351"/>
      <c r="AD146" s="351"/>
      <c r="AE146" s="351"/>
      <c r="AG146" s="351"/>
      <c r="AH146" s="351"/>
      <c r="AI146" s="351"/>
      <c r="AJ146" s="351"/>
      <c r="AK146" s="351"/>
      <c r="AL146" s="351"/>
      <c r="AM146" s="351"/>
      <c r="AN146" s="351"/>
      <c r="AO146" s="351"/>
      <c r="AP146" s="351"/>
      <c r="AQ146" s="351"/>
      <c r="AR146" s="351"/>
      <c r="AS146" s="351"/>
      <c r="AT146" s="351"/>
      <c r="AV146" s="521"/>
      <c r="AW146" s="530"/>
      <c r="AX146" s="530"/>
      <c r="AY146" s="9"/>
      <c r="AZ146" s="48"/>
      <c r="BA146" s="351"/>
      <c r="BB146" s="351"/>
      <c r="BC146" s="351"/>
      <c r="BD146" s="351"/>
      <c r="BE146" s="351"/>
    </row>
    <row r="147" spans="8:57" x14ac:dyDescent="0.25">
      <c r="H147" s="527"/>
      <c r="I147" s="4"/>
      <c r="K147" s="4"/>
      <c r="L147" s="4"/>
      <c r="R147" s="351"/>
      <c r="S147" s="351"/>
      <c r="T147" s="351"/>
      <c r="U147" s="351"/>
      <c r="W147" s="351"/>
      <c r="X147" s="351"/>
      <c r="Y147" s="351"/>
      <c r="Z147" s="351"/>
      <c r="AA147" s="520"/>
      <c r="AB147" s="351"/>
      <c r="AC147" s="351"/>
      <c r="AD147" s="351"/>
      <c r="AE147" s="351"/>
      <c r="AG147" s="351"/>
      <c r="AH147" s="351"/>
      <c r="AI147" s="351"/>
      <c r="AJ147" s="351"/>
      <c r="AK147" s="351"/>
      <c r="AL147" s="351"/>
      <c r="AM147" s="351"/>
      <c r="AN147" s="351"/>
      <c r="AO147" s="351"/>
      <c r="AP147" s="351"/>
      <c r="AQ147" s="351"/>
      <c r="AR147" s="351"/>
      <c r="AS147" s="351"/>
      <c r="AT147" s="351"/>
      <c r="AV147" s="521"/>
      <c r="AW147" s="530"/>
      <c r="AX147" s="530"/>
      <c r="AY147" s="9"/>
      <c r="AZ147" s="48"/>
      <c r="BA147" s="351"/>
      <c r="BB147" s="351"/>
      <c r="BC147" s="351"/>
      <c r="BD147" s="351"/>
      <c r="BE147" s="351"/>
    </row>
    <row r="148" spans="8:57" x14ac:dyDescent="0.25">
      <c r="H148" s="527"/>
      <c r="I148" s="4"/>
      <c r="K148" s="4"/>
      <c r="L148" s="4"/>
      <c r="R148" s="351"/>
      <c r="S148" s="351"/>
      <c r="T148" s="351"/>
      <c r="U148" s="351"/>
      <c r="W148" s="351"/>
      <c r="X148" s="351"/>
      <c r="Y148" s="351"/>
      <c r="Z148" s="351"/>
      <c r="AA148" s="520"/>
      <c r="AB148" s="351"/>
      <c r="AC148" s="351"/>
      <c r="AD148" s="351"/>
      <c r="AE148" s="351"/>
      <c r="AG148" s="351"/>
      <c r="AH148" s="351"/>
      <c r="AI148" s="351"/>
      <c r="AJ148" s="351"/>
      <c r="AK148" s="351"/>
      <c r="AL148" s="351"/>
      <c r="AM148" s="351"/>
      <c r="AN148" s="351"/>
      <c r="AO148" s="351"/>
      <c r="AP148" s="351"/>
      <c r="AQ148" s="351"/>
      <c r="AR148" s="351"/>
      <c r="AS148" s="351"/>
      <c r="AT148" s="351"/>
      <c r="AV148" s="521"/>
      <c r="AW148" s="530"/>
      <c r="AX148" s="530"/>
      <c r="AY148" s="9"/>
      <c r="AZ148" s="48"/>
      <c r="BA148" s="351"/>
      <c r="BB148" s="351"/>
      <c r="BC148" s="351"/>
      <c r="BD148" s="351"/>
      <c r="BE148" s="351"/>
    </row>
    <row r="149" spans="8:57" x14ac:dyDescent="0.25">
      <c r="H149" s="527"/>
      <c r="I149" s="4"/>
      <c r="K149" s="4"/>
      <c r="L149" s="4"/>
      <c r="R149" s="351"/>
      <c r="S149" s="351"/>
      <c r="T149" s="351"/>
      <c r="U149" s="351"/>
      <c r="W149" s="351"/>
      <c r="X149" s="351"/>
      <c r="Y149" s="351"/>
      <c r="Z149" s="351"/>
      <c r="AA149" s="520"/>
      <c r="AB149" s="351"/>
      <c r="AC149" s="351"/>
      <c r="AD149" s="351"/>
      <c r="AE149" s="351"/>
      <c r="AG149" s="351"/>
      <c r="AH149" s="351"/>
      <c r="AI149" s="351"/>
      <c r="AJ149" s="351"/>
      <c r="AK149" s="351"/>
      <c r="AL149" s="351"/>
      <c r="AM149" s="351"/>
      <c r="AN149" s="351"/>
      <c r="AO149" s="351"/>
      <c r="AP149" s="351"/>
      <c r="AQ149" s="351"/>
      <c r="AR149" s="351"/>
      <c r="AS149" s="351"/>
      <c r="AT149" s="351"/>
      <c r="AV149" s="521"/>
      <c r="AW149" s="530"/>
      <c r="AX149" s="530"/>
      <c r="AY149" s="9"/>
      <c r="AZ149" s="48"/>
      <c r="BA149" s="351"/>
      <c r="BB149" s="351"/>
      <c r="BC149" s="351"/>
      <c r="BD149" s="351"/>
      <c r="BE149" s="351"/>
    </row>
    <row r="150" spans="8:57" x14ac:dyDescent="0.25">
      <c r="H150" s="527"/>
      <c r="I150" s="4"/>
      <c r="K150" s="4"/>
      <c r="L150" s="4"/>
      <c r="R150" s="351"/>
      <c r="S150" s="351"/>
      <c r="T150" s="351"/>
      <c r="U150" s="351"/>
      <c r="W150" s="351"/>
      <c r="X150" s="351"/>
      <c r="Y150" s="351"/>
      <c r="Z150" s="351"/>
      <c r="AA150" s="520"/>
      <c r="AB150" s="351"/>
      <c r="AC150" s="351"/>
      <c r="AD150" s="351"/>
      <c r="AE150" s="351"/>
      <c r="AG150" s="351"/>
      <c r="AH150" s="351"/>
      <c r="AI150" s="351"/>
      <c r="AJ150" s="351"/>
      <c r="AK150" s="351"/>
      <c r="AL150" s="351"/>
      <c r="AM150" s="351"/>
      <c r="AN150" s="351"/>
      <c r="AO150" s="351"/>
      <c r="AP150" s="351"/>
      <c r="AQ150" s="351"/>
      <c r="AR150" s="351"/>
      <c r="AS150" s="351"/>
      <c r="AT150" s="351"/>
      <c r="AV150" s="521"/>
      <c r="AW150" s="530"/>
      <c r="AX150" s="530"/>
      <c r="AY150" s="9"/>
      <c r="AZ150" s="48"/>
      <c r="BA150" s="351"/>
      <c r="BB150" s="351"/>
      <c r="BC150" s="351"/>
      <c r="BD150" s="351"/>
      <c r="BE150" s="351"/>
    </row>
    <row r="151" spans="8:57" x14ac:dyDescent="0.25">
      <c r="H151" s="527"/>
      <c r="I151" s="4"/>
      <c r="K151" s="4"/>
      <c r="L151" s="4"/>
      <c r="R151" s="351"/>
      <c r="S151" s="351"/>
      <c r="T151" s="351"/>
      <c r="U151" s="351"/>
      <c r="W151" s="351"/>
      <c r="X151" s="351"/>
      <c r="Y151" s="351"/>
      <c r="Z151" s="351"/>
      <c r="AA151" s="520"/>
      <c r="AB151" s="351"/>
      <c r="AC151" s="351"/>
      <c r="AD151" s="351"/>
      <c r="AE151" s="351"/>
      <c r="AG151" s="351"/>
      <c r="AH151" s="351"/>
      <c r="AI151" s="351"/>
      <c r="AJ151" s="351"/>
      <c r="AK151" s="351"/>
      <c r="AL151" s="351"/>
      <c r="AM151" s="351"/>
      <c r="AN151" s="351"/>
      <c r="AO151" s="351"/>
      <c r="AP151" s="351"/>
      <c r="AQ151" s="351"/>
      <c r="AR151" s="351"/>
      <c r="AS151" s="351"/>
      <c r="AT151" s="351"/>
      <c r="AV151" s="521"/>
      <c r="AW151" s="530"/>
      <c r="AX151" s="530"/>
      <c r="AY151" s="9"/>
      <c r="AZ151" s="48"/>
      <c r="BA151" s="351"/>
      <c r="BB151" s="351"/>
      <c r="BC151" s="351"/>
      <c r="BD151" s="351"/>
      <c r="BE151" s="351"/>
    </row>
    <row r="152" spans="8:57" x14ac:dyDescent="0.25">
      <c r="H152" s="527"/>
      <c r="I152" s="4"/>
      <c r="K152" s="4"/>
      <c r="L152" s="4"/>
      <c r="R152" s="351"/>
      <c r="S152" s="351"/>
      <c r="T152" s="351"/>
      <c r="U152" s="351"/>
      <c r="W152" s="351"/>
      <c r="X152" s="351"/>
      <c r="Y152" s="351"/>
      <c r="Z152" s="351"/>
      <c r="AA152" s="520"/>
      <c r="AB152" s="351"/>
      <c r="AC152" s="351"/>
      <c r="AD152" s="351"/>
      <c r="AE152" s="351"/>
      <c r="AG152" s="351"/>
      <c r="AH152" s="351"/>
      <c r="AI152" s="351"/>
      <c r="AJ152" s="351"/>
      <c r="AK152" s="351"/>
      <c r="AL152" s="351"/>
      <c r="AM152" s="351"/>
      <c r="AN152" s="351"/>
      <c r="AO152" s="351"/>
      <c r="AP152" s="351"/>
      <c r="AQ152" s="351"/>
      <c r="AR152" s="351"/>
      <c r="AS152" s="351"/>
      <c r="AT152" s="351"/>
      <c r="AV152" s="521"/>
      <c r="AW152" s="530"/>
      <c r="AX152" s="530"/>
      <c r="AY152" s="9"/>
      <c r="AZ152" s="48"/>
      <c r="BA152" s="351"/>
      <c r="BB152" s="351"/>
      <c r="BC152" s="351"/>
      <c r="BD152" s="351"/>
      <c r="BE152" s="351"/>
    </row>
    <row r="153" spans="8:57" x14ac:dyDescent="0.25">
      <c r="H153" s="527"/>
      <c r="I153" s="4"/>
      <c r="K153" s="4"/>
      <c r="L153" s="4"/>
      <c r="R153" s="351"/>
      <c r="S153" s="351"/>
      <c r="T153" s="351"/>
      <c r="U153" s="351"/>
      <c r="W153" s="351"/>
      <c r="X153" s="351"/>
      <c r="Y153" s="351"/>
      <c r="Z153" s="351"/>
      <c r="AA153" s="520"/>
      <c r="AB153" s="351"/>
      <c r="AC153" s="351"/>
      <c r="AD153" s="351"/>
      <c r="AE153" s="351"/>
      <c r="AG153" s="351"/>
      <c r="AH153" s="351"/>
      <c r="AI153" s="351"/>
      <c r="AJ153" s="351"/>
      <c r="AK153" s="351"/>
      <c r="AL153" s="351"/>
      <c r="AM153" s="351"/>
      <c r="AN153" s="351"/>
      <c r="AO153" s="351"/>
      <c r="AP153" s="351"/>
      <c r="AQ153" s="351"/>
      <c r="AR153" s="351"/>
      <c r="AS153" s="351"/>
      <c r="AT153" s="351"/>
      <c r="AV153" s="521"/>
      <c r="AW153" s="530"/>
      <c r="AX153" s="530"/>
      <c r="AY153" s="9"/>
      <c r="AZ153" s="48"/>
      <c r="BA153" s="351"/>
      <c r="BB153" s="351"/>
      <c r="BC153" s="351"/>
      <c r="BD153" s="351"/>
      <c r="BE153" s="351"/>
    </row>
    <row r="154" spans="8:57" x14ac:dyDescent="0.25">
      <c r="H154" s="527"/>
      <c r="I154" s="4"/>
      <c r="K154" s="4"/>
      <c r="L154" s="4"/>
      <c r="R154" s="351"/>
      <c r="S154" s="351"/>
      <c r="T154" s="351"/>
      <c r="U154" s="351"/>
      <c r="W154" s="351"/>
      <c r="X154" s="351"/>
      <c r="Y154" s="351"/>
      <c r="Z154" s="351"/>
      <c r="AA154" s="520"/>
      <c r="AB154" s="351"/>
      <c r="AC154" s="351"/>
      <c r="AD154" s="351"/>
      <c r="AE154" s="351"/>
      <c r="AG154" s="351"/>
      <c r="AH154" s="351"/>
      <c r="AI154" s="351"/>
      <c r="AJ154" s="351"/>
      <c r="AK154" s="351"/>
      <c r="AL154" s="351"/>
      <c r="AM154" s="351"/>
      <c r="AN154" s="351"/>
      <c r="AO154" s="351"/>
      <c r="AP154" s="351"/>
      <c r="AQ154" s="351"/>
      <c r="AR154" s="351"/>
      <c r="AS154" s="351"/>
      <c r="AT154" s="351"/>
      <c r="AV154" s="521"/>
      <c r="AW154" s="530"/>
      <c r="AX154" s="530"/>
      <c r="AY154" s="9"/>
      <c r="AZ154" s="48"/>
      <c r="BA154" s="351"/>
      <c r="BB154" s="351"/>
      <c r="BC154" s="351"/>
      <c r="BD154" s="351"/>
      <c r="BE154" s="351"/>
    </row>
    <row r="155" spans="8:57" x14ac:dyDescent="0.25">
      <c r="H155" s="527"/>
      <c r="I155" s="4"/>
      <c r="K155" s="4"/>
      <c r="L155" s="4"/>
      <c r="R155" s="351"/>
      <c r="S155" s="351"/>
      <c r="T155" s="351"/>
      <c r="U155" s="351"/>
      <c r="W155" s="351"/>
      <c r="X155" s="351"/>
      <c r="Y155" s="351"/>
      <c r="Z155" s="351"/>
      <c r="AA155" s="520"/>
      <c r="AB155" s="351"/>
      <c r="AC155" s="351"/>
      <c r="AD155" s="351"/>
      <c r="AE155" s="351"/>
      <c r="AG155" s="351"/>
      <c r="AH155" s="351"/>
      <c r="AI155" s="351"/>
      <c r="AJ155" s="351"/>
      <c r="AK155" s="351"/>
      <c r="AL155" s="351"/>
      <c r="AM155" s="351"/>
      <c r="AN155" s="351"/>
      <c r="AO155" s="351"/>
      <c r="AP155" s="351"/>
      <c r="AQ155" s="351"/>
      <c r="AR155" s="351"/>
      <c r="AS155" s="351"/>
      <c r="AT155" s="351"/>
      <c r="AV155" s="521"/>
      <c r="AW155" s="530"/>
      <c r="AX155" s="530"/>
      <c r="AY155" s="9"/>
      <c r="AZ155" s="48"/>
      <c r="BA155" s="351"/>
      <c r="BB155" s="351"/>
      <c r="BC155" s="351"/>
      <c r="BD155" s="351"/>
      <c r="BE155" s="351"/>
    </row>
    <row r="156" spans="8:57" x14ac:dyDescent="0.25">
      <c r="H156" s="527"/>
      <c r="I156" s="4"/>
      <c r="K156" s="4"/>
      <c r="L156" s="4"/>
      <c r="R156" s="351"/>
      <c r="S156" s="351"/>
      <c r="T156" s="351"/>
      <c r="U156" s="351"/>
      <c r="W156" s="351"/>
      <c r="X156" s="351"/>
      <c r="Y156" s="351"/>
      <c r="Z156" s="351"/>
      <c r="AA156" s="520"/>
      <c r="AB156" s="351"/>
      <c r="AC156" s="351"/>
      <c r="AD156" s="351"/>
      <c r="AE156" s="351"/>
      <c r="AG156" s="351"/>
      <c r="AH156" s="351"/>
      <c r="AI156" s="351"/>
      <c r="AJ156" s="351"/>
      <c r="AK156" s="351"/>
      <c r="AL156" s="351"/>
      <c r="AM156" s="351"/>
      <c r="AN156" s="351"/>
      <c r="AO156" s="351"/>
      <c r="AP156" s="351"/>
      <c r="AQ156" s="351"/>
      <c r="AR156" s="351"/>
      <c r="AS156" s="351"/>
      <c r="AT156" s="351"/>
      <c r="AV156" s="521"/>
      <c r="AW156" s="530"/>
      <c r="AX156" s="530"/>
      <c r="AY156" s="9"/>
      <c r="AZ156" s="48"/>
      <c r="BA156" s="351"/>
      <c r="BB156" s="351"/>
      <c r="BC156" s="351"/>
      <c r="BD156" s="351"/>
      <c r="BE156" s="351"/>
    </row>
    <row r="157" spans="8:57" x14ac:dyDescent="0.25">
      <c r="H157" s="527"/>
      <c r="I157" s="4"/>
      <c r="K157" s="4"/>
      <c r="L157" s="4"/>
      <c r="R157" s="351"/>
      <c r="S157" s="351"/>
      <c r="T157" s="351"/>
      <c r="U157" s="351"/>
      <c r="W157" s="351"/>
      <c r="X157" s="351"/>
      <c r="Y157" s="351"/>
      <c r="Z157" s="351"/>
      <c r="AA157" s="520"/>
      <c r="AB157" s="351"/>
      <c r="AC157" s="351"/>
      <c r="AD157" s="351"/>
      <c r="AE157" s="351"/>
      <c r="AG157" s="351"/>
      <c r="AH157" s="351"/>
      <c r="AI157" s="351"/>
      <c r="AJ157" s="351"/>
      <c r="AK157" s="351"/>
      <c r="AL157" s="351"/>
      <c r="AM157" s="351"/>
      <c r="AN157" s="351"/>
      <c r="AO157" s="351"/>
      <c r="AP157" s="351"/>
      <c r="AQ157" s="351"/>
      <c r="AR157" s="351"/>
      <c r="AS157" s="351"/>
      <c r="AT157" s="351"/>
      <c r="AV157" s="521"/>
      <c r="AW157" s="530"/>
      <c r="AX157" s="530"/>
      <c r="AY157" s="9"/>
      <c r="AZ157" s="48"/>
      <c r="BA157" s="351"/>
      <c r="BB157" s="351"/>
      <c r="BC157" s="351"/>
      <c r="BD157" s="351"/>
      <c r="BE157" s="351"/>
    </row>
    <row r="158" spans="8:57" x14ac:dyDescent="0.25">
      <c r="H158" s="527"/>
      <c r="I158" s="4"/>
      <c r="K158" s="4"/>
      <c r="L158" s="4"/>
      <c r="R158" s="351"/>
      <c r="S158" s="351"/>
      <c r="T158" s="351"/>
      <c r="U158" s="351"/>
      <c r="W158" s="351"/>
      <c r="X158" s="351"/>
      <c r="Y158" s="351"/>
      <c r="Z158" s="351"/>
      <c r="AA158" s="520"/>
      <c r="AB158" s="351"/>
      <c r="AC158" s="351"/>
      <c r="AD158" s="351"/>
      <c r="AE158" s="351"/>
      <c r="AG158" s="351"/>
      <c r="AH158" s="351"/>
      <c r="AI158" s="351"/>
      <c r="AJ158" s="351"/>
      <c r="AK158" s="351"/>
      <c r="AL158" s="351"/>
      <c r="AM158" s="351"/>
      <c r="AN158" s="351"/>
      <c r="AO158" s="351"/>
      <c r="AP158" s="351"/>
      <c r="AQ158" s="351"/>
      <c r="AR158" s="351"/>
      <c r="AS158" s="351"/>
      <c r="AT158" s="351"/>
      <c r="AV158" s="521"/>
      <c r="AW158" s="530"/>
      <c r="AX158" s="530"/>
      <c r="AY158" s="9"/>
      <c r="AZ158" s="48"/>
      <c r="BA158" s="351"/>
      <c r="BB158" s="351"/>
      <c r="BC158" s="351"/>
      <c r="BD158" s="351"/>
      <c r="BE158" s="351"/>
    </row>
    <row r="159" spans="8:57" x14ac:dyDescent="0.25">
      <c r="H159" s="527"/>
      <c r="I159" s="4"/>
      <c r="K159" s="4"/>
      <c r="L159" s="4"/>
      <c r="R159" s="351"/>
      <c r="S159" s="351"/>
      <c r="T159" s="351"/>
      <c r="U159" s="351"/>
      <c r="W159" s="351"/>
      <c r="X159" s="351"/>
      <c r="Y159" s="351"/>
      <c r="Z159" s="351"/>
      <c r="AA159" s="520"/>
      <c r="AB159" s="351"/>
      <c r="AC159" s="351"/>
      <c r="AD159" s="351"/>
      <c r="AE159" s="351"/>
      <c r="AG159" s="351"/>
      <c r="AH159" s="351"/>
      <c r="AI159" s="351"/>
      <c r="AJ159" s="351"/>
      <c r="AK159" s="351"/>
      <c r="AL159" s="351"/>
      <c r="AM159" s="351"/>
      <c r="AN159" s="351"/>
      <c r="AO159" s="351"/>
      <c r="AP159" s="351"/>
      <c r="AQ159" s="351"/>
      <c r="AR159" s="351"/>
      <c r="AS159" s="351"/>
      <c r="AT159" s="351"/>
      <c r="AV159" s="521"/>
      <c r="AW159" s="530"/>
      <c r="AX159" s="530"/>
      <c r="AY159" s="9"/>
      <c r="AZ159" s="48"/>
      <c r="BA159" s="351"/>
      <c r="BB159" s="351"/>
      <c r="BC159" s="351"/>
      <c r="BD159" s="351"/>
      <c r="BE159" s="351"/>
    </row>
    <row r="160" spans="8:57" x14ac:dyDescent="0.25">
      <c r="H160" s="527"/>
      <c r="I160" s="4"/>
      <c r="K160" s="4"/>
      <c r="L160" s="4"/>
      <c r="R160" s="351"/>
      <c r="S160" s="351"/>
      <c r="T160" s="351"/>
      <c r="U160" s="351"/>
      <c r="W160" s="351"/>
      <c r="X160" s="351"/>
      <c r="Y160" s="351"/>
      <c r="Z160" s="351"/>
      <c r="AA160" s="520"/>
      <c r="AB160" s="351"/>
      <c r="AC160" s="351"/>
      <c r="AD160" s="351"/>
      <c r="AE160" s="351"/>
      <c r="AG160" s="351"/>
      <c r="AH160" s="351"/>
      <c r="AI160" s="351"/>
      <c r="AJ160" s="351"/>
      <c r="AK160" s="351"/>
      <c r="AL160" s="351"/>
      <c r="AM160" s="351"/>
      <c r="AN160" s="351"/>
      <c r="AO160" s="351"/>
      <c r="AP160" s="351"/>
      <c r="AQ160" s="351"/>
      <c r="AR160" s="351"/>
      <c r="AS160" s="351"/>
      <c r="AT160" s="351"/>
      <c r="AV160" s="521"/>
      <c r="AW160" s="530"/>
      <c r="AX160" s="530"/>
      <c r="AY160" s="9"/>
      <c r="AZ160" s="48"/>
      <c r="BA160" s="351"/>
      <c r="BB160" s="351"/>
      <c r="BC160" s="351"/>
      <c r="BD160" s="351"/>
      <c r="BE160" s="351"/>
    </row>
    <row r="161" spans="8:57" x14ac:dyDescent="0.25">
      <c r="H161" s="527"/>
      <c r="I161" s="4"/>
      <c r="K161" s="4"/>
      <c r="L161" s="4"/>
      <c r="R161" s="351"/>
      <c r="S161" s="351"/>
      <c r="T161" s="351"/>
      <c r="U161" s="351"/>
      <c r="W161" s="351"/>
      <c r="X161" s="351"/>
      <c r="Y161" s="351"/>
      <c r="Z161" s="351"/>
      <c r="AA161" s="520"/>
      <c r="AB161" s="351"/>
      <c r="AC161" s="351"/>
      <c r="AD161" s="351"/>
      <c r="AE161" s="351"/>
      <c r="AG161" s="351"/>
      <c r="AH161" s="351"/>
      <c r="AI161" s="351"/>
      <c r="AJ161" s="351"/>
      <c r="AK161" s="351"/>
      <c r="AL161" s="351"/>
      <c r="AM161" s="351"/>
      <c r="AN161" s="351"/>
      <c r="AO161" s="351"/>
      <c r="AP161" s="351"/>
      <c r="AQ161" s="351"/>
      <c r="AR161" s="351"/>
      <c r="AS161" s="351"/>
      <c r="AT161" s="351"/>
      <c r="AV161" s="521"/>
      <c r="AW161" s="530"/>
      <c r="AX161" s="530"/>
      <c r="AY161" s="9"/>
      <c r="AZ161" s="48"/>
      <c r="BA161" s="351"/>
      <c r="BB161" s="351"/>
      <c r="BC161" s="351"/>
      <c r="BD161" s="351"/>
      <c r="BE161" s="351"/>
    </row>
    <row r="162" spans="8:57" x14ac:dyDescent="0.25">
      <c r="H162" s="527"/>
      <c r="I162" s="4"/>
      <c r="K162" s="4"/>
      <c r="L162" s="4"/>
      <c r="R162" s="351"/>
      <c r="S162" s="351"/>
      <c r="T162" s="351"/>
      <c r="U162" s="351"/>
      <c r="W162" s="351"/>
      <c r="X162" s="351"/>
      <c r="Y162" s="351"/>
      <c r="Z162" s="351"/>
      <c r="AA162" s="520"/>
      <c r="AB162" s="351"/>
      <c r="AC162" s="351"/>
      <c r="AD162" s="351"/>
      <c r="AE162" s="351"/>
      <c r="AG162" s="351"/>
      <c r="AH162" s="351"/>
      <c r="AI162" s="351"/>
      <c r="AJ162" s="351"/>
      <c r="AK162" s="351"/>
      <c r="AL162" s="351"/>
      <c r="AM162" s="351"/>
      <c r="AN162" s="351"/>
      <c r="AO162" s="351"/>
      <c r="AP162" s="351"/>
      <c r="AQ162" s="351"/>
      <c r="AR162" s="351"/>
      <c r="AS162" s="351"/>
      <c r="AT162" s="351"/>
      <c r="AV162" s="521"/>
      <c r="AW162" s="530"/>
      <c r="AX162" s="530"/>
      <c r="AY162" s="9"/>
      <c r="AZ162" s="48"/>
      <c r="BA162" s="351"/>
      <c r="BB162" s="351"/>
      <c r="BC162" s="351"/>
      <c r="BD162" s="351"/>
      <c r="BE162" s="351"/>
    </row>
    <row r="163" spans="8:57" x14ac:dyDescent="0.25">
      <c r="H163" s="527"/>
      <c r="I163" s="4"/>
      <c r="K163" s="4"/>
      <c r="L163" s="4"/>
      <c r="R163" s="351"/>
      <c r="S163" s="351"/>
      <c r="T163" s="351"/>
      <c r="U163" s="351"/>
      <c r="W163" s="351"/>
      <c r="X163" s="351"/>
      <c r="Y163" s="351"/>
      <c r="Z163" s="351"/>
      <c r="AA163" s="520"/>
      <c r="AB163" s="351"/>
      <c r="AC163" s="351"/>
      <c r="AD163" s="351"/>
      <c r="AE163" s="351"/>
      <c r="AG163" s="351"/>
      <c r="AH163" s="351"/>
      <c r="AI163" s="351"/>
      <c r="AJ163" s="351"/>
      <c r="AK163" s="351"/>
      <c r="AL163" s="351"/>
      <c r="AM163" s="351"/>
      <c r="AN163" s="351"/>
      <c r="AO163" s="351"/>
      <c r="AP163" s="351"/>
      <c r="AQ163" s="351"/>
      <c r="AR163" s="351"/>
      <c r="AS163" s="351"/>
      <c r="AT163" s="351"/>
      <c r="AV163" s="521"/>
      <c r="AW163" s="530"/>
      <c r="AX163" s="530"/>
      <c r="AY163" s="9"/>
      <c r="AZ163" s="48"/>
      <c r="BA163" s="351"/>
      <c r="BB163" s="351"/>
      <c r="BC163" s="351"/>
      <c r="BD163" s="351"/>
      <c r="BE163" s="351"/>
    </row>
    <row r="164" spans="8:57" x14ac:dyDescent="0.25">
      <c r="H164" s="527"/>
      <c r="I164" s="4"/>
      <c r="K164" s="4"/>
      <c r="L164" s="4"/>
      <c r="R164" s="351"/>
      <c r="S164" s="351"/>
      <c r="T164" s="351"/>
      <c r="U164" s="351"/>
      <c r="W164" s="351"/>
      <c r="X164" s="351"/>
      <c r="Y164" s="351"/>
      <c r="Z164" s="351"/>
      <c r="AA164" s="520"/>
      <c r="AB164" s="351"/>
      <c r="AC164" s="351"/>
      <c r="AD164" s="351"/>
      <c r="AE164" s="351"/>
      <c r="AG164" s="351"/>
      <c r="AH164" s="351"/>
      <c r="AI164" s="351"/>
      <c r="AJ164" s="351"/>
      <c r="AK164" s="351"/>
      <c r="AL164" s="351"/>
      <c r="AM164" s="351"/>
      <c r="AN164" s="351"/>
      <c r="AO164" s="351"/>
      <c r="AP164" s="351"/>
      <c r="AQ164" s="351"/>
      <c r="AR164" s="351"/>
      <c r="AS164" s="351"/>
      <c r="AT164" s="351"/>
      <c r="AV164" s="521"/>
      <c r="AW164" s="530"/>
      <c r="AX164" s="530"/>
      <c r="AY164" s="9"/>
      <c r="AZ164" s="48"/>
      <c r="BA164" s="351"/>
      <c r="BB164" s="351"/>
      <c r="BC164" s="351"/>
      <c r="BD164" s="351"/>
      <c r="BE164" s="351"/>
    </row>
    <row r="165" spans="8:57" x14ac:dyDescent="0.25">
      <c r="H165" s="527"/>
      <c r="I165" s="4"/>
      <c r="K165" s="4"/>
      <c r="L165" s="4"/>
      <c r="R165" s="351"/>
      <c r="S165" s="351"/>
      <c r="T165" s="351"/>
      <c r="U165" s="351"/>
      <c r="W165" s="351"/>
      <c r="X165" s="351"/>
      <c r="Y165" s="351"/>
      <c r="Z165" s="351"/>
      <c r="AA165" s="520"/>
      <c r="AB165" s="351"/>
      <c r="AC165" s="351"/>
      <c r="AD165" s="351"/>
      <c r="AE165" s="351"/>
      <c r="AG165" s="351"/>
      <c r="AH165" s="351"/>
      <c r="AI165" s="351"/>
      <c r="AJ165" s="351"/>
      <c r="AK165" s="351"/>
      <c r="AL165" s="351"/>
      <c r="AM165" s="351"/>
      <c r="AN165" s="351"/>
      <c r="AO165" s="351"/>
      <c r="AP165" s="351"/>
      <c r="AQ165" s="351"/>
      <c r="AR165" s="351"/>
      <c r="AS165" s="351"/>
      <c r="AT165" s="351"/>
      <c r="AV165" s="521"/>
      <c r="AW165" s="530"/>
      <c r="AX165" s="530"/>
      <c r="AY165" s="9"/>
      <c r="AZ165" s="48"/>
      <c r="BA165" s="351"/>
      <c r="BB165" s="351"/>
      <c r="BC165" s="351"/>
      <c r="BD165" s="351"/>
      <c r="BE165" s="351"/>
    </row>
    <row r="166" spans="8:57" x14ac:dyDescent="0.25">
      <c r="H166" s="527"/>
      <c r="I166" s="4"/>
      <c r="K166" s="4"/>
      <c r="L166" s="4"/>
      <c r="R166" s="351"/>
      <c r="S166" s="351"/>
      <c r="T166" s="351"/>
      <c r="U166" s="351"/>
      <c r="W166" s="351"/>
      <c r="X166" s="351"/>
      <c r="Y166" s="351"/>
      <c r="Z166" s="351"/>
      <c r="AA166" s="520"/>
      <c r="AB166" s="351"/>
      <c r="AC166" s="351"/>
      <c r="AD166" s="351"/>
      <c r="AE166" s="351"/>
      <c r="AG166" s="351"/>
      <c r="AH166" s="351"/>
      <c r="AI166" s="351"/>
      <c r="AJ166" s="351"/>
      <c r="AK166" s="351"/>
      <c r="AL166" s="351"/>
      <c r="AM166" s="351"/>
      <c r="AN166" s="351"/>
      <c r="AO166" s="351"/>
      <c r="AP166" s="351"/>
      <c r="AQ166" s="351"/>
      <c r="AR166" s="351"/>
      <c r="AS166" s="351"/>
      <c r="AT166" s="351"/>
      <c r="AV166" s="521"/>
      <c r="AW166" s="530"/>
      <c r="AX166" s="530"/>
      <c r="AY166" s="9"/>
      <c r="AZ166" s="48"/>
      <c r="BA166" s="351"/>
      <c r="BB166" s="351"/>
      <c r="BC166" s="351"/>
      <c r="BD166" s="351"/>
      <c r="BE166" s="351"/>
    </row>
    <row r="167" spans="8:57" x14ac:dyDescent="0.25">
      <c r="H167" s="527"/>
      <c r="I167" s="4"/>
      <c r="K167" s="4"/>
      <c r="L167" s="4"/>
      <c r="R167" s="351"/>
      <c r="S167" s="351"/>
      <c r="T167" s="351"/>
      <c r="U167" s="351"/>
      <c r="W167" s="351"/>
      <c r="X167" s="351"/>
      <c r="Y167" s="351"/>
      <c r="Z167" s="351"/>
      <c r="AA167" s="520"/>
      <c r="AB167" s="351"/>
      <c r="AC167" s="351"/>
      <c r="AD167" s="351"/>
      <c r="AE167" s="351"/>
      <c r="AG167" s="351"/>
      <c r="AH167" s="351"/>
      <c r="AI167" s="351"/>
      <c r="AJ167" s="351"/>
      <c r="AK167" s="351"/>
      <c r="AL167" s="351"/>
      <c r="AM167" s="351"/>
      <c r="AN167" s="351"/>
      <c r="AO167" s="351"/>
      <c r="AP167" s="351"/>
      <c r="AQ167" s="351"/>
      <c r="AR167" s="351"/>
      <c r="AS167" s="351"/>
      <c r="AT167" s="351"/>
      <c r="AV167" s="521"/>
      <c r="AW167" s="530"/>
      <c r="AX167" s="530"/>
      <c r="AY167" s="9"/>
      <c r="AZ167" s="48"/>
      <c r="BA167" s="351"/>
      <c r="BB167" s="351"/>
      <c r="BC167" s="351"/>
      <c r="BD167" s="351"/>
      <c r="BE167" s="351"/>
    </row>
    <row r="168" spans="8:57" x14ac:dyDescent="0.25">
      <c r="H168" s="527"/>
      <c r="I168" s="4"/>
      <c r="K168" s="4"/>
      <c r="L168" s="4"/>
      <c r="R168" s="351"/>
      <c r="S168" s="351"/>
      <c r="T168" s="351"/>
      <c r="U168" s="351"/>
      <c r="W168" s="351"/>
      <c r="X168" s="351"/>
      <c r="Y168" s="351"/>
      <c r="Z168" s="351"/>
      <c r="AA168" s="520"/>
      <c r="AB168" s="351"/>
      <c r="AC168" s="351"/>
      <c r="AD168" s="351"/>
      <c r="AE168" s="351"/>
      <c r="AG168" s="351"/>
      <c r="AH168" s="351"/>
      <c r="AI168" s="351"/>
      <c r="AJ168" s="351"/>
      <c r="AK168" s="351"/>
      <c r="AL168" s="351"/>
      <c r="AM168" s="351"/>
      <c r="AN168" s="351"/>
      <c r="AO168" s="351"/>
      <c r="AP168" s="351"/>
      <c r="AQ168" s="351"/>
      <c r="AR168" s="351"/>
      <c r="AS168" s="351"/>
      <c r="AT168" s="351"/>
      <c r="AV168" s="521"/>
      <c r="AW168" s="530"/>
      <c r="AX168" s="530"/>
      <c r="AY168" s="9"/>
      <c r="AZ168" s="48"/>
      <c r="BA168" s="351"/>
      <c r="BB168" s="351"/>
      <c r="BC168" s="351"/>
      <c r="BD168" s="351"/>
      <c r="BE168" s="351"/>
    </row>
    <row r="169" spans="8:57" x14ac:dyDescent="0.25">
      <c r="H169" s="527"/>
      <c r="I169" s="4"/>
      <c r="K169" s="4"/>
      <c r="L169" s="4"/>
      <c r="R169" s="351"/>
      <c r="S169" s="351"/>
      <c r="T169" s="351"/>
      <c r="U169" s="351"/>
      <c r="W169" s="351"/>
      <c r="X169" s="351"/>
      <c r="Y169" s="351"/>
      <c r="Z169" s="351"/>
      <c r="AA169" s="520"/>
      <c r="AB169" s="351"/>
      <c r="AC169" s="351"/>
      <c r="AD169" s="351"/>
      <c r="AE169" s="351"/>
      <c r="AG169" s="351"/>
      <c r="AH169" s="351"/>
      <c r="AI169" s="351"/>
      <c r="AJ169" s="351"/>
      <c r="AK169" s="351"/>
      <c r="AL169" s="351"/>
      <c r="AM169" s="351"/>
      <c r="AN169" s="351"/>
      <c r="AO169" s="351"/>
      <c r="AP169" s="351"/>
      <c r="AQ169" s="351"/>
      <c r="AR169" s="351"/>
      <c r="AS169" s="351"/>
      <c r="AT169" s="351"/>
      <c r="AV169" s="521"/>
      <c r="AW169" s="530"/>
      <c r="AX169" s="530"/>
      <c r="AY169" s="9"/>
      <c r="AZ169" s="48"/>
      <c r="BA169" s="351"/>
      <c r="BB169" s="351"/>
      <c r="BC169" s="351"/>
      <c r="BD169" s="351"/>
      <c r="BE169" s="351"/>
    </row>
    <row r="170" spans="8:57" x14ac:dyDescent="0.25">
      <c r="H170" s="527"/>
      <c r="I170" s="4"/>
      <c r="K170" s="4"/>
      <c r="L170" s="4"/>
      <c r="R170" s="351"/>
      <c r="S170" s="351"/>
      <c r="T170" s="351"/>
      <c r="U170" s="351"/>
      <c r="W170" s="351"/>
      <c r="X170" s="351"/>
      <c r="Y170" s="351"/>
      <c r="Z170" s="351"/>
      <c r="AA170" s="520"/>
      <c r="AB170" s="351"/>
      <c r="AC170" s="351"/>
      <c r="AD170" s="351"/>
      <c r="AE170" s="351"/>
      <c r="AG170" s="351"/>
      <c r="AH170" s="351"/>
      <c r="AI170" s="351"/>
      <c r="AJ170" s="351"/>
      <c r="AK170" s="351"/>
      <c r="AL170" s="351"/>
      <c r="AM170" s="351"/>
      <c r="AN170" s="351"/>
      <c r="AO170" s="351"/>
      <c r="AP170" s="351"/>
      <c r="AQ170" s="351"/>
      <c r="AR170" s="351"/>
      <c r="AS170" s="351"/>
      <c r="AT170" s="351"/>
      <c r="AV170" s="521"/>
      <c r="AW170" s="530"/>
      <c r="AX170" s="530"/>
      <c r="AY170" s="9"/>
      <c r="AZ170" s="48"/>
      <c r="BA170" s="351"/>
      <c r="BB170" s="351"/>
      <c r="BC170" s="351"/>
      <c r="BD170" s="351"/>
      <c r="BE170" s="351"/>
    </row>
    <row r="171" spans="8:57" x14ac:dyDescent="0.25">
      <c r="H171" s="527"/>
      <c r="I171" s="4"/>
      <c r="K171" s="4"/>
      <c r="L171" s="4"/>
      <c r="R171" s="351"/>
      <c r="S171" s="351"/>
      <c r="T171" s="351"/>
      <c r="U171" s="351"/>
      <c r="W171" s="351"/>
      <c r="X171" s="351"/>
      <c r="Y171" s="351"/>
      <c r="Z171" s="351"/>
      <c r="AA171" s="520"/>
      <c r="AB171" s="351"/>
      <c r="AC171" s="351"/>
      <c r="AD171" s="351"/>
      <c r="AE171" s="351"/>
      <c r="AG171" s="351"/>
      <c r="AH171" s="351"/>
      <c r="AI171" s="351"/>
      <c r="AJ171" s="351"/>
      <c r="AK171" s="351"/>
      <c r="AL171" s="351"/>
      <c r="AM171" s="351"/>
      <c r="AN171" s="351"/>
      <c r="AO171" s="351"/>
      <c r="AP171" s="351"/>
      <c r="AQ171" s="351"/>
      <c r="AR171" s="351"/>
      <c r="AS171" s="351"/>
      <c r="AT171" s="351"/>
      <c r="AV171" s="521"/>
      <c r="AW171" s="530"/>
      <c r="AX171" s="530"/>
      <c r="AY171" s="9"/>
      <c r="AZ171" s="48"/>
      <c r="BA171" s="351"/>
      <c r="BB171" s="351"/>
      <c r="BC171" s="351"/>
      <c r="BD171" s="351"/>
      <c r="BE171" s="351"/>
    </row>
    <row r="172" spans="8:57" x14ac:dyDescent="0.25">
      <c r="H172" s="527"/>
      <c r="I172" s="4"/>
      <c r="K172" s="4"/>
      <c r="L172" s="4"/>
      <c r="R172" s="351"/>
      <c r="S172" s="351"/>
      <c r="T172" s="351"/>
      <c r="U172" s="351"/>
      <c r="W172" s="351"/>
      <c r="X172" s="351"/>
      <c r="Y172" s="351"/>
      <c r="Z172" s="351"/>
      <c r="AA172" s="520"/>
      <c r="AB172" s="351"/>
      <c r="AC172" s="351"/>
      <c r="AD172" s="351"/>
      <c r="AE172" s="351"/>
      <c r="AG172" s="351"/>
      <c r="AH172" s="351"/>
      <c r="AI172" s="351"/>
      <c r="AJ172" s="351"/>
      <c r="AK172" s="351"/>
      <c r="AL172" s="351"/>
      <c r="AM172" s="351"/>
      <c r="AN172" s="351"/>
      <c r="AO172" s="351"/>
      <c r="AP172" s="351"/>
      <c r="AQ172" s="351"/>
      <c r="AR172" s="351"/>
      <c r="AS172" s="351"/>
      <c r="AT172" s="351"/>
      <c r="AV172" s="521"/>
      <c r="AW172" s="530"/>
      <c r="AX172" s="530"/>
      <c r="AY172" s="9"/>
      <c r="AZ172" s="48"/>
      <c r="BA172" s="351"/>
      <c r="BB172" s="351"/>
      <c r="BC172" s="351"/>
      <c r="BD172" s="351"/>
      <c r="BE172" s="351"/>
    </row>
    <row r="173" spans="8:57" x14ac:dyDescent="0.25">
      <c r="H173" s="527"/>
      <c r="I173" s="4"/>
      <c r="K173" s="4"/>
      <c r="L173" s="4"/>
      <c r="R173" s="351"/>
      <c r="S173" s="351"/>
      <c r="T173" s="351"/>
      <c r="U173" s="351"/>
      <c r="W173" s="351"/>
      <c r="X173" s="351"/>
      <c r="Y173" s="351"/>
      <c r="Z173" s="351"/>
      <c r="AA173" s="520"/>
      <c r="AB173" s="351"/>
      <c r="AC173" s="351"/>
      <c r="AD173" s="351"/>
      <c r="AE173" s="351"/>
      <c r="AG173" s="351"/>
      <c r="AH173" s="351"/>
      <c r="AI173" s="351"/>
      <c r="AJ173" s="351"/>
      <c r="AK173" s="351"/>
      <c r="AL173" s="351"/>
      <c r="AM173" s="351"/>
      <c r="AN173" s="351"/>
      <c r="AO173" s="351"/>
      <c r="AP173" s="351"/>
      <c r="AQ173" s="351"/>
      <c r="AR173" s="351"/>
      <c r="AS173" s="351"/>
      <c r="AT173" s="351"/>
      <c r="AV173" s="521"/>
      <c r="AW173" s="530"/>
      <c r="AX173" s="530"/>
      <c r="AY173" s="9"/>
      <c r="AZ173" s="48"/>
      <c r="BA173" s="351"/>
      <c r="BB173" s="351"/>
      <c r="BC173" s="351"/>
      <c r="BD173" s="351"/>
      <c r="BE173" s="351"/>
    </row>
    <row r="174" spans="8:57" x14ac:dyDescent="0.25">
      <c r="H174" s="527"/>
      <c r="I174" s="4"/>
      <c r="K174" s="4"/>
      <c r="L174" s="4"/>
      <c r="R174" s="351"/>
      <c r="S174" s="351"/>
      <c r="T174" s="351"/>
      <c r="U174" s="351"/>
      <c r="W174" s="351"/>
      <c r="X174" s="351"/>
      <c r="Y174" s="351"/>
      <c r="Z174" s="351"/>
      <c r="AA174" s="520"/>
      <c r="AB174" s="351"/>
      <c r="AC174" s="351"/>
      <c r="AD174" s="351"/>
      <c r="AE174" s="351"/>
      <c r="AG174" s="351"/>
      <c r="AH174" s="351"/>
      <c r="AI174" s="351"/>
      <c r="AJ174" s="351"/>
      <c r="AK174" s="351"/>
      <c r="AL174" s="351"/>
      <c r="AM174" s="351"/>
      <c r="AN174" s="351"/>
      <c r="AO174" s="351"/>
      <c r="AP174" s="351"/>
      <c r="AQ174" s="351"/>
      <c r="AR174" s="351"/>
      <c r="AS174" s="351"/>
      <c r="AT174" s="351"/>
      <c r="AV174" s="521"/>
      <c r="AW174" s="530"/>
      <c r="AX174" s="530"/>
      <c r="AY174" s="9"/>
      <c r="AZ174" s="48"/>
      <c r="BA174" s="351"/>
      <c r="BB174" s="351"/>
      <c r="BC174" s="351"/>
      <c r="BD174" s="351"/>
      <c r="BE174" s="351"/>
    </row>
    <row r="175" spans="8:57" x14ac:dyDescent="0.25">
      <c r="H175" s="527"/>
      <c r="I175" s="4"/>
      <c r="K175" s="4"/>
      <c r="L175" s="4"/>
      <c r="R175" s="351"/>
      <c r="S175" s="351"/>
      <c r="T175" s="351"/>
      <c r="U175" s="351"/>
      <c r="W175" s="351"/>
      <c r="X175" s="351"/>
      <c r="Y175" s="351"/>
      <c r="Z175" s="351"/>
      <c r="AA175" s="520"/>
      <c r="AB175" s="351"/>
      <c r="AC175" s="351"/>
      <c r="AD175" s="351"/>
      <c r="AE175" s="351"/>
      <c r="AG175" s="351"/>
      <c r="AH175" s="351"/>
      <c r="AI175" s="351"/>
      <c r="AJ175" s="351"/>
      <c r="AK175" s="351"/>
      <c r="AL175" s="351"/>
      <c r="AM175" s="351"/>
      <c r="AN175" s="351"/>
      <c r="AO175" s="351"/>
      <c r="AP175" s="351"/>
      <c r="AQ175" s="351"/>
      <c r="AR175" s="351"/>
      <c r="AS175" s="351"/>
      <c r="AT175" s="351"/>
      <c r="AV175" s="521"/>
      <c r="AW175" s="530"/>
      <c r="AX175" s="530"/>
      <c r="AY175" s="9"/>
      <c r="AZ175" s="48"/>
      <c r="BA175" s="351"/>
      <c r="BB175" s="351"/>
      <c r="BC175" s="351"/>
      <c r="BD175" s="351"/>
      <c r="BE175" s="351"/>
    </row>
    <row r="176" spans="8:57" x14ac:dyDescent="0.25">
      <c r="H176" s="527"/>
      <c r="I176" s="4"/>
      <c r="K176" s="4"/>
      <c r="L176" s="4"/>
      <c r="R176" s="351"/>
      <c r="S176" s="351"/>
      <c r="T176" s="351"/>
      <c r="U176" s="351"/>
      <c r="W176" s="351"/>
      <c r="X176" s="351"/>
      <c r="Y176" s="351"/>
      <c r="Z176" s="351"/>
      <c r="AA176" s="520"/>
      <c r="AB176" s="351"/>
      <c r="AC176" s="351"/>
      <c r="AD176" s="351"/>
      <c r="AE176" s="351"/>
      <c r="AG176" s="351"/>
      <c r="AH176" s="351"/>
      <c r="AI176" s="351"/>
      <c r="AJ176" s="351"/>
      <c r="AK176" s="351"/>
      <c r="AL176" s="351"/>
      <c r="AM176" s="351"/>
      <c r="AN176" s="351"/>
      <c r="AO176" s="351"/>
      <c r="AP176" s="351"/>
      <c r="AQ176" s="351"/>
      <c r="AR176" s="351"/>
      <c r="AS176" s="351"/>
      <c r="AT176" s="351"/>
      <c r="AV176" s="521"/>
      <c r="AW176" s="530"/>
      <c r="AX176" s="530"/>
      <c r="AY176" s="9"/>
      <c r="AZ176" s="48"/>
      <c r="BA176" s="351"/>
      <c r="BB176" s="351"/>
      <c r="BC176" s="351"/>
      <c r="BD176" s="351"/>
      <c r="BE176" s="351"/>
    </row>
    <row r="177" spans="8:57" x14ac:dyDescent="0.25">
      <c r="H177" s="527"/>
      <c r="I177" s="4"/>
      <c r="K177" s="4"/>
      <c r="L177" s="4"/>
      <c r="R177" s="351"/>
      <c r="S177" s="351"/>
      <c r="T177" s="351"/>
      <c r="U177" s="351"/>
      <c r="W177" s="351"/>
      <c r="X177" s="351"/>
      <c r="Y177" s="351"/>
      <c r="Z177" s="351"/>
      <c r="AA177" s="520"/>
      <c r="AB177" s="351"/>
      <c r="AC177" s="351"/>
      <c r="AD177" s="351"/>
      <c r="AE177" s="351"/>
      <c r="AG177" s="351"/>
      <c r="AH177" s="351"/>
      <c r="AI177" s="351"/>
      <c r="AJ177" s="351"/>
      <c r="AK177" s="351"/>
      <c r="AL177" s="351"/>
      <c r="AM177" s="351"/>
      <c r="AN177" s="351"/>
      <c r="AO177" s="351"/>
      <c r="AP177" s="351"/>
      <c r="AQ177" s="351"/>
      <c r="AR177" s="351"/>
      <c r="AS177" s="351"/>
      <c r="AT177" s="351"/>
      <c r="AV177" s="521"/>
      <c r="AW177" s="530"/>
      <c r="AX177" s="530"/>
      <c r="AY177" s="9"/>
      <c r="AZ177" s="48"/>
      <c r="BA177" s="351"/>
      <c r="BB177" s="351"/>
      <c r="BC177" s="351"/>
      <c r="BD177" s="351"/>
      <c r="BE177" s="351"/>
    </row>
    <row r="178" spans="8:57" x14ac:dyDescent="0.25">
      <c r="H178" s="527"/>
      <c r="I178" s="4"/>
      <c r="K178" s="4"/>
      <c r="L178" s="4"/>
      <c r="R178" s="351"/>
      <c r="S178" s="351"/>
      <c r="T178" s="351"/>
      <c r="U178" s="351"/>
      <c r="W178" s="351"/>
      <c r="X178" s="351"/>
      <c r="Y178" s="351"/>
      <c r="Z178" s="351"/>
      <c r="AA178" s="520"/>
      <c r="AB178" s="351"/>
      <c r="AC178" s="351"/>
      <c r="AD178" s="351"/>
      <c r="AE178" s="351"/>
      <c r="AG178" s="351"/>
      <c r="AH178" s="351"/>
      <c r="AI178" s="351"/>
      <c r="AJ178" s="351"/>
      <c r="AK178" s="351"/>
      <c r="AL178" s="351"/>
      <c r="AM178" s="351"/>
      <c r="AN178" s="351"/>
      <c r="AO178" s="351"/>
      <c r="AP178" s="351"/>
      <c r="AQ178" s="351"/>
      <c r="AR178" s="351"/>
      <c r="AS178" s="351"/>
      <c r="AT178" s="351"/>
      <c r="AV178" s="521"/>
      <c r="AW178" s="530"/>
      <c r="AX178" s="530"/>
      <c r="AY178" s="9"/>
      <c r="AZ178" s="48"/>
      <c r="BA178" s="351"/>
      <c r="BB178" s="351"/>
      <c r="BC178" s="351"/>
      <c r="BD178" s="351"/>
      <c r="BE178" s="351"/>
    </row>
    <row r="179" spans="8:57" x14ac:dyDescent="0.25">
      <c r="H179" s="527"/>
      <c r="I179" s="4"/>
      <c r="K179" s="4"/>
      <c r="L179" s="4"/>
      <c r="R179" s="351"/>
      <c r="S179" s="351"/>
      <c r="T179" s="351"/>
      <c r="U179" s="351"/>
      <c r="W179" s="351"/>
      <c r="X179" s="351"/>
      <c r="Y179" s="351"/>
      <c r="Z179" s="351"/>
      <c r="AA179" s="520"/>
      <c r="AB179" s="351"/>
      <c r="AC179" s="351"/>
      <c r="AD179" s="351"/>
      <c r="AE179" s="351"/>
      <c r="AG179" s="351"/>
      <c r="AH179" s="351"/>
      <c r="AI179" s="351"/>
      <c r="AJ179" s="351"/>
      <c r="AK179" s="351"/>
      <c r="AL179" s="351"/>
      <c r="AM179" s="351"/>
      <c r="AN179" s="351"/>
      <c r="AO179" s="351"/>
      <c r="AP179" s="351"/>
      <c r="AQ179" s="351"/>
      <c r="AR179" s="351"/>
      <c r="AS179" s="351"/>
      <c r="AT179" s="351"/>
      <c r="AV179" s="521"/>
      <c r="AW179" s="530"/>
      <c r="AX179" s="530"/>
      <c r="AY179" s="9"/>
      <c r="AZ179" s="48"/>
      <c r="BA179" s="351"/>
      <c r="BB179" s="351"/>
      <c r="BC179" s="351"/>
      <c r="BD179" s="351"/>
      <c r="BE179" s="351"/>
    </row>
    <row r="180" spans="8:57" x14ac:dyDescent="0.25">
      <c r="H180" s="527"/>
      <c r="I180" s="4"/>
      <c r="K180" s="4"/>
      <c r="L180" s="4"/>
      <c r="R180" s="351"/>
      <c r="S180" s="351"/>
      <c r="T180" s="351"/>
      <c r="U180" s="351"/>
      <c r="W180" s="351"/>
      <c r="X180" s="351"/>
      <c r="Y180" s="351"/>
      <c r="Z180" s="351"/>
      <c r="AA180" s="520"/>
      <c r="AB180" s="351"/>
      <c r="AC180" s="351"/>
      <c r="AD180" s="351"/>
      <c r="AE180" s="351"/>
      <c r="AG180" s="351"/>
      <c r="AH180" s="351"/>
      <c r="AI180" s="351"/>
      <c r="AJ180" s="351"/>
      <c r="AK180" s="351"/>
      <c r="AL180" s="351"/>
      <c r="AM180" s="351"/>
      <c r="AN180" s="351"/>
      <c r="AO180" s="351"/>
      <c r="AP180" s="351"/>
      <c r="AQ180" s="351"/>
      <c r="AR180" s="351"/>
      <c r="AS180" s="351"/>
      <c r="AT180" s="351"/>
      <c r="AV180" s="521"/>
      <c r="AW180" s="530"/>
      <c r="AX180" s="530"/>
      <c r="AY180" s="9"/>
      <c r="AZ180" s="48"/>
      <c r="BA180" s="351"/>
      <c r="BB180" s="351"/>
      <c r="BC180" s="351"/>
      <c r="BD180" s="351"/>
      <c r="BE180" s="351"/>
    </row>
    <row r="181" spans="8:57" x14ac:dyDescent="0.25">
      <c r="H181" s="527"/>
      <c r="I181" s="4"/>
      <c r="K181" s="4"/>
      <c r="L181" s="4"/>
      <c r="R181" s="351"/>
      <c r="S181" s="351"/>
      <c r="T181" s="351"/>
      <c r="U181" s="351"/>
      <c r="W181" s="351"/>
      <c r="X181" s="351"/>
      <c r="Y181" s="351"/>
      <c r="Z181" s="351"/>
      <c r="AA181" s="520"/>
      <c r="AB181" s="351"/>
      <c r="AC181" s="351"/>
      <c r="AD181" s="351"/>
      <c r="AE181" s="351"/>
      <c r="AG181" s="351"/>
      <c r="AH181" s="351"/>
      <c r="AI181" s="351"/>
      <c r="AJ181" s="351"/>
      <c r="AK181" s="351"/>
      <c r="AL181" s="351"/>
      <c r="AM181" s="351"/>
      <c r="AN181" s="351"/>
      <c r="AO181" s="351"/>
      <c r="AP181" s="351"/>
      <c r="AQ181" s="351"/>
      <c r="AR181" s="351"/>
      <c r="AS181" s="351"/>
      <c r="AT181" s="351"/>
      <c r="AV181" s="521"/>
      <c r="AW181" s="530"/>
      <c r="AX181" s="530"/>
      <c r="AY181" s="9"/>
      <c r="AZ181" s="48"/>
      <c r="BA181" s="351"/>
      <c r="BB181" s="351"/>
      <c r="BC181" s="351"/>
      <c r="BD181" s="351"/>
      <c r="BE181" s="351"/>
    </row>
    <row r="182" spans="8:57" x14ac:dyDescent="0.25">
      <c r="H182" s="527"/>
      <c r="I182" s="4"/>
      <c r="K182" s="4"/>
      <c r="L182" s="4"/>
      <c r="R182" s="351"/>
      <c r="S182" s="351"/>
      <c r="T182" s="351"/>
      <c r="U182" s="351"/>
      <c r="W182" s="351"/>
      <c r="X182" s="351"/>
      <c r="Y182" s="351"/>
      <c r="Z182" s="351"/>
      <c r="AA182" s="520"/>
      <c r="AB182" s="351"/>
      <c r="AC182" s="351"/>
      <c r="AD182" s="351"/>
      <c r="AE182" s="351"/>
      <c r="AG182" s="351"/>
      <c r="AH182" s="351"/>
      <c r="AI182" s="351"/>
      <c r="AJ182" s="351"/>
      <c r="AK182" s="351"/>
      <c r="AL182" s="351"/>
      <c r="AM182" s="351"/>
      <c r="AN182" s="351"/>
      <c r="AO182" s="351"/>
      <c r="AP182" s="351"/>
      <c r="AQ182" s="351"/>
      <c r="AR182" s="351"/>
      <c r="AS182" s="351"/>
      <c r="AT182" s="351"/>
      <c r="AV182" s="521"/>
      <c r="AW182" s="530"/>
      <c r="AX182" s="530"/>
      <c r="AY182" s="9"/>
      <c r="AZ182" s="48"/>
      <c r="BA182" s="351"/>
      <c r="BB182" s="351"/>
      <c r="BC182" s="351"/>
      <c r="BD182" s="351"/>
      <c r="BE182" s="351"/>
    </row>
    <row r="183" spans="8:57" x14ac:dyDescent="0.25">
      <c r="H183" s="527"/>
      <c r="I183" s="4"/>
      <c r="K183" s="4"/>
      <c r="L183" s="4"/>
      <c r="R183" s="351"/>
      <c r="S183" s="351"/>
      <c r="T183" s="351"/>
      <c r="U183" s="351"/>
      <c r="W183" s="351"/>
      <c r="X183" s="351"/>
      <c r="Y183" s="351"/>
      <c r="Z183" s="351"/>
      <c r="AA183" s="520"/>
      <c r="AB183" s="351"/>
      <c r="AC183" s="351"/>
      <c r="AD183" s="351"/>
      <c r="AE183" s="351"/>
      <c r="AG183" s="351"/>
      <c r="AH183" s="351"/>
      <c r="AI183" s="351"/>
      <c r="AJ183" s="351"/>
      <c r="AK183" s="351"/>
      <c r="AL183" s="351"/>
      <c r="AM183" s="351"/>
      <c r="AN183" s="351"/>
      <c r="AO183" s="351"/>
      <c r="AP183" s="351"/>
      <c r="AQ183" s="351"/>
      <c r="AR183" s="351"/>
      <c r="AS183" s="351"/>
      <c r="AT183" s="351"/>
      <c r="AV183" s="521"/>
      <c r="AW183" s="530"/>
      <c r="AX183" s="530"/>
      <c r="AY183" s="9"/>
      <c r="AZ183" s="48"/>
      <c r="BA183" s="351"/>
      <c r="BB183" s="351"/>
      <c r="BC183" s="351"/>
      <c r="BD183" s="351"/>
      <c r="BE183" s="351"/>
    </row>
    <row r="184" spans="8:57" x14ac:dyDescent="0.25">
      <c r="H184" s="527"/>
      <c r="I184" s="4"/>
      <c r="K184" s="4"/>
      <c r="L184" s="4"/>
      <c r="R184" s="351"/>
      <c r="S184" s="351"/>
      <c r="T184" s="351"/>
      <c r="U184" s="351"/>
      <c r="W184" s="351"/>
      <c r="X184" s="351"/>
      <c r="Y184" s="351"/>
      <c r="Z184" s="351"/>
      <c r="AA184" s="520"/>
      <c r="AB184" s="351"/>
      <c r="AC184" s="351"/>
      <c r="AD184" s="351"/>
      <c r="AE184" s="351"/>
      <c r="AG184" s="351"/>
      <c r="AH184" s="351"/>
      <c r="AI184" s="351"/>
      <c r="AJ184" s="351"/>
      <c r="AK184" s="351"/>
      <c r="AL184" s="351"/>
      <c r="AM184" s="351"/>
      <c r="AN184" s="351"/>
      <c r="AO184" s="351"/>
      <c r="AP184" s="351"/>
      <c r="AQ184" s="351"/>
      <c r="AR184" s="351"/>
      <c r="AS184" s="351"/>
      <c r="AT184" s="351"/>
      <c r="AV184" s="521"/>
      <c r="AW184" s="530"/>
      <c r="AX184" s="530"/>
      <c r="AY184" s="9"/>
      <c r="AZ184" s="48"/>
      <c r="BA184" s="351"/>
      <c r="BB184" s="351"/>
      <c r="BC184" s="351"/>
      <c r="BD184" s="351"/>
      <c r="BE184" s="351"/>
    </row>
    <row r="185" spans="8:57" x14ac:dyDescent="0.25">
      <c r="H185" s="527"/>
      <c r="I185" s="4"/>
      <c r="K185" s="4"/>
      <c r="L185" s="4"/>
      <c r="R185" s="351"/>
      <c r="S185" s="351"/>
      <c r="T185" s="351"/>
      <c r="U185" s="351"/>
      <c r="W185" s="351"/>
      <c r="X185" s="351"/>
      <c r="Y185" s="351"/>
      <c r="Z185" s="351"/>
      <c r="AA185" s="520"/>
      <c r="AB185" s="351"/>
      <c r="AC185" s="351"/>
      <c r="AD185" s="351"/>
      <c r="AE185" s="351"/>
      <c r="AG185" s="351"/>
      <c r="AH185" s="351"/>
      <c r="AI185" s="351"/>
      <c r="AJ185" s="351"/>
      <c r="AK185" s="351"/>
      <c r="AL185" s="351"/>
      <c r="AM185" s="351"/>
      <c r="AN185" s="351"/>
      <c r="AO185" s="351"/>
      <c r="AP185" s="351"/>
      <c r="AQ185" s="351"/>
      <c r="AR185" s="351"/>
      <c r="AS185" s="351"/>
      <c r="AT185" s="351"/>
      <c r="AV185" s="521"/>
      <c r="AW185" s="530"/>
      <c r="AX185" s="530"/>
      <c r="AY185" s="9"/>
      <c r="AZ185" s="48"/>
      <c r="BA185" s="351"/>
      <c r="BB185" s="351"/>
      <c r="BC185" s="351"/>
      <c r="BD185" s="351"/>
      <c r="BE185" s="351"/>
    </row>
    <row r="186" spans="8:57" x14ac:dyDescent="0.25">
      <c r="H186" s="527"/>
      <c r="I186" s="4"/>
      <c r="K186" s="4"/>
      <c r="L186" s="4"/>
      <c r="R186" s="351"/>
      <c r="S186" s="351"/>
      <c r="T186" s="351"/>
      <c r="U186" s="351"/>
      <c r="W186" s="351"/>
      <c r="X186" s="351"/>
      <c r="Y186" s="351"/>
      <c r="Z186" s="351"/>
      <c r="AA186" s="520"/>
      <c r="AB186" s="351"/>
      <c r="AC186" s="351"/>
      <c r="AD186" s="351"/>
      <c r="AE186" s="351"/>
      <c r="AG186" s="351"/>
      <c r="AH186" s="351"/>
      <c r="AI186" s="351"/>
      <c r="AJ186" s="351"/>
      <c r="AK186" s="351"/>
      <c r="AL186" s="351"/>
      <c r="AM186" s="351"/>
      <c r="AN186" s="351"/>
      <c r="AO186" s="351"/>
      <c r="AP186" s="351"/>
      <c r="AQ186" s="351"/>
      <c r="AR186" s="351"/>
      <c r="AS186" s="351"/>
      <c r="AT186" s="351"/>
      <c r="AV186" s="521"/>
      <c r="AW186" s="530"/>
      <c r="AX186" s="530"/>
      <c r="AY186" s="9"/>
      <c r="AZ186" s="48"/>
      <c r="BA186" s="351"/>
      <c r="BB186" s="351"/>
      <c r="BC186" s="351"/>
      <c r="BD186" s="351"/>
      <c r="BE186" s="351"/>
    </row>
    <row r="187" spans="8:57" x14ac:dyDescent="0.25">
      <c r="H187" s="527"/>
      <c r="I187" s="4"/>
      <c r="K187" s="4"/>
      <c r="L187" s="4"/>
      <c r="R187" s="351"/>
      <c r="S187" s="351"/>
      <c r="T187" s="351"/>
      <c r="U187" s="351"/>
      <c r="W187" s="351"/>
      <c r="X187" s="351"/>
      <c r="Y187" s="351"/>
      <c r="Z187" s="351"/>
      <c r="AA187" s="520"/>
      <c r="AB187" s="351"/>
      <c r="AC187" s="351"/>
      <c r="AD187" s="351"/>
      <c r="AE187" s="351"/>
      <c r="AG187" s="351"/>
      <c r="AH187" s="351"/>
      <c r="AI187" s="351"/>
      <c r="AJ187" s="351"/>
      <c r="AK187" s="351"/>
      <c r="AL187" s="351"/>
      <c r="AM187" s="351"/>
      <c r="AN187" s="351"/>
      <c r="AO187" s="351"/>
      <c r="AP187" s="351"/>
      <c r="AQ187" s="351"/>
      <c r="AR187" s="351"/>
      <c r="AS187" s="351"/>
      <c r="AT187" s="351"/>
      <c r="AV187" s="521"/>
      <c r="AW187" s="530"/>
      <c r="AX187" s="530"/>
      <c r="AY187" s="9"/>
      <c r="AZ187" s="48"/>
      <c r="BA187" s="351"/>
      <c r="BB187" s="351"/>
      <c r="BC187" s="351"/>
      <c r="BD187" s="351"/>
      <c r="BE187" s="351"/>
    </row>
    <row r="188" spans="8:57" x14ac:dyDescent="0.25">
      <c r="H188" s="527"/>
      <c r="I188" s="4"/>
      <c r="K188" s="4"/>
      <c r="L188" s="4"/>
      <c r="R188" s="351"/>
      <c r="S188" s="351"/>
      <c r="T188" s="351"/>
      <c r="U188" s="351"/>
      <c r="W188" s="351"/>
      <c r="X188" s="351"/>
      <c r="Y188" s="351"/>
      <c r="Z188" s="351"/>
      <c r="AA188" s="520"/>
      <c r="AB188" s="351"/>
      <c r="AC188" s="351"/>
      <c r="AD188" s="351"/>
      <c r="AE188" s="351"/>
      <c r="AG188" s="351"/>
      <c r="AH188" s="351"/>
      <c r="AI188" s="351"/>
      <c r="AJ188" s="351"/>
      <c r="AK188" s="351"/>
      <c r="AL188" s="351"/>
      <c r="AM188" s="351"/>
      <c r="AN188" s="351"/>
      <c r="AO188" s="351"/>
      <c r="AP188" s="351"/>
      <c r="AQ188" s="351"/>
      <c r="AR188" s="351"/>
      <c r="AS188" s="351"/>
      <c r="AT188" s="351"/>
      <c r="AV188" s="521"/>
      <c r="AW188" s="530"/>
      <c r="AX188" s="530"/>
      <c r="AY188" s="9"/>
      <c r="AZ188" s="48"/>
      <c r="BA188" s="351"/>
      <c r="BB188" s="351"/>
      <c r="BC188" s="351"/>
      <c r="BD188" s="351"/>
      <c r="BE188" s="351"/>
    </row>
    <row r="189" spans="8:57" x14ac:dyDescent="0.25">
      <c r="H189" s="527"/>
      <c r="I189" s="4"/>
      <c r="K189" s="4"/>
      <c r="L189" s="4"/>
      <c r="R189" s="351"/>
      <c r="S189" s="351"/>
      <c r="T189" s="351"/>
      <c r="U189" s="351"/>
      <c r="W189" s="351"/>
      <c r="X189" s="351"/>
      <c r="Y189" s="351"/>
      <c r="Z189" s="351"/>
      <c r="AA189" s="520"/>
      <c r="AB189" s="351"/>
      <c r="AC189" s="351"/>
      <c r="AD189" s="351"/>
      <c r="AE189" s="351"/>
      <c r="AG189" s="351"/>
      <c r="AH189" s="351"/>
      <c r="AI189" s="351"/>
      <c r="AJ189" s="351"/>
      <c r="AK189" s="351"/>
      <c r="AL189" s="351"/>
      <c r="AM189" s="351"/>
      <c r="AN189" s="351"/>
      <c r="AO189" s="351"/>
      <c r="AP189" s="351"/>
      <c r="AQ189" s="351"/>
      <c r="AR189" s="351"/>
      <c r="AS189" s="351"/>
      <c r="AT189" s="351"/>
      <c r="AV189" s="521"/>
      <c r="AW189" s="530"/>
      <c r="AX189" s="530"/>
      <c r="AY189" s="9"/>
      <c r="AZ189" s="48"/>
      <c r="BA189" s="351"/>
      <c r="BB189" s="351"/>
      <c r="BC189" s="351"/>
      <c r="BD189" s="351"/>
      <c r="BE189" s="351"/>
    </row>
    <row r="190" spans="8:57" x14ac:dyDescent="0.25">
      <c r="H190" s="527"/>
      <c r="I190" s="4"/>
      <c r="K190" s="4"/>
      <c r="L190" s="4"/>
      <c r="R190" s="351"/>
      <c r="S190" s="351"/>
      <c r="T190" s="351"/>
      <c r="U190" s="351"/>
      <c r="W190" s="351"/>
      <c r="X190" s="351"/>
      <c r="Y190" s="351"/>
      <c r="Z190" s="351"/>
      <c r="AA190" s="520"/>
      <c r="AB190" s="351"/>
      <c r="AC190" s="351"/>
      <c r="AD190" s="351"/>
      <c r="AE190" s="351"/>
      <c r="AG190" s="351"/>
      <c r="AH190" s="351"/>
      <c r="AI190" s="351"/>
      <c r="AJ190" s="351"/>
      <c r="AK190" s="351"/>
      <c r="AL190" s="351"/>
      <c r="AM190" s="351"/>
      <c r="AN190" s="351"/>
      <c r="AO190" s="351"/>
      <c r="AP190" s="351"/>
      <c r="AQ190" s="351"/>
      <c r="AR190" s="351"/>
      <c r="AS190" s="351"/>
      <c r="AT190" s="351"/>
      <c r="AV190" s="521"/>
      <c r="AW190" s="530"/>
      <c r="AX190" s="530"/>
      <c r="AY190" s="9"/>
      <c r="AZ190" s="48"/>
      <c r="BA190" s="351"/>
      <c r="BB190" s="351"/>
      <c r="BC190" s="351"/>
      <c r="BD190" s="351"/>
      <c r="BE190" s="351"/>
    </row>
    <row r="191" spans="8:57" x14ac:dyDescent="0.25">
      <c r="H191" s="527"/>
      <c r="I191" s="4"/>
      <c r="K191" s="4"/>
      <c r="L191" s="4"/>
      <c r="R191" s="351"/>
      <c r="S191" s="351"/>
      <c r="T191" s="351"/>
      <c r="U191" s="351"/>
      <c r="W191" s="351"/>
      <c r="X191" s="351"/>
      <c r="Y191" s="351"/>
      <c r="Z191" s="351"/>
      <c r="AA191" s="520"/>
      <c r="AB191" s="351"/>
      <c r="AC191" s="351"/>
      <c r="AD191" s="351"/>
      <c r="AE191" s="351"/>
      <c r="AG191" s="351"/>
      <c r="AH191" s="351"/>
      <c r="AI191" s="351"/>
      <c r="AJ191" s="351"/>
      <c r="AK191" s="351"/>
      <c r="AL191" s="351"/>
      <c r="AM191" s="351"/>
      <c r="AN191" s="351"/>
      <c r="AO191" s="351"/>
      <c r="AP191" s="351"/>
      <c r="AQ191" s="351"/>
      <c r="AR191" s="351"/>
      <c r="AS191" s="351"/>
      <c r="AT191" s="351"/>
      <c r="AV191" s="521"/>
      <c r="AW191" s="530"/>
      <c r="AX191" s="530"/>
      <c r="AY191" s="9"/>
      <c r="AZ191" s="48"/>
      <c r="BA191" s="351"/>
      <c r="BB191" s="351"/>
      <c r="BC191" s="351"/>
      <c r="BD191" s="351"/>
      <c r="BE191" s="351"/>
    </row>
    <row r="192" spans="8:57" x14ac:dyDescent="0.25">
      <c r="H192" s="527"/>
      <c r="I192" s="4"/>
      <c r="K192" s="4"/>
      <c r="L192" s="4"/>
      <c r="R192" s="351"/>
      <c r="S192" s="351"/>
      <c r="T192" s="351"/>
      <c r="U192" s="351"/>
      <c r="W192" s="351"/>
      <c r="X192" s="351"/>
      <c r="Y192" s="351"/>
      <c r="Z192" s="351"/>
      <c r="AA192" s="520"/>
      <c r="AB192" s="351"/>
      <c r="AC192" s="351"/>
      <c r="AD192" s="351"/>
      <c r="AE192" s="351"/>
      <c r="AG192" s="351"/>
      <c r="AH192" s="351"/>
      <c r="AI192" s="351"/>
      <c r="AJ192" s="351"/>
      <c r="AK192" s="351"/>
      <c r="AL192" s="351"/>
      <c r="AM192" s="351"/>
      <c r="AN192" s="351"/>
      <c r="AO192" s="351"/>
      <c r="AP192" s="351"/>
      <c r="AQ192" s="351"/>
      <c r="AR192" s="351"/>
      <c r="AS192" s="351"/>
      <c r="AT192" s="351"/>
      <c r="AV192" s="521"/>
      <c r="AW192" s="530"/>
      <c r="AX192" s="530"/>
      <c r="AY192" s="9"/>
      <c r="AZ192" s="48"/>
      <c r="BA192" s="351"/>
      <c r="BB192" s="351"/>
      <c r="BC192" s="351"/>
      <c r="BD192" s="351"/>
      <c r="BE192" s="351"/>
    </row>
    <row r="193" spans="8:57" x14ac:dyDescent="0.25">
      <c r="H193" s="527"/>
      <c r="I193" s="4"/>
      <c r="K193" s="4"/>
      <c r="L193" s="4"/>
      <c r="R193" s="351"/>
      <c r="S193" s="351"/>
      <c r="T193" s="351"/>
      <c r="U193" s="351"/>
      <c r="W193" s="351"/>
      <c r="X193" s="351"/>
      <c r="Y193" s="351"/>
      <c r="Z193" s="351"/>
      <c r="AA193" s="520"/>
      <c r="AB193" s="351"/>
      <c r="AC193" s="351"/>
      <c r="AD193" s="351"/>
      <c r="AE193" s="351"/>
      <c r="AG193" s="351"/>
      <c r="AH193" s="351"/>
      <c r="AI193" s="351"/>
      <c r="AJ193" s="351"/>
      <c r="AK193" s="351"/>
      <c r="AL193" s="351"/>
      <c r="AM193" s="351"/>
      <c r="AN193" s="351"/>
      <c r="AO193" s="351"/>
      <c r="AP193" s="351"/>
      <c r="AQ193" s="351"/>
      <c r="AR193" s="351"/>
      <c r="AS193" s="351"/>
      <c r="AT193" s="351"/>
      <c r="AV193" s="521"/>
      <c r="AW193" s="530"/>
      <c r="AX193" s="530"/>
      <c r="AY193" s="9"/>
      <c r="AZ193" s="48"/>
      <c r="BA193" s="351"/>
      <c r="BB193" s="351"/>
      <c r="BC193" s="351"/>
      <c r="BD193" s="351"/>
      <c r="BE193" s="351"/>
    </row>
    <row r="194" spans="8:57" x14ac:dyDescent="0.25">
      <c r="H194" s="527"/>
      <c r="I194" s="4"/>
      <c r="K194" s="4"/>
      <c r="L194" s="4"/>
      <c r="R194" s="351"/>
      <c r="S194" s="351"/>
      <c r="T194" s="351"/>
      <c r="U194" s="351"/>
      <c r="W194" s="351"/>
      <c r="X194" s="351"/>
      <c r="Y194" s="351"/>
      <c r="Z194" s="351"/>
      <c r="AA194" s="520"/>
      <c r="AB194" s="351"/>
      <c r="AC194" s="351"/>
      <c r="AD194" s="351"/>
      <c r="AE194" s="351"/>
      <c r="AG194" s="351"/>
      <c r="AH194" s="351"/>
      <c r="AI194" s="351"/>
      <c r="AJ194" s="351"/>
      <c r="AK194" s="351"/>
      <c r="AL194" s="351"/>
      <c r="AM194" s="351"/>
      <c r="AN194" s="351"/>
      <c r="AO194" s="351"/>
      <c r="AP194" s="351"/>
      <c r="AQ194" s="351"/>
      <c r="AR194" s="351"/>
      <c r="AS194" s="351"/>
      <c r="AT194" s="351"/>
      <c r="AV194" s="521"/>
      <c r="AW194" s="530"/>
      <c r="AX194" s="530"/>
      <c r="AY194" s="9"/>
      <c r="AZ194" s="48"/>
      <c r="BA194" s="351"/>
      <c r="BB194" s="351"/>
      <c r="BC194" s="351"/>
      <c r="BD194" s="351"/>
      <c r="BE194" s="351"/>
    </row>
    <row r="195" spans="8:57" x14ac:dyDescent="0.25">
      <c r="H195" s="527"/>
      <c r="I195" s="4"/>
      <c r="K195" s="4"/>
      <c r="L195" s="4"/>
      <c r="R195" s="351"/>
      <c r="S195" s="351"/>
      <c r="T195" s="351"/>
      <c r="U195" s="351"/>
      <c r="W195" s="351"/>
      <c r="X195" s="351"/>
      <c r="Y195" s="351"/>
      <c r="Z195" s="351"/>
      <c r="AA195" s="520"/>
      <c r="AB195" s="351"/>
      <c r="AC195" s="351"/>
      <c r="AD195" s="351"/>
      <c r="AE195" s="351"/>
      <c r="AG195" s="351"/>
      <c r="AH195" s="351"/>
      <c r="AI195" s="351"/>
      <c r="AJ195" s="351"/>
      <c r="AK195" s="351"/>
      <c r="AL195" s="351"/>
      <c r="AM195" s="351"/>
      <c r="AN195" s="351"/>
      <c r="AO195" s="351"/>
      <c r="AP195" s="351"/>
      <c r="AQ195" s="351"/>
      <c r="AR195" s="351"/>
      <c r="AS195" s="351"/>
      <c r="AT195" s="351"/>
      <c r="AV195" s="521"/>
      <c r="AW195" s="530"/>
      <c r="AX195" s="530"/>
      <c r="AY195" s="9"/>
      <c r="AZ195" s="48"/>
      <c r="BA195" s="351"/>
      <c r="BB195" s="351"/>
      <c r="BC195" s="351"/>
      <c r="BD195" s="351"/>
      <c r="BE195" s="351"/>
    </row>
    <row r="196" spans="8:57" x14ac:dyDescent="0.25">
      <c r="H196" s="527"/>
      <c r="I196" s="4"/>
      <c r="K196" s="4"/>
      <c r="L196" s="4"/>
      <c r="R196" s="351"/>
      <c r="S196" s="351"/>
      <c r="T196" s="351"/>
      <c r="U196" s="351"/>
      <c r="W196" s="351"/>
      <c r="X196" s="351"/>
      <c r="Y196" s="351"/>
      <c r="Z196" s="351"/>
      <c r="AA196" s="520"/>
      <c r="AB196" s="351"/>
      <c r="AC196" s="351"/>
      <c r="AD196" s="351"/>
      <c r="AE196" s="351"/>
      <c r="AG196" s="351"/>
      <c r="AH196" s="351"/>
      <c r="AI196" s="351"/>
      <c r="AJ196" s="351"/>
      <c r="AK196" s="351"/>
      <c r="AL196" s="351"/>
      <c r="AM196" s="351"/>
      <c r="AN196" s="351"/>
      <c r="AO196" s="351"/>
      <c r="AP196" s="351"/>
      <c r="AQ196" s="351"/>
      <c r="AR196" s="351"/>
      <c r="AS196" s="351"/>
      <c r="AT196" s="351"/>
      <c r="AV196" s="521"/>
      <c r="AW196" s="530"/>
      <c r="AX196" s="530"/>
      <c r="AY196" s="9"/>
      <c r="AZ196" s="48"/>
      <c r="BA196" s="351"/>
      <c r="BB196" s="351"/>
      <c r="BC196" s="351"/>
      <c r="BD196" s="351"/>
      <c r="BE196" s="351"/>
    </row>
    <row r="197" spans="8:57" x14ac:dyDescent="0.25">
      <c r="H197" s="527"/>
      <c r="I197" s="4"/>
      <c r="K197" s="4"/>
      <c r="L197" s="4"/>
      <c r="R197" s="351"/>
      <c r="S197" s="351"/>
      <c r="T197" s="351"/>
      <c r="U197" s="351"/>
      <c r="W197" s="351"/>
      <c r="X197" s="351"/>
      <c r="Y197" s="351"/>
      <c r="Z197" s="351"/>
      <c r="AA197" s="520"/>
      <c r="AB197" s="351"/>
      <c r="AC197" s="351"/>
      <c r="AD197" s="351"/>
      <c r="AE197" s="351"/>
      <c r="AG197" s="351"/>
      <c r="AH197" s="351"/>
      <c r="AI197" s="351"/>
      <c r="AJ197" s="351"/>
      <c r="AK197" s="351"/>
      <c r="AL197" s="351"/>
      <c r="AM197" s="351"/>
      <c r="AN197" s="351"/>
      <c r="AO197" s="351"/>
      <c r="AP197" s="351"/>
      <c r="AQ197" s="351"/>
      <c r="AR197" s="351"/>
      <c r="AS197" s="351"/>
      <c r="AT197" s="351"/>
      <c r="AV197" s="521"/>
      <c r="AW197" s="530"/>
      <c r="AX197" s="530"/>
      <c r="AY197" s="9"/>
      <c r="AZ197" s="48"/>
      <c r="BA197" s="351"/>
      <c r="BB197" s="351"/>
      <c r="BC197" s="351"/>
      <c r="BD197" s="351"/>
      <c r="BE197" s="351"/>
    </row>
    <row r="198" spans="8:57" x14ac:dyDescent="0.25">
      <c r="H198" s="527"/>
      <c r="I198" s="4"/>
      <c r="K198" s="4"/>
      <c r="L198" s="4"/>
      <c r="R198" s="351"/>
      <c r="S198" s="351"/>
      <c r="T198" s="351"/>
      <c r="U198" s="351"/>
      <c r="W198" s="351"/>
      <c r="X198" s="351"/>
      <c r="Y198" s="351"/>
      <c r="Z198" s="351"/>
      <c r="AA198" s="520"/>
      <c r="AB198" s="351"/>
      <c r="AC198" s="351"/>
      <c r="AD198" s="351"/>
      <c r="AE198" s="351"/>
      <c r="AG198" s="351"/>
      <c r="AH198" s="351"/>
      <c r="AI198" s="351"/>
      <c r="AJ198" s="351"/>
      <c r="AK198" s="351"/>
      <c r="AL198" s="351"/>
      <c r="AM198" s="351"/>
      <c r="AN198" s="351"/>
      <c r="AO198" s="351"/>
      <c r="AP198" s="351"/>
      <c r="AQ198" s="351"/>
      <c r="AR198" s="351"/>
      <c r="AS198" s="351"/>
      <c r="AT198" s="351"/>
      <c r="AV198" s="521"/>
      <c r="AW198" s="530"/>
      <c r="AX198" s="530"/>
      <c r="AY198" s="9"/>
      <c r="AZ198" s="48"/>
      <c r="BA198" s="351"/>
      <c r="BB198" s="351"/>
      <c r="BC198" s="351"/>
      <c r="BD198" s="351"/>
      <c r="BE198" s="351"/>
    </row>
    <row r="199" spans="8:57" x14ac:dyDescent="0.25">
      <c r="H199" s="527"/>
      <c r="I199" s="4"/>
      <c r="K199" s="4"/>
      <c r="L199" s="4"/>
      <c r="R199" s="351"/>
      <c r="S199" s="351"/>
      <c r="T199" s="351"/>
      <c r="U199" s="351"/>
      <c r="W199" s="351"/>
      <c r="X199" s="351"/>
      <c r="Y199" s="351"/>
      <c r="Z199" s="351"/>
      <c r="AA199" s="520"/>
      <c r="AB199" s="351"/>
      <c r="AC199" s="351"/>
      <c r="AD199" s="351"/>
      <c r="AE199" s="351"/>
      <c r="AG199" s="351"/>
      <c r="AH199" s="351"/>
      <c r="AI199" s="351"/>
      <c r="AJ199" s="351"/>
      <c r="AK199" s="351"/>
      <c r="AL199" s="351"/>
      <c r="AM199" s="351"/>
      <c r="AN199" s="351"/>
      <c r="AO199" s="351"/>
      <c r="AP199" s="351"/>
      <c r="AQ199" s="351"/>
      <c r="AR199" s="351"/>
      <c r="AS199" s="351"/>
      <c r="AT199" s="351"/>
      <c r="AV199" s="521"/>
      <c r="AW199" s="530"/>
      <c r="AX199" s="530"/>
      <c r="AY199" s="9"/>
      <c r="AZ199" s="48"/>
      <c r="BA199" s="351"/>
      <c r="BB199" s="351"/>
      <c r="BC199" s="351"/>
      <c r="BD199" s="351"/>
      <c r="BE199" s="351"/>
    </row>
    <row r="200" spans="8:57" x14ac:dyDescent="0.25">
      <c r="H200" s="527"/>
      <c r="I200" s="4"/>
      <c r="K200" s="4"/>
      <c r="L200" s="4"/>
      <c r="R200" s="351"/>
      <c r="S200" s="351"/>
      <c r="T200" s="351"/>
      <c r="U200" s="351"/>
      <c r="W200" s="351"/>
      <c r="X200" s="351"/>
      <c r="Y200" s="351"/>
      <c r="Z200" s="351"/>
      <c r="AA200" s="520"/>
      <c r="AB200" s="351"/>
      <c r="AC200" s="351"/>
      <c r="AD200" s="351"/>
      <c r="AE200" s="351"/>
      <c r="AG200" s="351"/>
      <c r="AH200" s="351"/>
      <c r="AI200" s="351"/>
      <c r="AJ200" s="351"/>
      <c r="AK200" s="351"/>
      <c r="AL200" s="351"/>
      <c r="AM200" s="351"/>
      <c r="AN200" s="351"/>
      <c r="AO200" s="351"/>
      <c r="AP200" s="351"/>
      <c r="AQ200" s="351"/>
      <c r="AR200" s="351"/>
      <c r="AS200" s="351"/>
      <c r="AT200" s="351"/>
      <c r="AV200" s="521"/>
      <c r="AW200" s="530"/>
      <c r="AX200" s="530"/>
      <c r="AY200" s="9"/>
      <c r="AZ200" s="48"/>
      <c r="BA200" s="351"/>
      <c r="BB200" s="351"/>
      <c r="BC200" s="351"/>
      <c r="BD200" s="351"/>
      <c r="BE200" s="351"/>
    </row>
    <row r="201" spans="8:57" x14ac:dyDescent="0.25">
      <c r="H201" s="527"/>
      <c r="I201" s="4"/>
      <c r="K201" s="4"/>
      <c r="L201" s="4"/>
      <c r="R201" s="351"/>
      <c r="S201" s="351"/>
      <c r="T201" s="351"/>
      <c r="U201" s="351"/>
      <c r="W201" s="351"/>
      <c r="X201" s="351"/>
      <c r="Y201" s="351"/>
      <c r="Z201" s="351"/>
      <c r="AA201" s="520"/>
      <c r="AB201" s="351"/>
      <c r="AC201" s="351"/>
      <c r="AD201" s="351"/>
      <c r="AE201" s="351"/>
      <c r="AG201" s="351"/>
      <c r="AH201" s="351"/>
      <c r="AI201" s="351"/>
      <c r="AJ201" s="351"/>
      <c r="AK201" s="351"/>
      <c r="AL201" s="351"/>
      <c r="AM201" s="351"/>
      <c r="AN201" s="351"/>
      <c r="AO201" s="351"/>
      <c r="AP201" s="351"/>
      <c r="AQ201" s="351"/>
      <c r="AR201" s="351"/>
      <c r="AS201" s="351"/>
      <c r="AT201" s="351"/>
      <c r="AV201" s="521"/>
      <c r="AW201" s="530"/>
      <c r="AX201" s="530"/>
      <c r="AY201" s="9"/>
      <c r="AZ201" s="48"/>
      <c r="BA201" s="351"/>
      <c r="BB201" s="351"/>
      <c r="BC201" s="351"/>
      <c r="BD201" s="351"/>
      <c r="BE201" s="351"/>
    </row>
    <row r="202" spans="8:57" x14ac:dyDescent="0.25">
      <c r="H202" s="527"/>
      <c r="I202" s="4"/>
      <c r="K202" s="4"/>
      <c r="L202" s="4"/>
      <c r="R202" s="351"/>
      <c r="S202" s="351"/>
      <c r="T202" s="351"/>
      <c r="U202" s="351"/>
      <c r="W202" s="351"/>
      <c r="X202" s="351"/>
      <c r="Y202" s="351"/>
      <c r="Z202" s="351"/>
      <c r="AA202" s="520"/>
      <c r="AB202" s="351"/>
      <c r="AC202" s="351"/>
      <c r="AD202" s="351"/>
      <c r="AE202" s="351"/>
      <c r="AG202" s="351"/>
      <c r="AH202" s="351"/>
      <c r="AI202" s="351"/>
      <c r="AJ202" s="351"/>
      <c r="AK202" s="351"/>
      <c r="AL202" s="351"/>
      <c r="AM202" s="351"/>
      <c r="AN202" s="351"/>
      <c r="AO202" s="351"/>
      <c r="AP202" s="351"/>
      <c r="AQ202" s="351"/>
      <c r="AR202" s="351"/>
      <c r="AS202" s="351"/>
      <c r="AT202" s="351"/>
      <c r="AV202" s="521"/>
      <c r="AW202" s="530"/>
      <c r="AX202" s="530"/>
      <c r="AY202" s="9"/>
      <c r="AZ202" s="48"/>
      <c r="BA202" s="351"/>
      <c r="BB202" s="351"/>
      <c r="BC202" s="351"/>
      <c r="BD202" s="351"/>
      <c r="BE202" s="351"/>
    </row>
    <row r="203" spans="8:57" x14ac:dyDescent="0.25">
      <c r="H203" s="527"/>
      <c r="I203" s="4"/>
      <c r="K203" s="4"/>
      <c r="L203" s="4"/>
      <c r="R203" s="351"/>
      <c r="S203" s="351"/>
      <c r="T203" s="351"/>
      <c r="U203" s="351"/>
      <c r="W203" s="351"/>
      <c r="X203" s="351"/>
      <c r="Y203" s="351"/>
      <c r="Z203" s="351"/>
      <c r="AA203" s="520"/>
      <c r="AB203" s="351"/>
      <c r="AC203" s="351"/>
      <c r="AD203" s="351"/>
      <c r="AE203" s="351"/>
      <c r="AG203" s="351"/>
      <c r="AH203" s="351"/>
      <c r="AI203" s="351"/>
      <c r="AJ203" s="351"/>
      <c r="AK203" s="351"/>
      <c r="AL203" s="351"/>
      <c r="AM203" s="351"/>
      <c r="AN203" s="351"/>
      <c r="AO203" s="351"/>
      <c r="AP203" s="351"/>
      <c r="AQ203" s="351"/>
      <c r="AR203" s="351"/>
      <c r="AS203" s="351"/>
      <c r="AT203" s="351"/>
      <c r="AV203" s="521"/>
      <c r="AW203" s="530"/>
      <c r="AX203" s="530"/>
      <c r="AY203" s="9"/>
      <c r="AZ203" s="48"/>
      <c r="BA203" s="351"/>
      <c r="BB203" s="351"/>
      <c r="BC203" s="351"/>
      <c r="BD203" s="351"/>
      <c r="BE203" s="351"/>
    </row>
    <row r="204" spans="8:57" x14ac:dyDescent="0.25">
      <c r="H204" s="527"/>
      <c r="I204" s="4"/>
      <c r="K204" s="4"/>
      <c r="L204" s="4"/>
      <c r="R204" s="351"/>
      <c r="S204" s="351"/>
      <c r="T204" s="351"/>
      <c r="U204" s="351"/>
      <c r="W204" s="351"/>
      <c r="X204" s="351"/>
      <c r="Y204" s="351"/>
      <c r="Z204" s="351"/>
      <c r="AA204" s="520"/>
      <c r="AB204" s="351"/>
      <c r="AC204" s="351"/>
      <c r="AD204" s="351"/>
      <c r="AE204" s="351"/>
      <c r="AG204" s="351"/>
      <c r="AH204" s="351"/>
      <c r="AI204" s="351"/>
      <c r="AJ204" s="351"/>
      <c r="AK204" s="351"/>
      <c r="AL204" s="351"/>
      <c r="AM204" s="351"/>
      <c r="AN204" s="351"/>
      <c r="AO204" s="351"/>
      <c r="AP204" s="351"/>
      <c r="AQ204" s="351"/>
      <c r="AR204" s="351"/>
      <c r="AS204" s="351"/>
      <c r="AT204" s="351"/>
      <c r="AV204" s="521"/>
      <c r="AW204" s="530"/>
      <c r="AX204" s="530"/>
      <c r="AY204" s="9"/>
      <c r="AZ204" s="48"/>
      <c r="BA204" s="351"/>
      <c r="BB204" s="351"/>
      <c r="BC204" s="351"/>
      <c r="BD204" s="351"/>
      <c r="BE204" s="351"/>
    </row>
    <row r="205" spans="8:57" x14ac:dyDescent="0.25">
      <c r="H205" s="527"/>
      <c r="I205" s="4"/>
      <c r="K205" s="4"/>
      <c r="L205" s="4"/>
      <c r="R205" s="351"/>
      <c r="S205" s="351"/>
      <c r="T205" s="351"/>
      <c r="U205" s="351"/>
      <c r="W205" s="351"/>
      <c r="X205" s="351"/>
      <c r="Y205" s="351"/>
      <c r="Z205" s="351"/>
      <c r="AA205" s="520"/>
      <c r="AB205" s="351"/>
      <c r="AC205" s="351"/>
      <c r="AD205" s="351"/>
      <c r="AE205" s="351"/>
      <c r="AG205" s="351"/>
      <c r="AH205" s="351"/>
      <c r="AI205" s="351"/>
      <c r="AJ205" s="351"/>
      <c r="AK205" s="351"/>
      <c r="AL205" s="351"/>
      <c r="AM205" s="351"/>
      <c r="AN205" s="351"/>
      <c r="AO205" s="351"/>
      <c r="AP205" s="351"/>
      <c r="AQ205" s="351"/>
      <c r="AR205" s="351"/>
      <c r="AS205" s="351"/>
      <c r="AT205" s="351"/>
      <c r="AV205" s="521"/>
      <c r="AW205" s="530"/>
      <c r="AX205" s="530"/>
      <c r="AY205" s="9"/>
      <c r="AZ205" s="48"/>
      <c r="BA205" s="351"/>
      <c r="BB205" s="351"/>
      <c r="BC205" s="351"/>
      <c r="BD205" s="351"/>
      <c r="BE205" s="351"/>
    </row>
    <row r="206" spans="8:57" x14ac:dyDescent="0.25">
      <c r="H206" s="527"/>
      <c r="I206" s="4"/>
      <c r="K206" s="4"/>
      <c r="L206" s="4"/>
      <c r="R206" s="351"/>
      <c r="S206" s="351"/>
      <c r="T206" s="351"/>
      <c r="U206" s="351"/>
      <c r="W206" s="351"/>
      <c r="X206" s="351"/>
      <c r="Y206" s="351"/>
      <c r="Z206" s="351"/>
      <c r="AA206" s="520"/>
      <c r="AB206" s="351"/>
      <c r="AC206" s="351"/>
      <c r="AD206" s="351"/>
      <c r="AE206" s="351"/>
      <c r="AG206" s="351"/>
      <c r="AH206" s="351"/>
      <c r="AI206" s="351"/>
      <c r="AJ206" s="351"/>
      <c r="AK206" s="351"/>
      <c r="AL206" s="351"/>
      <c r="AM206" s="351"/>
      <c r="AN206" s="351"/>
      <c r="AO206" s="351"/>
      <c r="AP206" s="351"/>
      <c r="AQ206" s="351"/>
      <c r="AR206" s="351"/>
      <c r="AS206" s="351"/>
      <c r="AT206" s="351"/>
      <c r="AV206" s="521"/>
      <c r="AW206" s="530"/>
      <c r="AX206" s="530"/>
      <c r="AY206" s="9"/>
      <c r="AZ206" s="48"/>
      <c r="BA206" s="351"/>
      <c r="BB206" s="351"/>
      <c r="BC206" s="351"/>
      <c r="BD206" s="351"/>
      <c r="BE206" s="351"/>
    </row>
    <row r="207" spans="8:57" x14ac:dyDescent="0.25">
      <c r="H207" s="527"/>
      <c r="I207" s="4"/>
      <c r="K207" s="4"/>
      <c r="L207" s="4"/>
      <c r="R207" s="351"/>
      <c r="S207" s="351"/>
      <c r="T207" s="351"/>
      <c r="U207" s="351"/>
      <c r="W207" s="351"/>
      <c r="X207" s="351"/>
      <c r="Y207" s="351"/>
      <c r="Z207" s="351"/>
      <c r="AA207" s="520"/>
      <c r="AB207" s="351"/>
      <c r="AC207" s="351"/>
      <c r="AD207" s="351"/>
      <c r="AE207" s="351"/>
      <c r="AG207" s="351"/>
      <c r="AH207" s="351"/>
      <c r="AI207" s="351"/>
      <c r="AJ207" s="351"/>
      <c r="AK207" s="351"/>
      <c r="AL207" s="351"/>
      <c r="AM207" s="351"/>
      <c r="AN207" s="351"/>
      <c r="AO207" s="351"/>
      <c r="AP207" s="351"/>
      <c r="AQ207" s="351"/>
      <c r="AR207" s="351"/>
      <c r="AS207" s="351"/>
      <c r="AT207" s="351"/>
      <c r="AV207" s="521"/>
      <c r="AW207" s="530"/>
      <c r="AX207" s="530"/>
      <c r="AY207" s="9"/>
      <c r="AZ207" s="48"/>
      <c r="BA207" s="351"/>
      <c r="BB207" s="351"/>
      <c r="BC207" s="351"/>
      <c r="BD207" s="351"/>
      <c r="BE207" s="351"/>
    </row>
    <row r="208" spans="8:57" x14ac:dyDescent="0.25">
      <c r="H208" s="527"/>
      <c r="I208" s="4"/>
      <c r="K208" s="4"/>
      <c r="L208" s="4"/>
      <c r="R208" s="351"/>
      <c r="S208" s="351"/>
      <c r="T208" s="351"/>
      <c r="U208" s="351"/>
      <c r="W208" s="351"/>
      <c r="X208" s="351"/>
      <c r="Y208" s="351"/>
      <c r="Z208" s="351"/>
      <c r="AA208" s="520"/>
      <c r="AB208" s="351"/>
      <c r="AC208" s="351"/>
      <c r="AD208" s="351"/>
      <c r="AE208" s="351"/>
      <c r="AG208" s="351"/>
      <c r="AH208" s="351"/>
      <c r="AI208" s="351"/>
      <c r="AJ208" s="351"/>
      <c r="AK208" s="351"/>
      <c r="AL208" s="351"/>
      <c r="AM208" s="351"/>
      <c r="AN208" s="351"/>
      <c r="AO208" s="351"/>
      <c r="AP208" s="351"/>
      <c r="AQ208" s="351"/>
      <c r="AR208" s="351"/>
      <c r="AS208" s="351"/>
      <c r="AT208" s="351"/>
      <c r="AV208" s="521"/>
      <c r="AW208" s="530"/>
      <c r="AX208" s="530"/>
      <c r="AY208" s="9"/>
      <c r="AZ208" s="48"/>
      <c r="BA208" s="351"/>
      <c r="BB208" s="351"/>
      <c r="BC208" s="351"/>
      <c r="BD208" s="351"/>
      <c r="BE208" s="351"/>
    </row>
    <row r="209" spans="8:57" x14ac:dyDescent="0.25">
      <c r="H209" s="527"/>
      <c r="I209" s="4"/>
      <c r="K209" s="4"/>
      <c r="L209" s="4"/>
      <c r="R209" s="351"/>
      <c r="S209" s="351"/>
      <c r="T209" s="351"/>
      <c r="U209" s="351"/>
      <c r="W209" s="351"/>
      <c r="X209" s="351"/>
      <c r="Y209" s="351"/>
      <c r="Z209" s="351"/>
      <c r="AA209" s="520"/>
      <c r="AB209" s="351"/>
      <c r="AC209" s="351"/>
      <c r="AD209" s="351"/>
      <c r="AE209" s="351"/>
      <c r="AG209" s="351"/>
      <c r="AH209" s="351"/>
      <c r="AI209" s="351"/>
      <c r="AJ209" s="351"/>
      <c r="AK209" s="351"/>
      <c r="AL209" s="351"/>
      <c r="AM209" s="351"/>
      <c r="AN209" s="351"/>
      <c r="AO209" s="351"/>
      <c r="AP209" s="351"/>
      <c r="AQ209" s="351"/>
      <c r="AR209" s="351"/>
      <c r="AS209" s="351"/>
      <c r="AT209" s="351"/>
      <c r="AV209" s="521"/>
      <c r="AW209" s="530"/>
      <c r="AX209" s="530"/>
      <c r="AY209" s="9"/>
      <c r="AZ209" s="48"/>
      <c r="BA209" s="351"/>
      <c r="BB209" s="351"/>
      <c r="BC209" s="351"/>
      <c r="BD209" s="351"/>
      <c r="BE209" s="351"/>
    </row>
  </sheetData>
  <sheetProtection selectLockedCells="1"/>
  <mergeCells count="11">
    <mergeCell ref="Y7:AA7"/>
    <mergeCell ref="A1:D4"/>
    <mergeCell ref="A6:D7"/>
    <mergeCell ref="G7:N7"/>
    <mergeCell ref="R7:U7"/>
    <mergeCell ref="V7:X7"/>
    <mergeCell ref="AB7:AG7"/>
    <mergeCell ref="AH7:AK7"/>
    <mergeCell ref="AO7:AS7"/>
    <mergeCell ref="AT7:AX7"/>
    <mergeCell ref="AZ7:BE7"/>
  </mergeCells>
  <phoneticPr fontId="91" type="noConversion"/>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3.2" x14ac:dyDescent="0.25"/>
  <cols>
    <col min="1" max="1" width="10.5546875" customWidth="1"/>
    <col min="2" max="2" width="126" customWidth="1"/>
  </cols>
  <sheetData>
    <row r="2" spans="1:2" x14ac:dyDescent="0.25">
      <c r="A2" t="str">
        <f>IF(PLOT_TYPE=1, "EFF_Ch1", "EFF_Ch2")</f>
        <v>EFF_Ch1</v>
      </c>
    </row>
    <row r="5" spans="1:2" ht="409.5" customHeight="1" x14ac:dyDescent="0.25">
      <c r="B5" s="516"/>
    </row>
    <row r="7" spans="1:2" ht="409.5" customHeight="1" x14ac:dyDescent="0.25">
      <c r="B7" s="516"/>
    </row>
  </sheetData>
  <phoneticPr fontId="9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zoomScaleNormal="100" workbookViewId="0">
      <selection activeCell="B21" sqref="B21"/>
    </sheetView>
  </sheetViews>
  <sheetFormatPr defaultRowHeight="13.2" x14ac:dyDescent="0.25"/>
  <cols>
    <col min="1" max="1" width="10.5546875" customWidth="1"/>
    <col min="2" max="2" width="124.6640625" customWidth="1"/>
  </cols>
  <sheetData>
    <row r="1" spans="1:14" x14ac:dyDescent="0.25">
      <c r="J1" s="112" t="s">
        <v>598</v>
      </c>
      <c r="N1" s="112" t="s">
        <v>600</v>
      </c>
    </row>
    <row r="2" spans="1:14" x14ac:dyDescent="0.25">
      <c r="A2" t="str">
        <f>CHOOSE(SCH_MODE, "SCH_DUAL", "SCH_SINGLE", "SCH_MULTIPHASE", "SCH_MULTIPHASE")</f>
        <v>SCH_DUAL</v>
      </c>
      <c r="J2" s="112" t="s">
        <v>599</v>
      </c>
      <c r="N2" s="112" t="s">
        <v>735</v>
      </c>
    </row>
    <row r="3" spans="1:14" x14ac:dyDescent="0.25">
      <c r="J3" s="112" t="s">
        <v>597</v>
      </c>
    </row>
    <row r="4" spans="1:14" x14ac:dyDescent="0.25">
      <c r="J4" s="112" t="s">
        <v>596</v>
      </c>
    </row>
    <row r="5" spans="1:14" ht="409.5" customHeight="1" x14ac:dyDescent="0.25">
      <c r="B5" s="516"/>
    </row>
    <row r="6" spans="1:14" ht="12" customHeight="1" x14ac:dyDescent="0.25">
      <c r="B6" s="516"/>
    </row>
    <row r="7" spans="1:14" ht="34.5" customHeight="1" x14ac:dyDescent="0.25"/>
    <row r="8" spans="1:14" ht="409.5" customHeight="1" x14ac:dyDescent="0.25">
      <c r="B8" s="516"/>
    </row>
    <row r="9" spans="1:14" x14ac:dyDescent="0.25">
      <c r="B9" s="516"/>
    </row>
    <row r="10" spans="1:14" ht="409.5" customHeight="1" x14ac:dyDescent="0.25">
      <c r="B10" s="516"/>
    </row>
  </sheetData>
  <phoneticPr fontId="9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N16" sqref="N16"/>
    </sheetView>
  </sheetViews>
  <sheetFormatPr defaultRowHeight="13.2" x14ac:dyDescent="0.25"/>
  <cols>
    <col min="1" max="1" width="17.33203125" customWidth="1"/>
    <col min="2" max="2" width="12" bestFit="1" customWidth="1"/>
    <col min="3" max="4" width="12.44140625" bestFit="1" customWidth="1"/>
    <col min="7" max="9" width="12.44140625" bestFit="1" customWidth="1"/>
    <col min="10" max="10" width="11.44140625" bestFit="1" customWidth="1"/>
    <col min="13" max="13" width="12.109375" customWidth="1"/>
    <col min="14" max="14" width="12.44140625" bestFit="1" customWidth="1"/>
    <col min="15" max="15" width="15.44140625" customWidth="1"/>
  </cols>
  <sheetData>
    <row r="2" spans="1:16" x14ac:dyDescent="0.25">
      <c r="A2" t="s">
        <v>158</v>
      </c>
      <c r="B2" t="s">
        <v>150</v>
      </c>
      <c r="C2" t="s">
        <v>31</v>
      </c>
      <c r="D2" t="s">
        <v>32</v>
      </c>
      <c r="E2" t="s">
        <v>25</v>
      </c>
      <c r="F2" t="s">
        <v>57</v>
      </c>
      <c r="G2" s="112" t="s">
        <v>655</v>
      </c>
      <c r="H2" s="112" t="s">
        <v>315</v>
      </c>
      <c r="I2" s="112" t="s">
        <v>702</v>
      </c>
      <c r="J2" s="112" t="s">
        <v>703</v>
      </c>
    </row>
    <row r="3" spans="1:16" x14ac:dyDescent="0.25">
      <c r="A3" t="s">
        <v>161</v>
      </c>
      <c r="B3">
        <f>Rss</f>
        <v>20148</v>
      </c>
      <c r="C3">
        <f>Cc1ea</f>
        <v>4.5308289694157159E-9</v>
      </c>
      <c r="D3">
        <f>Cc2ea</f>
        <v>6.8854692628237815E-11</v>
      </c>
      <c r="E3">
        <f>Cout</f>
        <v>6.6000000000000005E-5</v>
      </c>
      <c r="F3">
        <f>Cin</f>
        <v>4.0000000000000003E-5</v>
      </c>
      <c r="G3">
        <f>Cres</f>
        <v>7.6666666666666678E-8</v>
      </c>
      <c r="H3" t="e">
        <f>Cdither_init</f>
        <v>#NAME?</v>
      </c>
      <c r="I3">
        <f>Cc3ea</f>
        <v>3.7595986595135586E-9</v>
      </c>
      <c r="J3">
        <f>Cc4ea</f>
        <v>5.2466184089416468E-11</v>
      </c>
      <c r="M3" t="s">
        <v>162</v>
      </c>
      <c r="N3" t="s">
        <v>163</v>
      </c>
      <c r="O3" s="2" t="s">
        <v>160</v>
      </c>
    </row>
    <row r="4" spans="1:16" ht="13.8" x14ac:dyDescent="0.3">
      <c r="A4" s="7" t="s">
        <v>160</v>
      </c>
      <c r="B4" s="7">
        <f>SUM(B6:B158)/1000000000000</f>
        <v>0</v>
      </c>
      <c r="C4" s="7">
        <f>IF(C3="OPEN","OPEN",SUM(C6:C158)/1000000000000)</f>
        <v>4.6999999999999999E-9</v>
      </c>
      <c r="D4" s="7">
        <f>SUM(D6:D158)/1000000000000</f>
        <v>6.7999999999999998E-11</v>
      </c>
      <c r="E4" s="7">
        <f>SUM(E6:E158)/1000000000000</f>
        <v>6.7999999999999999E-5</v>
      </c>
      <c r="F4" s="7">
        <f>SUM(F6:F158)/1000000000000</f>
        <v>3.8999999999999999E-5</v>
      </c>
      <c r="G4" s="7">
        <f>SUM(G6:G158)/1000000000000</f>
        <v>8.2000000000000006E-8</v>
      </c>
      <c r="H4" s="7" t="e">
        <f t="shared" ref="H4:J4" si="0">IF(H3="OPEN","OPEN",SUM(H6:H158)/1000000000000)</f>
        <v>#NAME?</v>
      </c>
      <c r="I4" s="7">
        <f t="shared" si="0"/>
        <v>3.9000000000000002E-9</v>
      </c>
      <c r="J4" s="7">
        <f t="shared" si="0"/>
        <v>5.6E-11</v>
      </c>
      <c r="M4" s="112" t="s">
        <v>275</v>
      </c>
      <c r="N4" s="300">
        <f>Rfadj</f>
        <v>52750.637213254035</v>
      </c>
      <c r="O4" s="2">
        <f t="shared" ref="O4"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52300</v>
      </c>
      <c r="P4" s="45" t="s">
        <v>263</v>
      </c>
    </row>
    <row r="5" spans="1:16" ht="13.8" x14ac:dyDescent="0.3">
      <c r="A5" t="s">
        <v>159</v>
      </c>
      <c r="O5" s="2"/>
      <c r="P5" s="45"/>
    </row>
    <row r="6" spans="1:16" ht="13.8" x14ac:dyDescent="0.3">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t="e">
        <f t="shared" si="2"/>
        <v>#NAME?</v>
      </c>
      <c r="I6">
        <f t="shared" si="2"/>
        <v>0</v>
      </c>
      <c r="J6">
        <f t="shared" si="2"/>
        <v>0</v>
      </c>
      <c r="M6" t="s">
        <v>176</v>
      </c>
      <c r="N6">
        <f>Rcea1</f>
        <v>9493.8144484837503</v>
      </c>
      <c r="O6" s="2">
        <f>IF(N6&gt;(INT(0.5+100*POWER(10,IF(96*(LOG(N6)-INT(LOG(N6)))-ROUND(96*(LOG(N6)-INT(LOG(N6))),0)&lt;0,ROUND(96*(LOG(N6)-INT(LOG(N6))),0)-1,ROUND(96*(LOG(N6)-INT(LOG(N6))),0))/96))*POWER(10,INT(LOG(N6))-2)+INT(0.5+100*POWER(10,(IF(96*(LOG(N6)-INT(LOG(N6)))-ROUND(96*(LOG(N6)-INT(LOG(N6))),0)&lt;0,ROUND(96*(LOG(N6)-INT(LOG(N6))),0)-1,ROUND(96*(LOG(N6)-INT(LOG(N6))),0))+1)/96))*POWER(10,INT(LOG(N6))-2))/2,INT(0.5+100*POWER(10,(IF(96*(LOG(N6)-INT(LOG(N6)))-ROUND(96*(LOG(N6)-INT(LOG(N6))),0)&lt;0,ROUND(96*(LOG(N6)-INT(LOG(N6))),0)-1,ROUND(96*(LOG(N6)-INT(LOG(N6))),0))+1)/96))*POWER(10,INT(LOG(N6))-2),INT(0.5+100*POWER(10,IF(96*(LOG(N6)-INT(LOG(N6)))-ROUND(96*(LOG(N6)-INT(LOG(N6))),0)&lt;0,ROUND(96*(LOG(N6)-INT(LOG(N6))),0)-1,ROUND(96*(LOG(N6)-INT(LOG(N6))),0))/96))*POWER(10,INT(LOG(N6))-2))</f>
        <v>9530</v>
      </c>
      <c r="P6" s="45" t="s">
        <v>263</v>
      </c>
    </row>
    <row r="7" spans="1:16" ht="13.8" x14ac:dyDescent="0.3">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t="e">
        <f t="shared" si="8"/>
        <v>#NAME?</v>
      </c>
      <c r="I7">
        <f t="shared" si="8"/>
        <v>0</v>
      </c>
      <c r="J7">
        <f t="shared" si="8"/>
        <v>0</v>
      </c>
      <c r="M7" t="s">
        <v>176</v>
      </c>
      <c r="N7">
        <f>Rcea2</f>
        <v>12095.131702500004</v>
      </c>
      <c r="O7" s="2">
        <f t="shared" ref="O7" si="9">IF(N7&gt;(INT(0.5+100*POWER(10,IF(96*(LOG(N7)-INT(LOG(N7)))-ROUND(96*(LOG(N7)-INT(LOG(N7))),0)&lt;0,ROUND(96*(LOG(N7)-INT(LOG(N7))),0)-1,ROUND(96*(LOG(N7)-INT(LOG(N7))),0))/96))*POWER(10,INT(LOG(N7))-2)+INT(0.5+100*POWER(10,(IF(96*(LOG(N7)-INT(LOG(N7)))-ROUND(96*(LOG(N7)-INT(LOG(N7))),0)&lt;0,ROUND(96*(LOG(N7)-INT(LOG(N7))),0)-1,ROUND(96*(LOG(N7)-INT(LOG(N7))),0))+1)/96))*POWER(10,INT(LOG(N7))-2))/2,INT(0.5+100*POWER(10,(IF(96*(LOG(N7)-INT(LOG(N7)))-ROUND(96*(LOG(N7)-INT(LOG(N7))),0)&lt;0,ROUND(96*(LOG(N7)-INT(LOG(N7))),0)-1,ROUND(96*(LOG(N7)-INT(LOG(N7))),0))+1)/96))*POWER(10,INT(LOG(N7))-2),INT(0.5+100*POWER(10,IF(96*(LOG(N7)-INT(LOG(N7)))-ROUND(96*(LOG(N7)-INT(LOG(N7))),0)&lt;0,ROUND(96*(LOG(N7)-INT(LOG(N7))),0)-1,ROUND(96*(LOG(N7)-INT(LOG(N7))),0))/96))*POWER(10,INT(LOG(N7))-2))</f>
        <v>12100</v>
      </c>
      <c r="P7" s="45" t="s">
        <v>263</v>
      </c>
    </row>
    <row r="8" spans="1:16" x14ac:dyDescent="0.25">
      <c r="A8">
        <v>0.68</v>
      </c>
      <c r="B8">
        <f t="shared" si="3"/>
        <v>0</v>
      </c>
      <c r="C8">
        <f t="shared" si="4"/>
        <v>0</v>
      </c>
      <c r="D8">
        <f t="shared" si="5"/>
        <v>0</v>
      </c>
      <c r="E8">
        <f t="shared" si="6"/>
        <v>0</v>
      </c>
      <c r="F8">
        <f t="shared" si="7"/>
        <v>0</v>
      </c>
      <c r="G8">
        <f t="shared" si="8"/>
        <v>0</v>
      </c>
      <c r="H8" t="e">
        <f t="shared" si="8"/>
        <v>#NAME?</v>
      </c>
      <c r="I8">
        <f t="shared" si="8"/>
        <v>0</v>
      </c>
      <c r="J8">
        <f t="shared" si="8"/>
        <v>0</v>
      </c>
    </row>
    <row r="9" spans="1:16" ht="13.8" x14ac:dyDescent="0.3">
      <c r="A9">
        <v>0.82</v>
      </c>
      <c r="B9">
        <f t="shared" si="3"/>
        <v>0</v>
      </c>
      <c r="C9">
        <f t="shared" si="4"/>
        <v>0</v>
      </c>
      <c r="D9">
        <f t="shared" si="5"/>
        <v>0</v>
      </c>
      <c r="E9">
        <f t="shared" si="6"/>
        <v>0</v>
      </c>
      <c r="F9">
        <f t="shared" si="7"/>
        <v>0</v>
      </c>
      <c r="G9">
        <f t="shared" si="8"/>
        <v>0</v>
      </c>
      <c r="H9" t="e">
        <f t="shared" si="8"/>
        <v>#NAME?</v>
      </c>
      <c r="I9">
        <f t="shared" si="8"/>
        <v>0</v>
      </c>
      <c r="J9">
        <f t="shared" si="8"/>
        <v>0</v>
      </c>
      <c r="M9" t="s">
        <v>29</v>
      </c>
      <c r="N9">
        <f>Rfb1_</f>
        <v>78700</v>
      </c>
      <c r="O9" s="2">
        <f>IF(N9&gt;(INT(0.5+100*POWER(10,IF(96*(LOG(N9)-INT(LOG(N9)))-ROUND(96*(LOG(N9)-INT(LOG(N9))),0)&lt;0,ROUND(96*(LOG(N9)-INT(LOG(N9))),0)-1,ROUND(96*(LOG(N9)-INT(LOG(N9))),0))/96))*POWER(10,INT(LOG(N9))-2)+INT(0.5+100*POWER(10,(IF(96*(LOG(N9)-INT(LOG(N9)))-ROUND(96*(LOG(N9)-INT(LOG(N9))),0)&lt;0,ROUND(96*(LOG(N9)-INT(LOG(N9))),0)-1,ROUND(96*(LOG(N9)-INT(LOG(N9))),0))+1)/96))*POWER(10,INT(LOG(N9))-2))/2,INT(0.5+100*POWER(10,(IF(96*(LOG(N9)-INT(LOG(N9)))-ROUND(96*(LOG(N9)-INT(LOG(N9))),0)&lt;0,ROUND(96*(LOG(N9)-INT(LOG(N9))),0)-1,ROUND(96*(LOG(N9)-INT(LOG(N9))),0))+1)/96))*POWER(10,INT(LOG(N9))-2),INT(0.5+100*POWER(10,IF(96*(LOG(N9)-INT(LOG(N9)))-ROUND(96*(LOG(N9)-INT(LOG(N9))),0)&lt;0,ROUND(96*(LOG(N9)-INT(LOG(N9))),0)-1,ROUND(96*(LOG(N9)-INT(LOG(N9))),0))/96))*POWER(10,INT(LOG(N9))-2))</f>
        <v>78700</v>
      </c>
      <c r="P9" s="45" t="s">
        <v>263</v>
      </c>
    </row>
    <row r="10" spans="1:16" ht="13.8" x14ac:dyDescent="0.3">
      <c r="A10">
        <v>1</v>
      </c>
      <c r="B10">
        <f t="shared" si="3"/>
        <v>0</v>
      </c>
      <c r="C10">
        <f t="shared" si="4"/>
        <v>0</v>
      </c>
      <c r="D10">
        <f t="shared" si="5"/>
        <v>0</v>
      </c>
      <c r="E10">
        <f t="shared" si="6"/>
        <v>0</v>
      </c>
      <c r="F10">
        <f t="shared" si="7"/>
        <v>0</v>
      </c>
      <c r="G10">
        <f t="shared" si="8"/>
        <v>0</v>
      </c>
      <c r="H10" t="e">
        <f t="shared" si="8"/>
        <v>#NAME?</v>
      </c>
      <c r="I10">
        <f t="shared" si="8"/>
        <v>0</v>
      </c>
      <c r="J10">
        <f t="shared" si="8"/>
        <v>0</v>
      </c>
      <c r="M10" t="s">
        <v>40</v>
      </c>
      <c r="N10" s="48">
        <f>Rfb2_</f>
        <v>25184</v>
      </c>
      <c r="O10" s="2">
        <f>IF(N10="OPEN","OPEN",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24900</v>
      </c>
      <c r="P10" s="45" t="s">
        <v>263</v>
      </c>
    </row>
    <row r="11" spans="1:16" ht="13.8" x14ac:dyDescent="0.3">
      <c r="A11">
        <v>1.2</v>
      </c>
      <c r="B11">
        <f t="shared" si="3"/>
        <v>0</v>
      </c>
      <c r="C11">
        <f t="shared" si="4"/>
        <v>0</v>
      </c>
      <c r="D11">
        <f t="shared" si="5"/>
        <v>0</v>
      </c>
      <c r="E11">
        <f t="shared" si="6"/>
        <v>0</v>
      </c>
      <c r="F11">
        <f t="shared" si="7"/>
        <v>0</v>
      </c>
      <c r="G11">
        <f t="shared" si="8"/>
        <v>0</v>
      </c>
      <c r="H11" t="e">
        <f t="shared" si="8"/>
        <v>#NAME?</v>
      </c>
      <c r="I11">
        <f t="shared" si="8"/>
        <v>0</v>
      </c>
      <c r="J11">
        <f t="shared" si="8"/>
        <v>0</v>
      </c>
      <c r="M11" s="112" t="s">
        <v>704</v>
      </c>
      <c r="N11">
        <f>Rfb3_</f>
        <v>78700</v>
      </c>
      <c r="O11" s="2">
        <f>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78700</v>
      </c>
      <c r="P11" s="45" t="s">
        <v>263</v>
      </c>
    </row>
    <row r="12" spans="1:16" ht="13.8" x14ac:dyDescent="0.3">
      <c r="A12">
        <v>1.5</v>
      </c>
      <c r="B12">
        <f t="shared" si="3"/>
        <v>0</v>
      </c>
      <c r="C12">
        <f t="shared" si="4"/>
        <v>0</v>
      </c>
      <c r="D12">
        <f t="shared" si="5"/>
        <v>0</v>
      </c>
      <c r="E12">
        <f t="shared" si="6"/>
        <v>0</v>
      </c>
      <c r="F12">
        <f t="shared" si="7"/>
        <v>0</v>
      </c>
      <c r="G12">
        <f t="shared" si="8"/>
        <v>0</v>
      </c>
      <c r="H12" t="e">
        <f t="shared" si="8"/>
        <v>#NAME?</v>
      </c>
      <c r="I12">
        <f t="shared" si="8"/>
        <v>0</v>
      </c>
      <c r="J12">
        <f t="shared" si="8"/>
        <v>0</v>
      </c>
      <c r="M12" s="112" t="s">
        <v>705</v>
      </c>
      <c r="N12" s="48">
        <f>Rfb4_</f>
        <v>14990.476190476189</v>
      </c>
      <c r="O12" s="2">
        <f>IF(N12="OPEN","OPEN",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15000</v>
      </c>
      <c r="P12" s="45" t="s">
        <v>263</v>
      </c>
    </row>
    <row r="13" spans="1:16" x14ac:dyDescent="0.25">
      <c r="A13">
        <v>1.8</v>
      </c>
      <c r="B13">
        <f t="shared" si="3"/>
        <v>0</v>
      </c>
      <c r="C13">
        <f t="shared" si="4"/>
        <v>0</v>
      </c>
      <c r="D13">
        <f t="shared" si="5"/>
        <v>0</v>
      </c>
      <c r="E13">
        <f t="shared" si="6"/>
        <v>0</v>
      </c>
      <c r="F13">
        <f t="shared" si="7"/>
        <v>0</v>
      </c>
      <c r="G13">
        <f t="shared" si="8"/>
        <v>0</v>
      </c>
      <c r="H13" t="e">
        <f t="shared" si="8"/>
        <v>#NAME?</v>
      </c>
      <c r="I13">
        <f t="shared" si="8"/>
        <v>0</v>
      </c>
      <c r="J13">
        <f t="shared" si="8"/>
        <v>0</v>
      </c>
    </row>
    <row r="14" spans="1:16" ht="13.8" x14ac:dyDescent="0.3">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t="e">
        <f t="shared" si="10"/>
        <v>#NAME?</v>
      </c>
      <c r="I14">
        <f t="shared" si="10"/>
        <v>0</v>
      </c>
      <c r="J14">
        <f t="shared" si="10"/>
        <v>0</v>
      </c>
      <c r="M14" s="112" t="s">
        <v>814</v>
      </c>
      <c r="N14" s="48">
        <f>'Variable Management'!B186</f>
        <v>199.5</v>
      </c>
      <c r="O14" s="2">
        <f t="shared" ref="O14:O16" si="11">IF(N14="OPEN","OPEN",IF(N14&gt;(INT(0.5+100*POWER(10,IF(96*(LOG(N14)-INT(LOG(N14)))-ROUND(96*(LOG(N14)-INT(LOG(N14))),0)&lt;0,ROUND(96*(LOG(N14)-INT(LOG(N14))),0)-1,ROUND(96*(LOG(N14)-INT(LOG(N14))),0))/96))*POWER(10,INT(LOG(N14))-2)+INT(0.5+100*POWER(10,(IF(96*(LOG(N14)-INT(LOG(N14)))-ROUND(96*(LOG(N14)-INT(LOG(N14))),0)&lt;0,ROUND(96*(LOG(N14)-INT(LOG(N14))),0)-1,ROUND(96*(LOG(N14)-INT(LOG(N14))),0))+1)/96))*POWER(10,INT(LOG(N14))-2))/2,INT(0.5+100*POWER(10,(IF(96*(LOG(N14)-INT(LOG(N14)))-ROUND(96*(LOG(N14)-INT(LOG(N14))),0)&lt;0,ROUND(96*(LOG(N14)-INT(LOG(N14))),0)-1,ROUND(96*(LOG(N14)-INT(LOG(N14))),0))+1)/96))*POWER(10,INT(LOG(N14))-2),INT(0.5+100*POWER(10,IF(96*(LOG(N14)-INT(LOG(N14)))-ROUND(96*(LOG(N14)-INT(LOG(N14))),0)&lt;0,ROUND(96*(LOG(N14)-INT(LOG(N14))),0)-1,ROUND(96*(LOG(N14)-INT(LOG(N14))),0))/96))*POWER(10,INT(LOG(N14))-2)))</f>
        <v>200</v>
      </c>
      <c r="P14" s="45" t="s">
        <v>263</v>
      </c>
    </row>
    <row r="15" spans="1:16" ht="13.8" x14ac:dyDescent="0.3">
      <c r="A15">
        <v>2.7</v>
      </c>
      <c r="B15">
        <f t="shared" si="3"/>
        <v>0</v>
      </c>
      <c r="C15">
        <f t="shared" si="4"/>
        <v>0</v>
      </c>
      <c r="D15">
        <f t="shared" si="5"/>
        <v>0</v>
      </c>
      <c r="E15">
        <f t="shared" si="6"/>
        <v>0</v>
      </c>
      <c r="F15">
        <f t="shared" si="7"/>
        <v>0</v>
      </c>
      <c r="G15">
        <f t="shared" si="8"/>
        <v>0</v>
      </c>
      <c r="H15" t="e">
        <f t="shared" si="8"/>
        <v>#NAME?</v>
      </c>
      <c r="I15">
        <f t="shared" si="8"/>
        <v>0</v>
      </c>
      <c r="J15">
        <f t="shared" si="8"/>
        <v>0</v>
      </c>
      <c r="M15" s="112" t="s">
        <v>815</v>
      </c>
      <c r="N15" s="48">
        <f>'Variable Management'!B185</f>
        <v>10.526315789473685</v>
      </c>
      <c r="O15" s="2">
        <f t="shared" si="11"/>
        <v>10.5</v>
      </c>
      <c r="P15" s="45" t="s">
        <v>263</v>
      </c>
    </row>
    <row r="16" spans="1:16" ht="13.8" x14ac:dyDescent="0.3">
      <c r="A16">
        <v>3.3</v>
      </c>
      <c r="B16">
        <f t="shared" si="3"/>
        <v>0</v>
      </c>
      <c r="C16">
        <f t="shared" si="4"/>
        <v>0</v>
      </c>
      <c r="D16">
        <f t="shared" si="5"/>
        <v>0</v>
      </c>
      <c r="E16">
        <f t="shared" si="6"/>
        <v>0</v>
      </c>
      <c r="F16">
        <f t="shared" si="7"/>
        <v>0</v>
      </c>
      <c r="G16">
        <f t="shared" si="8"/>
        <v>0</v>
      </c>
      <c r="H16" t="e">
        <f t="shared" si="8"/>
        <v>#NAME?</v>
      </c>
      <c r="I16">
        <f t="shared" si="8"/>
        <v>0</v>
      </c>
      <c r="J16">
        <f t="shared" si="8"/>
        <v>0</v>
      </c>
      <c r="M16" s="112" t="s">
        <v>809</v>
      </c>
      <c r="N16">
        <f>Rss</f>
        <v>20148</v>
      </c>
      <c r="O16" s="2">
        <f t="shared" si="11"/>
        <v>20000</v>
      </c>
      <c r="P16" s="45" t="s">
        <v>263</v>
      </c>
    </row>
    <row r="17" spans="1:16" x14ac:dyDescent="0.25">
      <c r="A17">
        <v>3.9</v>
      </c>
      <c r="B17">
        <f t="shared" si="3"/>
        <v>0</v>
      </c>
      <c r="C17">
        <f t="shared" si="4"/>
        <v>0</v>
      </c>
      <c r="D17">
        <f t="shared" si="5"/>
        <v>0</v>
      </c>
      <c r="E17">
        <f t="shared" si="6"/>
        <v>0</v>
      </c>
      <c r="F17">
        <f t="shared" si="7"/>
        <v>0</v>
      </c>
      <c r="G17">
        <f t="shared" si="8"/>
        <v>0</v>
      </c>
      <c r="H17" t="e">
        <f t="shared" si="8"/>
        <v>#NAME?</v>
      </c>
      <c r="I17">
        <f t="shared" si="8"/>
        <v>0</v>
      </c>
      <c r="J17">
        <f t="shared" si="8"/>
        <v>0</v>
      </c>
    </row>
    <row r="18" spans="1:16" ht="13.8" x14ac:dyDescent="0.3">
      <c r="A18">
        <v>4.7</v>
      </c>
      <c r="B18">
        <f t="shared" si="3"/>
        <v>0</v>
      </c>
      <c r="C18">
        <f t="shared" si="4"/>
        <v>0</v>
      </c>
      <c r="D18">
        <f t="shared" si="5"/>
        <v>0</v>
      </c>
      <c r="E18">
        <f t="shared" si="6"/>
        <v>0</v>
      </c>
      <c r="F18">
        <f t="shared" si="7"/>
        <v>0</v>
      </c>
      <c r="G18">
        <f t="shared" si="8"/>
        <v>0</v>
      </c>
      <c r="H18" t="e">
        <f t="shared" si="8"/>
        <v>#NAME?</v>
      </c>
      <c r="I18">
        <f t="shared" si="8"/>
        <v>0</v>
      </c>
      <c r="J18">
        <f t="shared" si="8"/>
        <v>0</v>
      </c>
      <c r="M18" s="112" t="s">
        <v>164</v>
      </c>
      <c r="N18" s="351">
        <f>Rs_ideal*1000</f>
        <v>8.5364588796474443</v>
      </c>
      <c r="O18" s="2">
        <f>IF(N18=0,0,IF(N18&gt;(INT(0.5+100*POWER(10,IF(96*(LOG(N18)-INT(LOG(N18)))-ROUND(96*(LOG(N18)-INT(LOG(N18))),0)&lt;0,ROUND(96*(LOG(N18)-INT(LOG(N18))),0)-1,ROUND(96*(LOG(N18)-INT(LOG(N18))),0))/96))*POWER(10,INT(LOG(N18))-2)+INT(0.5+100*POWER(10,(IF(96*(LOG(N18)-INT(LOG(N18)))-ROUND(96*(LOG(N18)-INT(LOG(N18))),0)&lt;0,ROUND(96*(LOG(N18)-INT(LOG(N18))),0)-1,ROUND(96*(LOG(N18)-INT(LOG(N18))),0))+1)/96))*POWER(10,INT(LOG(N18))-2))/2,INT(0.5+100*POWER(10,(IF(96*(LOG(N18)-INT(LOG(N18)))-ROUND(96*(LOG(N18)-INT(LOG(N18))),0)&lt;0,ROUND(96*(LOG(N18)-INT(LOG(N18))),0)-1,ROUND(96*(LOG(N18)-INT(LOG(N18))),0))+1)/96))*POWER(10,INT(LOG(N18))-2),INT(0.5+100*POWER(10,IF(96*(LOG(N18)-INT(LOG(N18)))-ROUND(96*(LOG(N18)-INT(LOG(N18))),0)&lt;0,ROUND(96*(LOG(N18)-INT(LOG(N18))),0)-1,ROUND(96*(LOG(N18)-INT(LOG(N18))),0))/96))*POWER(10,INT(LOG(N18))-2)))</f>
        <v>8.4499999999999993</v>
      </c>
      <c r="P18" s="45" t="s">
        <v>310</v>
      </c>
    </row>
    <row r="19" spans="1:16" x14ac:dyDescent="0.25">
      <c r="A19">
        <v>5.6</v>
      </c>
      <c r="B19">
        <f t="shared" si="3"/>
        <v>0</v>
      </c>
      <c r="C19">
        <f t="shared" si="4"/>
        <v>0</v>
      </c>
      <c r="D19">
        <f t="shared" si="5"/>
        <v>0</v>
      </c>
      <c r="E19">
        <f t="shared" si="6"/>
        <v>0</v>
      </c>
      <c r="F19">
        <f t="shared" si="7"/>
        <v>0</v>
      </c>
      <c r="G19">
        <f t="shared" si="8"/>
        <v>0</v>
      </c>
      <c r="H19" t="e">
        <f t="shared" si="8"/>
        <v>#NAME?</v>
      </c>
      <c r="I19">
        <f t="shared" si="8"/>
        <v>0</v>
      </c>
      <c r="J19">
        <f t="shared" si="8"/>
        <v>0</v>
      </c>
    </row>
    <row r="20" spans="1:16" ht="13.8" x14ac:dyDescent="0.3">
      <c r="A20">
        <v>6.8</v>
      </c>
      <c r="B20">
        <f t="shared" si="3"/>
        <v>0</v>
      </c>
      <c r="C20">
        <f t="shared" si="4"/>
        <v>0</v>
      </c>
      <c r="D20">
        <f t="shared" si="5"/>
        <v>0</v>
      </c>
      <c r="E20">
        <f t="shared" si="6"/>
        <v>0</v>
      </c>
      <c r="F20">
        <f t="shared" si="7"/>
        <v>0</v>
      </c>
      <c r="G20">
        <f t="shared" si="8"/>
        <v>0</v>
      </c>
      <c r="H20" t="e">
        <f t="shared" si="8"/>
        <v>#NAME?</v>
      </c>
      <c r="I20">
        <f t="shared" si="8"/>
        <v>0</v>
      </c>
      <c r="J20">
        <f t="shared" si="8"/>
        <v>0</v>
      </c>
      <c r="O20" s="2"/>
      <c r="P20" s="45"/>
    </row>
    <row r="21" spans="1:16" x14ac:dyDescent="0.25">
      <c r="A21">
        <v>8.1999999999999993</v>
      </c>
      <c r="B21">
        <f t="shared" si="3"/>
        <v>0</v>
      </c>
      <c r="C21">
        <f t="shared" si="4"/>
        <v>0</v>
      </c>
      <c r="D21">
        <f t="shared" si="5"/>
        <v>0</v>
      </c>
      <c r="E21">
        <f t="shared" si="6"/>
        <v>0</v>
      </c>
      <c r="F21">
        <f t="shared" si="7"/>
        <v>0</v>
      </c>
      <c r="G21">
        <f t="shared" si="8"/>
        <v>0</v>
      </c>
      <c r="H21" t="e">
        <f t="shared" si="8"/>
        <v>#NAME?</v>
      </c>
      <c r="I21">
        <f t="shared" si="8"/>
        <v>0</v>
      </c>
      <c r="J21">
        <f t="shared" si="8"/>
        <v>0</v>
      </c>
      <c r="M21" s="112" t="s">
        <v>655</v>
      </c>
      <c r="N21">
        <f>Cres</f>
        <v>7.6666666666666678E-8</v>
      </c>
      <c r="O21">
        <f>G4*1000000000000</f>
        <v>82000</v>
      </c>
      <c r="P21" s="112" t="s">
        <v>30</v>
      </c>
    </row>
    <row r="22" spans="1:16" x14ac:dyDescent="0.25">
      <c r="A22">
        <v>10</v>
      </c>
      <c r="B22">
        <f t="shared" si="3"/>
        <v>0</v>
      </c>
      <c r="C22">
        <f t="shared" si="4"/>
        <v>0</v>
      </c>
      <c r="D22">
        <f t="shared" si="5"/>
        <v>0</v>
      </c>
      <c r="E22">
        <f t="shared" si="6"/>
        <v>0</v>
      </c>
      <c r="F22">
        <f t="shared" si="7"/>
        <v>0</v>
      </c>
      <c r="G22">
        <f t="shared" si="8"/>
        <v>0</v>
      </c>
      <c r="H22" t="e">
        <f t="shared" si="8"/>
        <v>#NAME?</v>
      </c>
      <c r="I22">
        <f t="shared" si="8"/>
        <v>0</v>
      </c>
      <c r="J22">
        <f t="shared" si="8"/>
        <v>0</v>
      </c>
      <c r="M22" s="112" t="s">
        <v>315</v>
      </c>
      <c r="N22" t="e">
        <f>Cdither_init</f>
        <v>#NAME?</v>
      </c>
      <c r="O22" s="2" t="e">
        <f>H4</f>
        <v>#NAME?</v>
      </c>
    </row>
    <row r="23" spans="1:16" x14ac:dyDescent="0.25">
      <c r="A23">
        <v>12</v>
      </c>
      <c r="B23">
        <f t="shared" si="3"/>
        <v>0</v>
      </c>
      <c r="C23">
        <f t="shared" si="4"/>
        <v>0</v>
      </c>
      <c r="D23">
        <f t="shared" si="5"/>
        <v>0</v>
      </c>
      <c r="E23">
        <f t="shared" si="6"/>
        <v>0</v>
      </c>
      <c r="F23">
        <f t="shared" si="7"/>
        <v>0</v>
      </c>
      <c r="G23">
        <f t="shared" si="8"/>
        <v>0</v>
      </c>
      <c r="H23" t="e">
        <f t="shared" si="8"/>
        <v>#NAME?</v>
      </c>
      <c r="I23">
        <f t="shared" si="8"/>
        <v>0</v>
      </c>
      <c r="J23">
        <f t="shared" si="8"/>
        <v>0</v>
      </c>
    </row>
    <row r="24" spans="1:16" x14ac:dyDescent="0.25">
      <c r="A24">
        <v>15</v>
      </c>
      <c r="B24">
        <f t="shared" si="3"/>
        <v>0</v>
      </c>
      <c r="C24">
        <f t="shared" si="4"/>
        <v>0</v>
      </c>
      <c r="D24">
        <f t="shared" si="5"/>
        <v>0</v>
      </c>
      <c r="E24">
        <f t="shared" si="6"/>
        <v>0</v>
      </c>
      <c r="F24">
        <f t="shared" si="7"/>
        <v>0</v>
      </c>
      <c r="G24">
        <f t="shared" si="8"/>
        <v>0</v>
      </c>
      <c r="H24" t="e">
        <f t="shared" si="8"/>
        <v>#NAME?</v>
      </c>
      <c r="I24">
        <f t="shared" si="8"/>
        <v>0</v>
      </c>
      <c r="J24">
        <f t="shared" si="8"/>
        <v>0</v>
      </c>
      <c r="O24" s="2"/>
    </row>
    <row r="25" spans="1:16" x14ac:dyDescent="0.25">
      <c r="A25">
        <v>18</v>
      </c>
      <c r="B25">
        <f t="shared" si="3"/>
        <v>0</v>
      </c>
      <c r="C25">
        <f t="shared" si="4"/>
        <v>0</v>
      </c>
      <c r="D25">
        <f t="shared" si="5"/>
        <v>0</v>
      </c>
      <c r="E25">
        <f t="shared" si="6"/>
        <v>0</v>
      </c>
      <c r="F25">
        <f t="shared" si="7"/>
        <v>0</v>
      </c>
      <c r="G25">
        <f t="shared" si="8"/>
        <v>0</v>
      </c>
      <c r="H25" t="e">
        <f t="shared" si="8"/>
        <v>#NAME?</v>
      </c>
      <c r="I25">
        <f t="shared" si="8"/>
        <v>0</v>
      </c>
      <c r="J25">
        <f t="shared" si="8"/>
        <v>0</v>
      </c>
    </row>
    <row r="26" spans="1:16" ht="13.8" x14ac:dyDescent="0.3">
      <c r="A26">
        <v>22</v>
      </c>
      <c r="B26">
        <f t="shared" si="3"/>
        <v>0</v>
      </c>
      <c r="C26">
        <f t="shared" si="4"/>
        <v>0</v>
      </c>
      <c r="D26">
        <f t="shared" si="5"/>
        <v>0</v>
      </c>
      <c r="E26">
        <f t="shared" si="6"/>
        <v>0</v>
      </c>
      <c r="F26">
        <f t="shared" si="7"/>
        <v>0</v>
      </c>
      <c r="G26">
        <f t="shared" si="8"/>
        <v>0</v>
      </c>
      <c r="H26" t="e">
        <f t="shared" si="8"/>
        <v>#NAME?</v>
      </c>
      <c r="I26">
        <f t="shared" si="8"/>
        <v>0</v>
      </c>
      <c r="J26">
        <f t="shared" si="8"/>
        <v>0</v>
      </c>
      <c r="M26" s="3" t="s">
        <v>168</v>
      </c>
      <c r="N26" t="str">
        <f>O6/1000&amp;" kΩ"</f>
        <v>9.53 kΩ</v>
      </c>
      <c r="O26">
        <f>O6/1000</f>
        <v>9.5299999999999994</v>
      </c>
      <c r="P26" s="45" t="s">
        <v>237</v>
      </c>
    </row>
    <row r="27" spans="1:16" x14ac:dyDescent="0.25">
      <c r="A27">
        <v>27</v>
      </c>
      <c r="B27">
        <f t="shared" si="3"/>
        <v>0</v>
      </c>
      <c r="C27">
        <f t="shared" si="4"/>
        <v>0</v>
      </c>
      <c r="D27">
        <f t="shared" si="5"/>
        <v>0</v>
      </c>
      <c r="E27">
        <f t="shared" si="6"/>
        <v>0</v>
      </c>
      <c r="F27">
        <f t="shared" si="7"/>
        <v>0</v>
      </c>
      <c r="G27">
        <f t="shared" si="8"/>
        <v>0</v>
      </c>
      <c r="H27" t="e">
        <f t="shared" si="8"/>
        <v>#NAME?</v>
      </c>
      <c r="I27">
        <f t="shared" si="8"/>
        <v>0</v>
      </c>
      <c r="J27">
        <f t="shared" si="8"/>
        <v>0</v>
      </c>
      <c r="M27" s="3" t="s">
        <v>166</v>
      </c>
      <c r="N27" t="str">
        <f>C4*1000000000&amp;" nF"</f>
        <v>4.7 nF</v>
      </c>
      <c r="O27">
        <f>C4*1000000000</f>
        <v>4.7</v>
      </c>
      <c r="P27" s="112" t="s">
        <v>141</v>
      </c>
    </row>
    <row r="28" spans="1:16" x14ac:dyDescent="0.25">
      <c r="A28">
        <v>33</v>
      </c>
      <c r="B28">
        <f t="shared" si="3"/>
        <v>0</v>
      </c>
      <c r="C28">
        <f t="shared" si="4"/>
        <v>0</v>
      </c>
      <c r="D28">
        <f t="shared" si="5"/>
        <v>0</v>
      </c>
      <c r="E28">
        <f t="shared" si="6"/>
        <v>0</v>
      </c>
      <c r="F28">
        <f t="shared" si="7"/>
        <v>0</v>
      </c>
      <c r="G28">
        <f t="shared" si="8"/>
        <v>0</v>
      </c>
      <c r="H28" t="e">
        <f t="shared" si="8"/>
        <v>#NAME?</v>
      </c>
      <c r="I28">
        <f t="shared" si="8"/>
        <v>0</v>
      </c>
      <c r="J28">
        <f t="shared" si="8"/>
        <v>0</v>
      </c>
      <c r="M28" s="3" t="s">
        <v>167</v>
      </c>
      <c r="N28" t="str">
        <f>D4*1000000000000&amp;" pF"</f>
        <v>68 pF</v>
      </c>
      <c r="O28">
        <f>D4*1000000000000</f>
        <v>68</v>
      </c>
      <c r="P28" s="112" t="s">
        <v>30</v>
      </c>
    </row>
    <row r="29" spans="1:16" ht="13.8" x14ac:dyDescent="0.3">
      <c r="A29">
        <v>39</v>
      </c>
      <c r="B29">
        <f t="shared" si="3"/>
        <v>0</v>
      </c>
      <c r="C29">
        <f t="shared" si="4"/>
        <v>0</v>
      </c>
      <c r="D29">
        <f t="shared" si="5"/>
        <v>0</v>
      </c>
      <c r="E29">
        <f t="shared" si="6"/>
        <v>0</v>
      </c>
      <c r="F29">
        <f t="shared" si="7"/>
        <v>0</v>
      </c>
      <c r="G29">
        <f t="shared" si="8"/>
        <v>0</v>
      </c>
      <c r="H29" t="e">
        <f t="shared" si="8"/>
        <v>#NAME?</v>
      </c>
      <c r="I29">
        <f t="shared" si="8"/>
        <v>0</v>
      </c>
      <c r="J29">
        <f t="shared" si="8"/>
        <v>0</v>
      </c>
      <c r="M29" s="3"/>
      <c r="P29" s="45"/>
    </row>
    <row r="30" spans="1:16" ht="13.8" x14ac:dyDescent="0.3">
      <c r="A30">
        <v>47</v>
      </c>
      <c r="B30">
        <f t="shared" si="3"/>
        <v>0</v>
      </c>
      <c r="C30">
        <f t="shared" si="4"/>
        <v>0</v>
      </c>
      <c r="D30">
        <f t="shared" si="5"/>
        <v>0</v>
      </c>
      <c r="E30">
        <f t="shared" si="6"/>
        <v>0</v>
      </c>
      <c r="F30">
        <f t="shared" si="7"/>
        <v>0</v>
      </c>
      <c r="G30">
        <f t="shared" si="8"/>
        <v>0</v>
      </c>
      <c r="H30" t="e">
        <f t="shared" si="8"/>
        <v>#NAME?</v>
      </c>
      <c r="I30">
        <f t="shared" si="8"/>
        <v>0</v>
      </c>
      <c r="J30">
        <f t="shared" si="8"/>
        <v>56</v>
      </c>
      <c r="M30" s="112" t="s">
        <v>699</v>
      </c>
      <c r="N30" t="str">
        <f>O7/1000&amp;" kΩ"</f>
        <v>12.1 kΩ</v>
      </c>
      <c r="O30">
        <f>O7/1000</f>
        <v>12.1</v>
      </c>
      <c r="P30" s="45" t="s">
        <v>237</v>
      </c>
    </row>
    <row r="31" spans="1:16" x14ac:dyDescent="0.25">
      <c r="A31">
        <v>56</v>
      </c>
      <c r="B31">
        <f t="shared" si="3"/>
        <v>0</v>
      </c>
      <c r="C31">
        <f t="shared" si="4"/>
        <v>0</v>
      </c>
      <c r="D31">
        <f t="shared" si="5"/>
        <v>0</v>
      </c>
      <c r="E31">
        <f t="shared" si="6"/>
        <v>0</v>
      </c>
      <c r="F31">
        <f t="shared" si="7"/>
        <v>0</v>
      </c>
      <c r="G31">
        <f t="shared" si="8"/>
        <v>0</v>
      </c>
      <c r="H31" t="e">
        <f t="shared" si="8"/>
        <v>#NAME?</v>
      </c>
      <c r="I31">
        <f t="shared" si="8"/>
        <v>0</v>
      </c>
      <c r="J31">
        <f t="shared" si="8"/>
        <v>0</v>
      </c>
      <c r="M31" s="112" t="s">
        <v>700</v>
      </c>
      <c r="N31" t="str">
        <f>I4*1000000000&amp;" nF"</f>
        <v>3.9 nF</v>
      </c>
      <c r="O31">
        <f>I4*1000000000</f>
        <v>3.9000000000000004</v>
      </c>
      <c r="P31" s="112" t="s">
        <v>141</v>
      </c>
    </row>
    <row r="32" spans="1:16" x14ac:dyDescent="0.25">
      <c r="A32">
        <v>68</v>
      </c>
      <c r="B32">
        <f t="shared" si="3"/>
        <v>0</v>
      </c>
      <c r="C32">
        <f t="shared" si="4"/>
        <v>0</v>
      </c>
      <c r="D32">
        <f t="shared" si="5"/>
        <v>68</v>
      </c>
      <c r="E32">
        <f t="shared" si="6"/>
        <v>0</v>
      </c>
      <c r="F32">
        <f t="shared" si="7"/>
        <v>0</v>
      </c>
      <c r="G32">
        <f t="shared" si="8"/>
        <v>0</v>
      </c>
      <c r="H32" t="e">
        <f t="shared" si="8"/>
        <v>#NAME?</v>
      </c>
      <c r="I32">
        <f t="shared" si="8"/>
        <v>0</v>
      </c>
      <c r="J32">
        <f t="shared" si="8"/>
        <v>0</v>
      </c>
      <c r="M32" s="112" t="s">
        <v>701</v>
      </c>
      <c r="N32" t="str">
        <f>J4*1000000000000&amp;" pF"</f>
        <v>56 pF</v>
      </c>
      <c r="O32">
        <f>J4*1000000000000</f>
        <v>56</v>
      </c>
      <c r="P32" s="112" t="s">
        <v>30</v>
      </c>
    </row>
    <row r="33" spans="1:10" x14ac:dyDescent="0.25">
      <c r="A33">
        <v>82</v>
      </c>
      <c r="B33">
        <f t="shared" si="3"/>
        <v>0</v>
      </c>
      <c r="C33">
        <f t="shared" si="4"/>
        <v>0</v>
      </c>
      <c r="D33">
        <f t="shared" si="5"/>
        <v>0</v>
      </c>
      <c r="E33">
        <f t="shared" si="6"/>
        <v>0</v>
      </c>
      <c r="F33">
        <f t="shared" si="7"/>
        <v>0</v>
      </c>
      <c r="G33">
        <f t="shared" si="8"/>
        <v>0</v>
      </c>
      <c r="H33" t="e">
        <f t="shared" si="8"/>
        <v>#NAME?</v>
      </c>
      <c r="I33">
        <f t="shared" si="8"/>
        <v>0</v>
      </c>
      <c r="J33">
        <f t="shared" si="8"/>
        <v>0</v>
      </c>
    </row>
    <row r="34" spans="1:10" x14ac:dyDescent="0.25">
      <c r="A34">
        <f>A22*10</f>
        <v>100</v>
      </c>
      <c r="B34">
        <f t="shared" si="3"/>
        <v>0</v>
      </c>
      <c r="C34">
        <f t="shared" si="4"/>
        <v>0</v>
      </c>
      <c r="D34">
        <f t="shared" si="5"/>
        <v>0</v>
      </c>
      <c r="E34">
        <f t="shared" si="6"/>
        <v>0</v>
      </c>
      <c r="F34">
        <f t="shared" si="7"/>
        <v>0</v>
      </c>
      <c r="G34">
        <f t="shared" si="8"/>
        <v>0</v>
      </c>
      <c r="H34" t="e">
        <f t="shared" si="8"/>
        <v>#NAME?</v>
      </c>
      <c r="I34">
        <f t="shared" si="8"/>
        <v>0</v>
      </c>
      <c r="J34">
        <f t="shared" si="8"/>
        <v>0</v>
      </c>
    </row>
    <row r="35" spans="1:10" x14ac:dyDescent="0.25">
      <c r="A35">
        <f t="shared" ref="A35:A98" si="12">A23*10</f>
        <v>120</v>
      </c>
      <c r="B35">
        <f t="shared" si="3"/>
        <v>0</v>
      </c>
      <c r="C35">
        <f t="shared" si="4"/>
        <v>0</v>
      </c>
      <c r="D35">
        <f t="shared" si="5"/>
        <v>0</v>
      </c>
      <c r="E35">
        <f t="shared" si="6"/>
        <v>0</v>
      </c>
      <c r="F35">
        <f t="shared" si="7"/>
        <v>0</v>
      </c>
      <c r="G35">
        <f t="shared" si="8"/>
        <v>0</v>
      </c>
      <c r="H35" t="e">
        <f t="shared" si="8"/>
        <v>#NAME?</v>
      </c>
      <c r="I35">
        <f t="shared" si="8"/>
        <v>0</v>
      </c>
      <c r="J35">
        <f t="shared" si="8"/>
        <v>0</v>
      </c>
    </row>
    <row r="36" spans="1:10" x14ac:dyDescent="0.25">
      <c r="A36">
        <f t="shared" si="12"/>
        <v>150</v>
      </c>
      <c r="B36">
        <f t="shared" si="3"/>
        <v>0</v>
      </c>
      <c r="C36">
        <f t="shared" si="4"/>
        <v>0</v>
      </c>
      <c r="D36">
        <f t="shared" si="5"/>
        <v>0</v>
      </c>
      <c r="E36">
        <f t="shared" si="6"/>
        <v>0</v>
      </c>
      <c r="F36">
        <f t="shared" si="7"/>
        <v>0</v>
      </c>
      <c r="G36">
        <f t="shared" si="8"/>
        <v>0</v>
      </c>
      <c r="H36" t="e">
        <f t="shared" si="8"/>
        <v>#NAME?</v>
      </c>
      <c r="I36">
        <f t="shared" si="8"/>
        <v>0</v>
      </c>
      <c r="J36">
        <f t="shared" si="8"/>
        <v>0</v>
      </c>
    </row>
    <row r="37" spans="1:10" x14ac:dyDescent="0.25">
      <c r="A37">
        <f t="shared" si="12"/>
        <v>180</v>
      </c>
      <c r="B37">
        <f t="shared" si="3"/>
        <v>0</v>
      </c>
      <c r="C37">
        <f t="shared" si="4"/>
        <v>0</v>
      </c>
      <c r="D37">
        <f t="shared" si="5"/>
        <v>0</v>
      </c>
      <c r="E37">
        <f t="shared" si="6"/>
        <v>0</v>
      </c>
      <c r="F37">
        <f t="shared" si="7"/>
        <v>0</v>
      </c>
      <c r="G37">
        <f t="shared" si="8"/>
        <v>0</v>
      </c>
      <c r="H37" t="e">
        <f t="shared" si="8"/>
        <v>#NAME?</v>
      </c>
      <c r="I37">
        <f t="shared" si="8"/>
        <v>0</v>
      </c>
      <c r="J37">
        <f t="shared" si="8"/>
        <v>0</v>
      </c>
    </row>
    <row r="38" spans="1:10" x14ac:dyDescent="0.25">
      <c r="A38">
        <f t="shared" si="12"/>
        <v>220</v>
      </c>
      <c r="B38">
        <f t="shared" si="3"/>
        <v>0</v>
      </c>
      <c r="C38">
        <f t="shared" si="4"/>
        <v>0</v>
      </c>
      <c r="D38">
        <f t="shared" si="5"/>
        <v>0</v>
      </c>
      <c r="E38">
        <f t="shared" si="6"/>
        <v>0</v>
      </c>
      <c r="F38">
        <f t="shared" si="7"/>
        <v>0</v>
      </c>
      <c r="G38">
        <f t="shared" si="8"/>
        <v>0</v>
      </c>
      <c r="H38" t="e">
        <f t="shared" si="8"/>
        <v>#NAME?</v>
      </c>
      <c r="I38">
        <f t="shared" si="8"/>
        <v>0</v>
      </c>
      <c r="J38">
        <f t="shared" si="8"/>
        <v>0</v>
      </c>
    </row>
    <row r="39" spans="1:10" x14ac:dyDescent="0.25">
      <c r="A39">
        <f t="shared" si="12"/>
        <v>270</v>
      </c>
      <c r="B39">
        <f t="shared" si="3"/>
        <v>0</v>
      </c>
      <c r="C39">
        <f t="shared" ref="C39:C70" si="13">IF(IF((C$3*10^12-$A40)*(C$3*10^12-$A39)*-1&lt;0,0,1)*IF(ABS(C$3*10^12-$A40)&gt;(C$3*10^12-$A39),$A39,$A40)=C40,0,IF((C$3*10^12-$A40)*(C$3*10^12-$A39)*-1&lt;0,0,1)*IF(ABS(C$3*10^12-$A40)&gt;(C$3*10^12-$A39),$A39,$A40))</f>
        <v>0</v>
      </c>
      <c r="D39">
        <f t="shared" si="5"/>
        <v>0</v>
      </c>
      <c r="E39">
        <f t="shared" si="6"/>
        <v>0</v>
      </c>
      <c r="F39">
        <f t="shared" si="7"/>
        <v>0</v>
      </c>
      <c r="G39">
        <f t="shared" si="8"/>
        <v>0</v>
      </c>
      <c r="H39" t="e">
        <f t="shared" si="8"/>
        <v>#NAME?</v>
      </c>
      <c r="I39">
        <f t="shared" si="8"/>
        <v>0</v>
      </c>
      <c r="J39">
        <f t="shared" si="8"/>
        <v>0</v>
      </c>
    </row>
    <row r="40" spans="1:10" x14ac:dyDescent="0.25">
      <c r="A40">
        <f t="shared" si="12"/>
        <v>330</v>
      </c>
      <c r="B40">
        <f t="shared" si="3"/>
        <v>0</v>
      </c>
      <c r="C40">
        <f t="shared" si="13"/>
        <v>0</v>
      </c>
      <c r="D40">
        <f t="shared" si="5"/>
        <v>0</v>
      </c>
      <c r="E40">
        <f t="shared" si="6"/>
        <v>0</v>
      </c>
      <c r="F40">
        <f t="shared" si="7"/>
        <v>0</v>
      </c>
      <c r="G40">
        <f t="shared" si="8"/>
        <v>0</v>
      </c>
      <c r="H40" t="e">
        <f t="shared" si="8"/>
        <v>#NAME?</v>
      </c>
      <c r="I40">
        <f t="shared" si="8"/>
        <v>0</v>
      </c>
      <c r="J40">
        <f t="shared" si="8"/>
        <v>0</v>
      </c>
    </row>
    <row r="41" spans="1:10" x14ac:dyDescent="0.25">
      <c r="A41">
        <f t="shared" si="12"/>
        <v>390</v>
      </c>
      <c r="B41">
        <f t="shared" si="3"/>
        <v>0</v>
      </c>
      <c r="C41">
        <f t="shared" si="13"/>
        <v>0</v>
      </c>
      <c r="D41">
        <f t="shared" si="5"/>
        <v>0</v>
      </c>
      <c r="E41">
        <f t="shared" si="6"/>
        <v>0</v>
      </c>
      <c r="F41">
        <f t="shared" si="7"/>
        <v>0</v>
      </c>
      <c r="G41">
        <f t="shared" si="8"/>
        <v>0</v>
      </c>
      <c r="H41" t="e">
        <f t="shared" si="8"/>
        <v>#NAME?</v>
      </c>
      <c r="I41">
        <f t="shared" si="8"/>
        <v>0</v>
      </c>
      <c r="J41">
        <f t="shared" si="8"/>
        <v>0</v>
      </c>
    </row>
    <row r="42" spans="1:10" x14ac:dyDescent="0.25">
      <c r="A42">
        <f t="shared" si="12"/>
        <v>470</v>
      </c>
      <c r="B42">
        <f t="shared" si="3"/>
        <v>0</v>
      </c>
      <c r="C42">
        <f t="shared" si="13"/>
        <v>0</v>
      </c>
      <c r="D42">
        <f t="shared" si="5"/>
        <v>0</v>
      </c>
      <c r="E42">
        <f t="shared" si="6"/>
        <v>0</v>
      </c>
      <c r="F42">
        <f t="shared" si="7"/>
        <v>0</v>
      </c>
      <c r="G42">
        <f t="shared" si="8"/>
        <v>0</v>
      </c>
      <c r="H42" t="e">
        <f t="shared" si="8"/>
        <v>#NAME?</v>
      </c>
      <c r="I42">
        <f t="shared" si="8"/>
        <v>0</v>
      </c>
      <c r="J42">
        <f t="shared" si="8"/>
        <v>0</v>
      </c>
    </row>
    <row r="43" spans="1:10" x14ac:dyDescent="0.25">
      <c r="A43">
        <f t="shared" si="12"/>
        <v>560</v>
      </c>
      <c r="B43">
        <f t="shared" si="3"/>
        <v>0</v>
      </c>
      <c r="C43">
        <f t="shared" si="13"/>
        <v>0</v>
      </c>
      <c r="D43">
        <f t="shared" si="5"/>
        <v>0</v>
      </c>
      <c r="E43">
        <f t="shared" si="6"/>
        <v>0</v>
      </c>
      <c r="F43">
        <f t="shared" si="7"/>
        <v>0</v>
      </c>
      <c r="G43">
        <f t="shared" si="8"/>
        <v>0</v>
      </c>
      <c r="H43" t="e">
        <f t="shared" si="8"/>
        <v>#NAME?</v>
      </c>
      <c r="I43">
        <f t="shared" si="8"/>
        <v>0</v>
      </c>
      <c r="J43">
        <f t="shared" si="8"/>
        <v>0</v>
      </c>
    </row>
    <row r="44" spans="1:10" x14ac:dyDescent="0.25">
      <c r="A44">
        <f t="shared" si="12"/>
        <v>680</v>
      </c>
      <c r="B44">
        <f t="shared" si="3"/>
        <v>0</v>
      </c>
      <c r="C44">
        <f t="shared" si="13"/>
        <v>0</v>
      </c>
      <c r="D44">
        <f t="shared" si="5"/>
        <v>0</v>
      </c>
      <c r="E44">
        <f t="shared" si="6"/>
        <v>0</v>
      </c>
      <c r="F44">
        <f t="shared" si="7"/>
        <v>0</v>
      </c>
      <c r="G44">
        <f t="shared" si="8"/>
        <v>0</v>
      </c>
      <c r="H44" t="e">
        <f t="shared" si="8"/>
        <v>#NAME?</v>
      </c>
      <c r="I44">
        <f t="shared" si="8"/>
        <v>0</v>
      </c>
      <c r="J44">
        <f t="shared" si="8"/>
        <v>0</v>
      </c>
    </row>
    <row r="45" spans="1:10" x14ac:dyDescent="0.25">
      <c r="A45">
        <f>A33*10</f>
        <v>820</v>
      </c>
      <c r="B45">
        <f t="shared" si="3"/>
        <v>0</v>
      </c>
      <c r="C45">
        <f t="shared" si="13"/>
        <v>0</v>
      </c>
      <c r="D45">
        <f t="shared" si="5"/>
        <v>0</v>
      </c>
      <c r="E45">
        <f t="shared" si="6"/>
        <v>0</v>
      </c>
      <c r="F45">
        <f t="shared" si="7"/>
        <v>0</v>
      </c>
      <c r="G45">
        <f t="shared" si="8"/>
        <v>0</v>
      </c>
      <c r="H45" t="e">
        <f t="shared" si="8"/>
        <v>#NAME?</v>
      </c>
      <c r="I45">
        <f t="shared" si="8"/>
        <v>0</v>
      </c>
      <c r="J45">
        <f t="shared" si="8"/>
        <v>0</v>
      </c>
    </row>
    <row r="46" spans="1:10" x14ac:dyDescent="0.25">
      <c r="A46">
        <f t="shared" si="12"/>
        <v>1000</v>
      </c>
      <c r="B46">
        <f t="shared" si="3"/>
        <v>0</v>
      </c>
      <c r="C46">
        <f t="shared" si="13"/>
        <v>0</v>
      </c>
      <c r="D46">
        <f t="shared" si="5"/>
        <v>0</v>
      </c>
      <c r="E46">
        <f t="shared" si="6"/>
        <v>0</v>
      </c>
      <c r="F46">
        <f t="shared" si="7"/>
        <v>0</v>
      </c>
      <c r="G46">
        <f t="shared" si="8"/>
        <v>0</v>
      </c>
      <c r="H46" t="e">
        <f t="shared" si="8"/>
        <v>#NAME?</v>
      </c>
      <c r="I46">
        <f t="shared" si="8"/>
        <v>0</v>
      </c>
      <c r="J46">
        <f t="shared" si="8"/>
        <v>0</v>
      </c>
    </row>
    <row r="47" spans="1:10" x14ac:dyDescent="0.25">
      <c r="A47">
        <f t="shared" si="12"/>
        <v>1200</v>
      </c>
      <c r="B47">
        <f t="shared" si="3"/>
        <v>0</v>
      </c>
      <c r="C47">
        <f t="shared" si="13"/>
        <v>0</v>
      </c>
      <c r="D47">
        <f t="shared" si="5"/>
        <v>0</v>
      </c>
      <c r="E47">
        <f t="shared" si="6"/>
        <v>0</v>
      </c>
      <c r="F47">
        <f t="shared" si="7"/>
        <v>0</v>
      </c>
      <c r="G47">
        <f t="shared" si="8"/>
        <v>0</v>
      </c>
      <c r="H47" t="e">
        <f t="shared" si="8"/>
        <v>#NAME?</v>
      </c>
      <c r="I47">
        <f t="shared" si="8"/>
        <v>0</v>
      </c>
      <c r="J47">
        <f t="shared" si="8"/>
        <v>0</v>
      </c>
    </row>
    <row r="48" spans="1:10" x14ac:dyDescent="0.25">
      <c r="A48">
        <f t="shared" si="12"/>
        <v>1500</v>
      </c>
      <c r="B48">
        <f t="shared" si="3"/>
        <v>0</v>
      </c>
      <c r="C48">
        <f t="shared" si="13"/>
        <v>0</v>
      </c>
      <c r="D48">
        <f t="shared" si="5"/>
        <v>0</v>
      </c>
      <c r="E48">
        <f t="shared" si="6"/>
        <v>0</v>
      </c>
      <c r="F48">
        <f t="shared" si="7"/>
        <v>0</v>
      </c>
      <c r="G48">
        <f t="shared" si="8"/>
        <v>0</v>
      </c>
      <c r="H48" t="e">
        <f t="shared" si="8"/>
        <v>#NAME?</v>
      </c>
      <c r="I48">
        <f t="shared" si="8"/>
        <v>0</v>
      </c>
      <c r="J48">
        <f t="shared" si="8"/>
        <v>0</v>
      </c>
    </row>
    <row r="49" spans="1:10" x14ac:dyDescent="0.25">
      <c r="A49">
        <f t="shared" si="12"/>
        <v>1800</v>
      </c>
      <c r="B49">
        <f t="shared" si="3"/>
        <v>0</v>
      </c>
      <c r="C49">
        <f t="shared" si="13"/>
        <v>0</v>
      </c>
      <c r="D49">
        <f t="shared" si="5"/>
        <v>0</v>
      </c>
      <c r="E49">
        <f t="shared" si="6"/>
        <v>0</v>
      </c>
      <c r="F49">
        <f t="shared" si="7"/>
        <v>0</v>
      </c>
      <c r="G49">
        <f t="shared" si="8"/>
        <v>0</v>
      </c>
      <c r="H49" t="e">
        <f t="shared" si="8"/>
        <v>#NAME?</v>
      </c>
      <c r="I49">
        <f t="shared" si="8"/>
        <v>0</v>
      </c>
      <c r="J49">
        <f t="shared" si="8"/>
        <v>0</v>
      </c>
    </row>
    <row r="50" spans="1:10" x14ac:dyDescent="0.25">
      <c r="A50">
        <f t="shared" si="12"/>
        <v>2200</v>
      </c>
      <c r="B50">
        <f t="shared" si="3"/>
        <v>0</v>
      </c>
      <c r="C50">
        <f t="shared" si="13"/>
        <v>0</v>
      </c>
      <c r="D50">
        <f t="shared" si="5"/>
        <v>0</v>
      </c>
      <c r="E50">
        <f t="shared" si="6"/>
        <v>0</v>
      </c>
      <c r="F50">
        <f t="shared" si="7"/>
        <v>0</v>
      </c>
      <c r="G50">
        <f t="shared" si="8"/>
        <v>0</v>
      </c>
      <c r="H50" t="e">
        <f t="shared" si="8"/>
        <v>#NAME?</v>
      </c>
      <c r="I50">
        <f t="shared" si="8"/>
        <v>0</v>
      </c>
      <c r="J50">
        <f t="shared" si="8"/>
        <v>0</v>
      </c>
    </row>
    <row r="51" spans="1:10" x14ac:dyDescent="0.25">
      <c r="A51">
        <f t="shared" si="12"/>
        <v>2700</v>
      </c>
      <c r="B51">
        <f t="shared" si="3"/>
        <v>0</v>
      </c>
      <c r="C51">
        <f t="shared" si="13"/>
        <v>0</v>
      </c>
      <c r="D51">
        <f t="shared" si="5"/>
        <v>0</v>
      </c>
      <c r="E51">
        <f t="shared" si="6"/>
        <v>0</v>
      </c>
      <c r="F51">
        <f t="shared" si="7"/>
        <v>0</v>
      </c>
      <c r="G51">
        <f t="shared" si="8"/>
        <v>0</v>
      </c>
      <c r="H51" t="e">
        <f t="shared" si="8"/>
        <v>#NAME?</v>
      </c>
      <c r="I51">
        <f t="shared" si="8"/>
        <v>0</v>
      </c>
      <c r="J51">
        <f t="shared" si="8"/>
        <v>0</v>
      </c>
    </row>
    <row r="52" spans="1:10" x14ac:dyDescent="0.25">
      <c r="A52">
        <f t="shared" si="12"/>
        <v>3300</v>
      </c>
      <c r="B52">
        <f t="shared" si="3"/>
        <v>0</v>
      </c>
      <c r="C52">
        <f t="shared" si="13"/>
        <v>0</v>
      </c>
      <c r="D52">
        <f t="shared" si="5"/>
        <v>0</v>
      </c>
      <c r="E52">
        <f t="shared" si="6"/>
        <v>0</v>
      </c>
      <c r="F52">
        <f t="shared" si="7"/>
        <v>0</v>
      </c>
      <c r="G52">
        <f t="shared" si="8"/>
        <v>0</v>
      </c>
      <c r="H52" t="e">
        <f t="shared" si="8"/>
        <v>#NAME?</v>
      </c>
      <c r="I52">
        <f t="shared" si="8"/>
        <v>3900</v>
      </c>
      <c r="J52">
        <f t="shared" si="8"/>
        <v>0</v>
      </c>
    </row>
    <row r="53" spans="1:10" x14ac:dyDescent="0.25">
      <c r="A53">
        <f t="shared" si="12"/>
        <v>3900</v>
      </c>
      <c r="B53">
        <f t="shared" si="3"/>
        <v>0</v>
      </c>
      <c r="C53">
        <f t="shared" si="13"/>
        <v>4700</v>
      </c>
      <c r="D53">
        <f t="shared" si="5"/>
        <v>0</v>
      </c>
      <c r="E53">
        <f t="shared" si="6"/>
        <v>0</v>
      </c>
      <c r="F53">
        <f t="shared" si="7"/>
        <v>0</v>
      </c>
      <c r="G53">
        <f t="shared" si="8"/>
        <v>0</v>
      </c>
      <c r="H53" t="e">
        <f t="shared" si="8"/>
        <v>#NAME?</v>
      </c>
      <c r="I53">
        <f t="shared" si="8"/>
        <v>0</v>
      </c>
      <c r="J53">
        <f t="shared" si="8"/>
        <v>0</v>
      </c>
    </row>
    <row r="54" spans="1:10" x14ac:dyDescent="0.25">
      <c r="A54">
        <f t="shared" si="12"/>
        <v>4700</v>
      </c>
      <c r="B54">
        <f t="shared" si="3"/>
        <v>0</v>
      </c>
      <c r="C54">
        <f t="shared" si="13"/>
        <v>0</v>
      </c>
      <c r="D54">
        <f t="shared" si="5"/>
        <v>0</v>
      </c>
      <c r="E54">
        <f t="shared" si="6"/>
        <v>0</v>
      </c>
      <c r="F54">
        <f t="shared" si="7"/>
        <v>0</v>
      </c>
      <c r="G54">
        <f t="shared" si="8"/>
        <v>0</v>
      </c>
      <c r="H54" t="e">
        <f t="shared" si="8"/>
        <v>#NAME?</v>
      </c>
      <c r="I54">
        <f t="shared" si="8"/>
        <v>0</v>
      </c>
      <c r="J54">
        <f t="shared" si="8"/>
        <v>0</v>
      </c>
    </row>
    <row r="55" spans="1:10" x14ac:dyDescent="0.25">
      <c r="A55">
        <f t="shared" si="12"/>
        <v>5600</v>
      </c>
      <c r="B55">
        <f t="shared" si="3"/>
        <v>0</v>
      </c>
      <c r="C55">
        <f t="shared" si="13"/>
        <v>0</v>
      </c>
      <c r="D55">
        <f t="shared" si="5"/>
        <v>0</v>
      </c>
      <c r="E55">
        <f t="shared" si="6"/>
        <v>0</v>
      </c>
      <c r="F55">
        <f t="shared" si="7"/>
        <v>0</v>
      </c>
      <c r="G55">
        <f t="shared" si="8"/>
        <v>0</v>
      </c>
      <c r="H55" t="e">
        <f t="shared" si="8"/>
        <v>#NAME?</v>
      </c>
      <c r="I55">
        <f t="shared" si="8"/>
        <v>0</v>
      </c>
      <c r="J55">
        <f t="shared" si="8"/>
        <v>0</v>
      </c>
    </row>
    <row r="56" spans="1:10" x14ac:dyDescent="0.25">
      <c r="A56">
        <f t="shared" si="12"/>
        <v>6800</v>
      </c>
      <c r="B56">
        <f t="shared" si="3"/>
        <v>0</v>
      </c>
      <c r="C56">
        <f t="shared" si="13"/>
        <v>0</v>
      </c>
      <c r="D56">
        <f t="shared" si="5"/>
        <v>0</v>
      </c>
      <c r="E56">
        <f t="shared" si="6"/>
        <v>0</v>
      </c>
      <c r="F56">
        <f t="shared" si="7"/>
        <v>0</v>
      </c>
      <c r="G56">
        <f t="shared" si="8"/>
        <v>0</v>
      </c>
      <c r="H56" t="e">
        <f t="shared" si="8"/>
        <v>#NAME?</v>
      </c>
      <c r="I56">
        <f t="shared" si="8"/>
        <v>0</v>
      </c>
      <c r="J56">
        <f t="shared" si="8"/>
        <v>0</v>
      </c>
    </row>
    <row r="57" spans="1:10" x14ac:dyDescent="0.25">
      <c r="A57">
        <f t="shared" si="12"/>
        <v>8200</v>
      </c>
      <c r="B57">
        <f t="shared" si="3"/>
        <v>0</v>
      </c>
      <c r="C57">
        <f t="shared" si="13"/>
        <v>0</v>
      </c>
      <c r="D57">
        <f t="shared" si="5"/>
        <v>0</v>
      </c>
      <c r="E57">
        <f t="shared" si="6"/>
        <v>0</v>
      </c>
      <c r="F57">
        <f t="shared" si="7"/>
        <v>0</v>
      </c>
      <c r="G57">
        <f t="shared" si="8"/>
        <v>0</v>
      </c>
      <c r="H57" t="e">
        <f t="shared" si="8"/>
        <v>#NAME?</v>
      </c>
      <c r="I57">
        <f t="shared" si="8"/>
        <v>0</v>
      </c>
      <c r="J57">
        <f t="shared" si="8"/>
        <v>0</v>
      </c>
    </row>
    <row r="58" spans="1:10" x14ac:dyDescent="0.25">
      <c r="A58">
        <f t="shared" si="12"/>
        <v>10000</v>
      </c>
      <c r="B58">
        <f t="shared" si="3"/>
        <v>0</v>
      </c>
      <c r="C58">
        <f t="shared" si="13"/>
        <v>0</v>
      </c>
      <c r="D58">
        <f t="shared" si="5"/>
        <v>0</v>
      </c>
      <c r="E58">
        <f t="shared" si="6"/>
        <v>0</v>
      </c>
      <c r="F58">
        <f t="shared" si="7"/>
        <v>0</v>
      </c>
      <c r="G58">
        <f t="shared" si="8"/>
        <v>0</v>
      </c>
      <c r="H58" t="e">
        <f t="shared" si="8"/>
        <v>#NAME?</v>
      </c>
      <c r="I58">
        <f t="shared" si="8"/>
        <v>0</v>
      </c>
      <c r="J58">
        <f t="shared" si="8"/>
        <v>0</v>
      </c>
    </row>
    <row r="59" spans="1:10" x14ac:dyDescent="0.25">
      <c r="A59">
        <f t="shared" si="12"/>
        <v>12000</v>
      </c>
      <c r="B59">
        <f t="shared" si="3"/>
        <v>0</v>
      </c>
      <c r="C59">
        <f t="shared" si="13"/>
        <v>0</v>
      </c>
      <c r="D59">
        <f t="shared" si="5"/>
        <v>0</v>
      </c>
      <c r="E59">
        <f t="shared" si="6"/>
        <v>0</v>
      </c>
      <c r="F59">
        <f t="shared" si="7"/>
        <v>0</v>
      </c>
      <c r="G59">
        <f t="shared" si="8"/>
        <v>0</v>
      </c>
      <c r="H59" t="e">
        <f t="shared" si="8"/>
        <v>#NAME?</v>
      </c>
      <c r="I59">
        <f t="shared" si="8"/>
        <v>0</v>
      </c>
      <c r="J59">
        <f t="shared" si="8"/>
        <v>0</v>
      </c>
    </row>
    <row r="60" spans="1:10" x14ac:dyDescent="0.25">
      <c r="A60">
        <f t="shared" si="12"/>
        <v>15000</v>
      </c>
      <c r="B60">
        <f t="shared" si="3"/>
        <v>0</v>
      </c>
      <c r="C60">
        <f t="shared" si="13"/>
        <v>0</v>
      </c>
      <c r="D60">
        <f t="shared" si="5"/>
        <v>0</v>
      </c>
      <c r="E60">
        <f t="shared" si="6"/>
        <v>0</v>
      </c>
      <c r="F60">
        <f t="shared" si="7"/>
        <v>0</v>
      </c>
      <c r="G60">
        <f t="shared" si="8"/>
        <v>0</v>
      </c>
      <c r="H60" t="e">
        <f t="shared" si="8"/>
        <v>#NAME?</v>
      </c>
      <c r="I60">
        <f t="shared" si="8"/>
        <v>0</v>
      </c>
      <c r="J60">
        <f t="shared" si="8"/>
        <v>0</v>
      </c>
    </row>
    <row r="61" spans="1:10" x14ac:dyDescent="0.25">
      <c r="A61">
        <f t="shared" si="12"/>
        <v>18000</v>
      </c>
      <c r="B61">
        <f t="shared" si="3"/>
        <v>0</v>
      </c>
      <c r="C61">
        <f t="shared" si="13"/>
        <v>0</v>
      </c>
      <c r="D61">
        <f t="shared" si="5"/>
        <v>0</v>
      </c>
      <c r="E61">
        <f t="shared" si="6"/>
        <v>0</v>
      </c>
      <c r="F61">
        <f t="shared" si="7"/>
        <v>0</v>
      </c>
      <c r="G61">
        <f t="shared" si="8"/>
        <v>0</v>
      </c>
      <c r="H61" t="e">
        <f t="shared" si="8"/>
        <v>#NAME?</v>
      </c>
      <c r="I61">
        <f t="shared" si="8"/>
        <v>0</v>
      </c>
      <c r="J61">
        <f t="shared" si="8"/>
        <v>0</v>
      </c>
    </row>
    <row r="62" spans="1:10" x14ac:dyDescent="0.25">
      <c r="A62">
        <f t="shared" si="12"/>
        <v>22000</v>
      </c>
      <c r="B62">
        <f t="shared" si="3"/>
        <v>0</v>
      </c>
      <c r="C62">
        <f t="shared" si="13"/>
        <v>0</v>
      </c>
      <c r="D62">
        <f t="shared" si="5"/>
        <v>0</v>
      </c>
      <c r="E62">
        <f t="shared" si="6"/>
        <v>0</v>
      </c>
      <c r="F62">
        <f t="shared" si="7"/>
        <v>0</v>
      </c>
      <c r="G62">
        <f t="shared" si="8"/>
        <v>0</v>
      </c>
      <c r="H62" t="e">
        <f t="shared" si="8"/>
        <v>#NAME?</v>
      </c>
      <c r="I62">
        <f t="shared" si="8"/>
        <v>0</v>
      </c>
      <c r="J62">
        <f t="shared" si="8"/>
        <v>0</v>
      </c>
    </row>
    <row r="63" spans="1:10" x14ac:dyDescent="0.25">
      <c r="A63">
        <f t="shared" si="12"/>
        <v>27000</v>
      </c>
      <c r="B63">
        <f t="shared" si="3"/>
        <v>0</v>
      </c>
      <c r="C63">
        <f t="shared" si="13"/>
        <v>0</v>
      </c>
      <c r="D63">
        <f t="shared" si="5"/>
        <v>0</v>
      </c>
      <c r="E63">
        <f t="shared" si="6"/>
        <v>0</v>
      </c>
      <c r="F63">
        <f t="shared" si="7"/>
        <v>0</v>
      </c>
      <c r="G63">
        <f t="shared" si="8"/>
        <v>0</v>
      </c>
      <c r="H63" t="e">
        <f t="shared" si="8"/>
        <v>#NAME?</v>
      </c>
      <c r="I63">
        <f t="shared" si="8"/>
        <v>0</v>
      </c>
      <c r="J63">
        <f t="shared" si="8"/>
        <v>0</v>
      </c>
    </row>
    <row r="64" spans="1:10" x14ac:dyDescent="0.25">
      <c r="A64">
        <f t="shared" si="12"/>
        <v>33000</v>
      </c>
      <c r="B64">
        <f t="shared" si="3"/>
        <v>0</v>
      </c>
      <c r="C64">
        <f t="shared" si="13"/>
        <v>0</v>
      </c>
      <c r="D64">
        <f t="shared" si="5"/>
        <v>0</v>
      </c>
      <c r="E64">
        <f t="shared" si="6"/>
        <v>0</v>
      </c>
      <c r="F64">
        <f t="shared" si="7"/>
        <v>0</v>
      </c>
      <c r="G64">
        <f t="shared" si="8"/>
        <v>0</v>
      </c>
      <c r="H64" t="e">
        <f t="shared" si="8"/>
        <v>#NAME?</v>
      </c>
      <c r="I64">
        <f t="shared" si="8"/>
        <v>0</v>
      </c>
      <c r="J64">
        <f t="shared" si="8"/>
        <v>0</v>
      </c>
    </row>
    <row r="65" spans="1:10" x14ac:dyDescent="0.25">
      <c r="A65">
        <f t="shared" si="12"/>
        <v>39000</v>
      </c>
      <c r="B65">
        <f t="shared" si="3"/>
        <v>0</v>
      </c>
      <c r="C65">
        <f t="shared" si="13"/>
        <v>0</v>
      </c>
      <c r="D65">
        <f t="shared" si="5"/>
        <v>0</v>
      </c>
      <c r="E65">
        <f t="shared" si="6"/>
        <v>0</v>
      </c>
      <c r="F65">
        <f t="shared" si="7"/>
        <v>0</v>
      </c>
      <c r="G65">
        <f t="shared" si="8"/>
        <v>0</v>
      </c>
      <c r="H65" t="e">
        <f t="shared" si="8"/>
        <v>#NAME?</v>
      </c>
      <c r="I65">
        <f t="shared" si="8"/>
        <v>0</v>
      </c>
      <c r="J65">
        <f t="shared" si="8"/>
        <v>0</v>
      </c>
    </row>
    <row r="66" spans="1:10" x14ac:dyDescent="0.25">
      <c r="A66">
        <f t="shared" si="12"/>
        <v>47000</v>
      </c>
      <c r="B66">
        <f t="shared" si="3"/>
        <v>0</v>
      </c>
      <c r="C66">
        <f t="shared" si="13"/>
        <v>0</v>
      </c>
      <c r="D66">
        <f t="shared" si="5"/>
        <v>0</v>
      </c>
      <c r="E66">
        <f t="shared" si="6"/>
        <v>0</v>
      </c>
      <c r="F66">
        <f t="shared" si="7"/>
        <v>0</v>
      </c>
      <c r="G66">
        <f t="shared" si="8"/>
        <v>0</v>
      </c>
      <c r="H66" t="e">
        <f t="shared" si="8"/>
        <v>#NAME?</v>
      </c>
      <c r="I66">
        <f t="shared" si="8"/>
        <v>0</v>
      </c>
      <c r="J66">
        <f t="shared" si="8"/>
        <v>0</v>
      </c>
    </row>
    <row r="67" spans="1:10" x14ac:dyDescent="0.25">
      <c r="A67">
        <f t="shared" si="12"/>
        <v>56000</v>
      </c>
      <c r="B67">
        <f t="shared" si="3"/>
        <v>0</v>
      </c>
      <c r="C67">
        <f t="shared" si="13"/>
        <v>0</v>
      </c>
      <c r="D67">
        <f t="shared" si="5"/>
        <v>0</v>
      </c>
      <c r="E67">
        <f t="shared" si="6"/>
        <v>0</v>
      </c>
      <c r="F67">
        <f t="shared" si="7"/>
        <v>0</v>
      </c>
      <c r="G67">
        <f t="shared" si="8"/>
        <v>0</v>
      </c>
      <c r="H67" t="e">
        <f t="shared" si="8"/>
        <v>#NAME?</v>
      </c>
      <c r="I67">
        <f t="shared" si="8"/>
        <v>0</v>
      </c>
      <c r="J67">
        <f t="shared" si="8"/>
        <v>0</v>
      </c>
    </row>
    <row r="68" spans="1:10" x14ac:dyDescent="0.25">
      <c r="A68">
        <f t="shared" si="12"/>
        <v>68000</v>
      </c>
      <c r="B68">
        <f t="shared" si="3"/>
        <v>0</v>
      </c>
      <c r="C68">
        <f t="shared" si="13"/>
        <v>0</v>
      </c>
      <c r="D68">
        <f t="shared" si="5"/>
        <v>0</v>
      </c>
      <c r="E68">
        <f t="shared" si="6"/>
        <v>0</v>
      </c>
      <c r="F68">
        <f t="shared" si="7"/>
        <v>0</v>
      </c>
      <c r="G68">
        <f t="shared" si="8"/>
        <v>82000</v>
      </c>
      <c r="H68" t="e">
        <f t="shared" si="8"/>
        <v>#NAME?</v>
      </c>
      <c r="I68">
        <f t="shared" si="8"/>
        <v>0</v>
      </c>
      <c r="J68">
        <f t="shared" si="8"/>
        <v>0</v>
      </c>
    </row>
    <row r="69" spans="1:10" x14ac:dyDescent="0.25">
      <c r="A69">
        <f t="shared" si="12"/>
        <v>82000</v>
      </c>
      <c r="B69">
        <f t="shared" si="3"/>
        <v>0</v>
      </c>
      <c r="C69">
        <f t="shared" si="13"/>
        <v>0</v>
      </c>
      <c r="D69">
        <f t="shared" si="5"/>
        <v>0</v>
      </c>
      <c r="E69">
        <f t="shared" si="6"/>
        <v>0</v>
      </c>
      <c r="F69">
        <f t="shared" si="7"/>
        <v>0</v>
      </c>
      <c r="G69">
        <f t="shared" si="8"/>
        <v>0</v>
      </c>
      <c r="H69" t="e">
        <f t="shared" si="8"/>
        <v>#NAME?</v>
      </c>
      <c r="I69">
        <f t="shared" si="8"/>
        <v>0</v>
      </c>
      <c r="J69">
        <f t="shared" ref="J69:J132" si="14">IF(IF((J$3*10^12-$A70)*(J$3*10^12-$A69)*-1&lt;0,0,1)*IF(ABS(J$3*10^12-$A70)&gt;(J$3*10^12-$A69),$A69,$A70)=J70,0,IF((J$3*10^12-$A70)*(J$3*10^12-$A69)*-1&lt;0,0,1)*IF(ABS(J$3*10^12-$A70)&gt;(J$3*10^12-$A69),$A69,$A70))</f>
        <v>0</v>
      </c>
    </row>
    <row r="70" spans="1:10" x14ac:dyDescent="0.25">
      <c r="A70">
        <f t="shared" si="12"/>
        <v>100000</v>
      </c>
      <c r="B70">
        <f t="shared" si="3"/>
        <v>0</v>
      </c>
      <c r="C70">
        <f t="shared" si="13"/>
        <v>0</v>
      </c>
      <c r="D70">
        <f t="shared" ref="D70:I70" si="15">IF(IF((D$3*10^12-$A71)*(D$3*10^12-$A70)*-1&lt;0,0,1)*IF(ABS(D$3*10^12-$A71)&gt;(D$3*10^12-$A70),$A70,$A71)=D71,0,IF((D$3*10^12-$A71)*(D$3*10^12-$A70)*-1&lt;0,0,1)*IF(ABS(D$3*10^12-$A71)&gt;(D$3*10^12-$A70),$A70,$A71))</f>
        <v>0</v>
      </c>
      <c r="E70">
        <f t="shared" si="15"/>
        <v>0</v>
      </c>
      <c r="F70">
        <f t="shared" si="15"/>
        <v>0</v>
      </c>
      <c r="G70">
        <f t="shared" si="15"/>
        <v>0</v>
      </c>
      <c r="H70" t="e">
        <f t="shared" si="15"/>
        <v>#NAME?</v>
      </c>
      <c r="I70">
        <f t="shared" si="15"/>
        <v>0</v>
      </c>
      <c r="J70">
        <f t="shared" si="14"/>
        <v>0</v>
      </c>
    </row>
    <row r="71" spans="1:10" x14ac:dyDescent="0.25">
      <c r="A71">
        <f t="shared" si="12"/>
        <v>120000</v>
      </c>
      <c r="B71">
        <f t="shared" ref="B71:B134" si="16">IF(IF((B$3*10^12-$A72)*(B$3*10^12-$A71)*-1&lt;0,0,1)*IF(ABS(B$3*10^12-$A72)&gt;(B$3*10^12-$A71),$A71,$A72)=B72,0,IF((B$3*10^12-$A72)*(B$3*10^12-$A71)*-1&lt;0,0,1)*IF(ABS(B$3*10^12-$A72)&gt;(B$3*10^12-$A71),$A71,$A72))</f>
        <v>0</v>
      </c>
      <c r="C71">
        <f t="shared" ref="C71:E134" si="17">IF(IF((C$3*10^12-$A72)*(C$3*10^12-$A71)*-1&lt;0,0,1)*IF(ABS(C$3*10^12-$A72)&gt;(C$3*10^12-$A71),$A71,$A72)=C72,0,IF((C$3*10^12-$A72)*(C$3*10^12-$A71)*-1&lt;0,0,1)*IF(ABS(C$3*10^12-$A72)&gt;(C$3*10^12-$A71),$A71,$A72))</f>
        <v>0</v>
      </c>
      <c r="D71">
        <f t="shared" si="17"/>
        <v>0</v>
      </c>
      <c r="E71">
        <f t="shared" si="17"/>
        <v>0</v>
      </c>
      <c r="F71">
        <f t="shared" ref="F71:F102" si="18">IF(IF((F$3*10^12-$A72)*(F$3*10^12-$A71)*-1&lt;0,0,1)*IF(ABS(F$3*10^12-$A72)&gt;(F$3*10^12-$A71),$A71,$A72)=F72,0,IF((F$3*10^12-$A72)*(F$3*10^12-$A71)*-1&lt;0,0,1)*IF(ABS(F$3*10^12-$A72)&gt;(F$3*10^12-$A71),$A71,$A72))</f>
        <v>0</v>
      </c>
      <c r="G71">
        <f t="shared" ref="G71:G102" si="19">IF(IF((G$3*10^12-$A72)*(G$3*10^12-$A71)*-1&lt;0,0,1)*IF(ABS(G$3*10^12-$A72)&gt;(G$3*10^12-$A71),$A71,$A72)=G72,0,IF((G$3*10^12-$A72)*(G$3*10^12-$A71)*-1&lt;0,0,1)*IF(ABS(G$3*10^12-$A72)&gt;(G$3*10^12-$A71),$A71,$A72))</f>
        <v>0</v>
      </c>
      <c r="H71" t="e">
        <f t="shared" ref="H71:H102" si="20">IF(IF((H$3*10^12-$A72)*(H$3*10^12-$A71)*-1&lt;0,0,1)*IF(ABS(H$3*10^12-$A72)&gt;(H$3*10^12-$A71),$A71,$A72)=H72,0,IF((H$3*10^12-$A72)*(H$3*10^12-$A71)*-1&lt;0,0,1)*IF(ABS(H$3*10^12-$A72)&gt;(H$3*10^12-$A71),$A71,$A72))</f>
        <v>#NAME?</v>
      </c>
      <c r="I71">
        <f t="shared" ref="I71:I102" si="21">IF(IF((I$3*10^12-$A72)*(I$3*10^12-$A71)*-1&lt;0,0,1)*IF(ABS(I$3*10^12-$A72)&gt;(I$3*10^12-$A71),$A71,$A72)=I72,0,IF((I$3*10^12-$A72)*(I$3*10^12-$A71)*-1&lt;0,0,1)*IF(ABS(I$3*10^12-$A72)&gt;(I$3*10^12-$A71),$A71,$A72))</f>
        <v>0</v>
      </c>
      <c r="J71">
        <f t="shared" si="14"/>
        <v>0</v>
      </c>
    </row>
    <row r="72" spans="1:10" x14ac:dyDescent="0.25">
      <c r="A72">
        <f t="shared" si="12"/>
        <v>150000</v>
      </c>
      <c r="B72">
        <f t="shared" si="16"/>
        <v>0</v>
      </c>
      <c r="C72">
        <f t="shared" si="17"/>
        <v>0</v>
      </c>
      <c r="D72">
        <f t="shared" si="17"/>
        <v>0</v>
      </c>
      <c r="E72">
        <f t="shared" si="17"/>
        <v>0</v>
      </c>
      <c r="F72">
        <f t="shared" si="18"/>
        <v>0</v>
      </c>
      <c r="G72">
        <f t="shared" si="19"/>
        <v>0</v>
      </c>
      <c r="H72" t="e">
        <f t="shared" si="20"/>
        <v>#NAME?</v>
      </c>
      <c r="I72">
        <f t="shared" si="21"/>
        <v>0</v>
      </c>
      <c r="J72">
        <f t="shared" si="14"/>
        <v>0</v>
      </c>
    </row>
    <row r="73" spans="1:10" x14ac:dyDescent="0.25">
      <c r="A73">
        <f t="shared" si="12"/>
        <v>180000</v>
      </c>
      <c r="B73">
        <f t="shared" si="16"/>
        <v>0</v>
      </c>
      <c r="C73">
        <f t="shared" si="17"/>
        <v>0</v>
      </c>
      <c r="D73">
        <f t="shared" si="17"/>
        <v>0</v>
      </c>
      <c r="E73">
        <f t="shared" si="17"/>
        <v>0</v>
      </c>
      <c r="F73">
        <f t="shared" si="18"/>
        <v>0</v>
      </c>
      <c r="G73">
        <f t="shared" si="19"/>
        <v>0</v>
      </c>
      <c r="H73" t="e">
        <f t="shared" si="20"/>
        <v>#NAME?</v>
      </c>
      <c r="I73">
        <f t="shared" si="21"/>
        <v>0</v>
      </c>
      <c r="J73">
        <f t="shared" si="14"/>
        <v>0</v>
      </c>
    </row>
    <row r="74" spans="1:10" x14ac:dyDescent="0.25">
      <c r="A74">
        <f t="shared" si="12"/>
        <v>220000</v>
      </c>
      <c r="B74">
        <f t="shared" si="16"/>
        <v>0</v>
      </c>
      <c r="C74">
        <f t="shared" si="17"/>
        <v>0</v>
      </c>
      <c r="D74">
        <f t="shared" si="17"/>
        <v>0</v>
      </c>
      <c r="E74">
        <f t="shared" si="17"/>
        <v>0</v>
      </c>
      <c r="F74">
        <f t="shared" si="18"/>
        <v>0</v>
      </c>
      <c r="G74">
        <f t="shared" si="19"/>
        <v>0</v>
      </c>
      <c r="H74" t="e">
        <f t="shared" si="20"/>
        <v>#NAME?</v>
      </c>
      <c r="I74">
        <f t="shared" si="21"/>
        <v>0</v>
      </c>
      <c r="J74">
        <f t="shared" si="14"/>
        <v>0</v>
      </c>
    </row>
    <row r="75" spans="1:10" x14ac:dyDescent="0.25">
      <c r="A75">
        <f t="shared" si="12"/>
        <v>270000</v>
      </c>
      <c r="B75">
        <f t="shared" si="16"/>
        <v>0</v>
      </c>
      <c r="C75">
        <f t="shared" si="17"/>
        <v>0</v>
      </c>
      <c r="D75">
        <f t="shared" si="17"/>
        <v>0</v>
      </c>
      <c r="E75">
        <f t="shared" si="17"/>
        <v>0</v>
      </c>
      <c r="F75">
        <f t="shared" si="18"/>
        <v>0</v>
      </c>
      <c r="G75">
        <f t="shared" si="19"/>
        <v>0</v>
      </c>
      <c r="H75" t="e">
        <f t="shared" si="20"/>
        <v>#NAME?</v>
      </c>
      <c r="I75">
        <f t="shared" si="21"/>
        <v>0</v>
      </c>
      <c r="J75">
        <f t="shared" si="14"/>
        <v>0</v>
      </c>
    </row>
    <row r="76" spans="1:10" x14ac:dyDescent="0.25">
      <c r="A76">
        <f t="shared" si="12"/>
        <v>330000</v>
      </c>
      <c r="B76">
        <f t="shared" si="16"/>
        <v>0</v>
      </c>
      <c r="C76">
        <f t="shared" si="17"/>
        <v>0</v>
      </c>
      <c r="D76">
        <f t="shared" si="17"/>
        <v>0</v>
      </c>
      <c r="E76">
        <f t="shared" si="17"/>
        <v>0</v>
      </c>
      <c r="F76">
        <f t="shared" si="18"/>
        <v>0</v>
      </c>
      <c r="G76">
        <f t="shared" si="19"/>
        <v>0</v>
      </c>
      <c r="H76" t="e">
        <f t="shared" si="20"/>
        <v>#NAME?</v>
      </c>
      <c r="I76">
        <f t="shared" si="21"/>
        <v>0</v>
      </c>
      <c r="J76">
        <f t="shared" si="14"/>
        <v>0</v>
      </c>
    </row>
    <row r="77" spans="1:10" x14ac:dyDescent="0.25">
      <c r="A77">
        <f t="shared" si="12"/>
        <v>390000</v>
      </c>
      <c r="B77">
        <f t="shared" si="16"/>
        <v>0</v>
      </c>
      <c r="C77">
        <f t="shared" si="17"/>
        <v>0</v>
      </c>
      <c r="D77">
        <f t="shared" si="17"/>
        <v>0</v>
      </c>
      <c r="E77">
        <f t="shared" si="17"/>
        <v>0</v>
      </c>
      <c r="F77">
        <f t="shared" si="18"/>
        <v>0</v>
      </c>
      <c r="G77">
        <f t="shared" si="19"/>
        <v>0</v>
      </c>
      <c r="H77" t="e">
        <f t="shared" si="20"/>
        <v>#NAME?</v>
      </c>
      <c r="I77">
        <f t="shared" si="21"/>
        <v>0</v>
      </c>
      <c r="J77">
        <f t="shared" si="14"/>
        <v>0</v>
      </c>
    </row>
    <row r="78" spans="1:10" x14ac:dyDescent="0.25">
      <c r="A78">
        <f t="shared" si="12"/>
        <v>470000</v>
      </c>
      <c r="B78">
        <f t="shared" si="16"/>
        <v>0</v>
      </c>
      <c r="C78">
        <f t="shared" si="17"/>
        <v>0</v>
      </c>
      <c r="D78">
        <f t="shared" si="17"/>
        <v>0</v>
      </c>
      <c r="E78">
        <f t="shared" si="17"/>
        <v>0</v>
      </c>
      <c r="F78">
        <f t="shared" si="18"/>
        <v>0</v>
      </c>
      <c r="G78">
        <f t="shared" si="19"/>
        <v>0</v>
      </c>
      <c r="H78" t="e">
        <f t="shared" si="20"/>
        <v>#NAME?</v>
      </c>
      <c r="I78">
        <f t="shared" si="21"/>
        <v>0</v>
      </c>
      <c r="J78">
        <f t="shared" si="14"/>
        <v>0</v>
      </c>
    </row>
    <row r="79" spans="1:10" x14ac:dyDescent="0.25">
      <c r="A79">
        <f t="shared" si="12"/>
        <v>560000</v>
      </c>
      <c r="B79">
        <f t="shared" si="16"/>
        <v>0</v>
      </c>
      <c r="C79">
        <f t="shared" si="17"/>
        <v>0</v>
      </c>
      <c r="D79">
        <f t="shared" si="17"/>
        <v>0</v>
      </c>
      <c r="E79">
        <f t="shared" si="17"/>
        <v>0</v>
      </c>
      <c r="F79">
        <f t="shared" si="18"/>
        <v>0</v>
      </c>
      <c r="G79">
        <f t="shared" si="19"/>
        <v>0</v>
      </c>
      <c r="H79" t="e">
        <f t="shared" si="20"/>
        <v>#NAME?</v>
      </c>
      <c r="I79">
        <f t="shared" si="21"/>
        <v>0</v>
      </c>
      <c r="J79">
        <f t="shared" si="14"/>
        <v>0</v>
      </c>
    </row>
    <row r="80" spans="1:10" x14ac:dyDescent="0.25">
      <c r="A80">
        <f t="shared" si="12"/>
        <v>680000</v>
      </c>
      <c r="B80">
        <f t="shared" si="16"/>
        <v>0</v>
      </c>
      <c r="C80">
        <f t="shared" si="17"/>
        <v>0</v>
      </c>
      <c r="D80">
        <f t="shared" si="17"/>
        <v>0</v>
      </c>
      <c r="E80">
        <f t="shared" si="17"/>
        <v>0</v>
      </c>
      <c r="F80">
        <f t="shared" si="18"/>
        <v>0</v>
      </c>
      <c r="G80">
        <f t="shared" si="19"/>
        <v>0</v>
      </c>
      <c r="H80" t="e">
        <f t="shared" si="20"/>
        <v>#NAME?</v>
      </c>
      <c r="I80">
        <f t="shared" si="21"/>
        <v>0</v>
      </c>
      <c r="J80">
        <f t="shared" si="14"/>
        <v>0</v>
      </c>
    </row>
    <row r="81" spans="1:10" x14ac:dyDescent="0.25">
      <c r="A81">
        <f t="shared" si="12"/>
        <v>820000</v>
      </c>
      <c r="B81">
        <f t="shared" si="16"/>
        <v>0</v>
      </c>
      <c r="C81">
        <f t="shared" si="17"/>
        <v>0</v>
      </c>
      <c r="D81">
        <f t="shared" si="17"/>
        <v>0</v>
      </c>
      <c r="E81">
        <f t="shared" si="17"/>
        <v>0</v>
      </c>
      <c r="F81">
        <f t="shared" si="18"/>
        <v>0</v>
      </c>
      <c r="G81">
        <f t="shared" si="19"/>
        <v>0</v>
      </c>
      <c r="H81" t="e">
        <f t="shared" si="20"/>
        <v>#NAME?</v>
      </c>
      <c r="I81">
        <f t="shared" si="21"/>
        <v>0</v>
      </c>
      <c r="J81">
        <f t="shared" si="14"/>
        <v>0</v>
      </c>
    </row>
    <row r="82" spans="1:10" x14ac:dyDescent="0.25">
      <c r="A82">
        <f t="shared" si="12"/>
        <v>1000000</v>
      </c>
      <c r="B82">
        <f t="shared" si="16"/>
        <v>0</v>
      </c>
      <c r="C82">
        <f t="shared" si="17"/>
        <v>0</v>
      </c>
      <c r="D82">
        <f t="shared" si="17"/>
        <v>0</v>
      </c>
      <c r="E82">
        <f t="shared" si="17"/>
        <v>0</v>
      </c>
      <c r="F82">
        <f t="shared" si="18"/>
        <v>0</v>
      </c>
      <c r="G82">
        <f t="shared" si="19"/>
        <v>0</v>
      </c>
      <c r="H82" t="e">
        <f t="shared" si="20"/>
        <v>#NAME?</v>
      </c>
      <c r="I82">
        <f t="shared" si="21"/>
        <v>0</v>
      </c>
      <c r="J82">
        <f t="shared" si="14"/>
        <v>0</v>
      </c>
    </row>
    <row r="83" spans="1:10" x14ac:dyDescent="0.25">
      <c r="A83">
        <f t="shared" si="12"/>
        <v>1200000</v>
      </c>
      <c r="B83">
        <f t="shared" si="16"/>
        <v>0</v>
      </c>
      <c r="C83">
        <f t="shared" si="17"/>
        <v>0</v>
      </c>
      <c r="D83">
        <f t="shared" si="17"/>
        <v>0</v>
      </c>
      <c r="E83">
        <f t="shared" si="17"/>
        <v>0</v>
      </c>
      <c r="F83">
        <f t="shared" si="18"/>
        <v>0</v>
      </c>
      <c r="G83">
        <f t="shared" si="19"/>
        <v>0</v>
      </c>
      <c r="H83" t="e">
        <f t="shared" si="20"/>
        <v>#NAME?</v>
      </c>
      <c r="I83">
        <f t="shared" si="21"/>
        <v>0</v>
      </c>
      <c r="J83">
        <f t="shared" si="14"/>
        <v>0</v>
      </c>
    </row>
    <row r="84" spans="1:10" x14ac:dyDescent="0.25">
      <c r="A84">
        <f t="shared" si="12"/>
        <v>1500000</v>
      </c>
      <c r="B84">
        <f t="shared" si="16"/>
        <v>0</v>
      </c>
      <c r="C84">
        <f t="shared" si="17"/>
        <v>0</v>
      </c>
      <c r="D84">
        <f t="shared" si="17"/>
        <v>0</v>
      </c>
      <c r="E84">
        <f t="shared" si="17"/>
        <v>0</v>
      </c>
      <c r="F84">
        <f t="shared" si="18"/>
        <v>0</v>
      </c>
      <c r="G84">
        <f t="shared" si="19"/>
        <v>0</v>
      </c>
      <c r="H84" t="e">
        <f t="shared" si="20"/>
        <v>#NAME?</v>
      </c>
      <c r="I84">
        <f t="shared" si="21"/>
        <v>0</v>
      </c>
      <c r="J84">
        <f t="shared" si="14"/>
        <v>0</v>
      </c>
    </row>
    <row r="85" spans="1:10" x14ac:dyDescent="0.25">
      <c r="A85">
        <f t="shared" si="12"/>
        <v>1800000</v>
      </c>
      <c r="B85">
        <f t="shared" si="16"/>
        <v>0</v>
      </c>
      <c r="C85">
        <f t="shared" si="17"/>
        <v>0</v>
      </c>
      <c r="D85">
        <f t="shared" si="17"/>
        <v>0</v>
      </c>
      <c r="E85">
        <f t="shared" si="17"/>
        <v>0</v>
      </c>
      <c r="F85">
        <f t="shared" si="18"/>
        <v>0</v>
      </c>
      <c r="G85">
        <f t="shared" si="19"/>
        <v>0</v>
      </c>
      <c r="H85" t="e">
        <f t="shared" si="20"/>
        <v>#NAME?</v>
      </c>
      <c r="I85">
        <f t="shared" si="21"/>
        <v>0</v>
      </c>
      <c r="J85">
        <f t="shared" si="14"/>
        <v>0</v>
      </c>
    </row>
    <row r="86" spans="1:10" x14ac:dyDescent="0.25">
      <c r="A86">
        <f t="shared" si="12"/>
        <v>2200000</v>
      </c>
      <c r="B86">
        <f t="shared" si="16"/>
        <v>0</v>
      </c>
      <c r="C86">
        <f t="shared" si="17"/>
        <v>0</v>
      </c>
      <c r="D86">
        <f t="shared" si="17"/>
        <v>0</v>
      </c>
      <c r="E86">
        <f t="shared" si="17"/>
        <v>0</v>
      </c>
      <c r="F86">
        <f t="shared" si="18"/>
        <v>0</v>
      </c>
      <c r="G86">
        <f t="shared" si="19"/>
        <v>0</v>
      </c>
      <c r="H86" t="e">
        <f t="shared" si="20"/>
        <v>#NAME?</v>
      </c>
      <c r="I86">
        <f t="shared" si="21"/>
        <v>0</v>
      </c>
      <c r="J86">
        <f t="shared" si="14"/>
        <v>0</v>
      </c>
    </row>
    <row r="87" spans="1:10" x14ac:dyDescent="0.25">
      <c r="A87">
        <f t="shared" si="12"/>
        <v>2700000</v>
      </c>
      <c r="B87">
        <f t="shared" si="16"/>
        <v>0</v>
      </c>
      <c r="C87">
        <f t="shared" si="17"/>
        <v>0</v>
      </c>
      <c r="D87">
        <f t="shared" si="17"/>
        <v>0</v>
      </c>
      <c r="E87">
        <f t="shared" si="17"/>
        <v>0</v>
      </c>
      <c r="F87">
        <f t="shared" si="18"/>
        <v>0</v>
      </c>
      <c r="G87">
        <f t="shared" si="19"/>
        <v>0</v>
      </c>
      <c r="H87" t="e">
        <f t="shared" si="20"/>
        <v>#NAME?</v>
      </c>
      <c r="I87">
        <f t="shared" si="21"/>
        <v>0</v>
      </c>
      <c r="J87">
        <f t="shared" si="14"/>
        <v>0</v>
      </c>
    </row>
    <row r="88" spans="1:10" x14ac:dyDescent="0.25">
      <c r="A88">
        <f t="shared" si="12"/>
        <v>3300000</v>
      </c>
      <c r="B88">
        <f t="shared" si="16"/>
        <v>0</v>
      </c>
      <c r="C88">
        <f t="shared" si="17"/>
        <v>0</v>
      </c>
      <c r="D88">
        <f t="shared" si="17"/>
        <v>0</v>
      </c>
      <c r="E88">
        <f t="shared" si="17"/>
        <v>0</v>
      </c>
      <c r="F88">
        <f t="shared" si="18"/>
        <v>0</v>
      </c>
      <c r="G88">
        <f t="shared" si="19"/>
        <v>0</v>
      </c>
      <c r="H88" t="e">
        <f t="shared" si="20"/>
        <v>#NAME?</v>
      </c>
      <c r="I88">
        <f t="shared" si="21"/>
        <v>0</v>
      </c>
      <c r="J88">
        <f t="shared" si="14"/>
        <v>0</v>
      </c>
    </row>
    <row r="89" spans="1:10" x14ac:dyDescent="0.25">
      <c r="A89">
        <f t="shared" si="12"/>
        <v>3900000</v>
      </c>
      <c r="B89">
        <f t="shared" si="16"/>
        <v>0</v>
      </c>
      <c r="C89">
        <f t="shared" si="17"/>
        <v>0</v>
      </c>
      <c r="D89">
        <f t="shared" si="17"/>
        <v>0</v>
      </c>
      <c r="E89">
        <f t="shared" si="17"/>
        <v>0</v>
      </c>
      <c r="F89">
        <f t="shared" si="18"/>
        <v>0</v>
      </c>
      <c r="G89">
        <f t="shared" si="19"/>
        <v>0</v>
      </c>
      <c r="H89" t="e">
        <f t="shared" si="20"/>
        <v>#NAME?</v>
      </c>
      <c r="I89">
        <f t="shared" si="21"/>
        <v>0</v>
      </c>
      <c r="J89">
        <f t="shared" si="14"/>
        <v>0</v>
      </c>
    </row>
    <row r="90" spans="1:10" x14ac:dyDescent="0.25">
      <c r="A90">
        <f t="shared" si="12"/>
        <v>4700000</v>
      </c>
      <c r="B90">
        <f t="shared" si="16"/>
        <v>0</v>
      </c>
      <c r="C90">
        <f t="shared" si="17"/>
        <v>0</v>
      </c>
      <c r="D90">
        <f t="shared" si="17"/>
        <v>0</v>
      </c>
      <c r="E90">
        <f t="shared" si="17"/>
        <v>0</v>
      </c>
      <c r="F90">
        <f t="shared" si="18"/>
        <v>0</v>
      </c>
      <c r="G90">
        <f t="shared" si="19"/>
        <v>0</v>
      </c>
      <c r="H90" t="e">
        <f t="shared" si="20"/>
        <v>#NAME?</v>
      </c>
      <c r="I90">
        <f t="shared" si="21"/>
        <v>0</v>
      </c>
      <c r="J90">
        <f t="shared" si="14"/>
        <v>0</v>
      </c>
    </row>
    <row r="91" spans="1:10" x14ac:dyDescent="0.25">
      <c r="A91">
        <f t="shared" si="12"/>
        <v>5600000</v>
      </c>
      <c r="B91">
        <f t="shared" si="16"/>
        <v>0</v>
      </c>
      <c r="C91">
        <f t="shared" si="17"/>
        <v>0</v>
      </c>
      <c r="D91">
        <f t="shared" si="17"/>
        <v>0</v>
      </c>
      <c r="E91">
        <f t="shared" si="17"/>
        <v>0</v>
      </c>
      <c r="F91">
        <f t="shared" si="18"/>
        <v>0</v>
      </c>
      <c r="G91">
        <f t="shared" si="19"/>
        <v>0</v>
      </c>
      <c r="H91" t="e">
        <f t="shared" si="20"/>
        <v>#NAME?</v>
      </c>
      <c r="I91">
        <f t="shared" si="21"/>
        <v>0</v>
      </c>
      <c r="J91">
        <f t="shared" si="14"/>
        <v>0</v>
      </c>
    </row>
    <row r="92" spans="1:10" x14ac:dyDescent="0.25">
      <c r="A92">
        <f t="shared" si="12"/>
        <v>6800000</v>
      </c>
      <c r="B92">
        <f t="shared" si="16"/>
        <v>0</v>
      </c>
      <c r="C92">
        <f t="shared" si="17"/>
        <v>0</v>
      </c>
      <c r="D92">
        <f t="shared" si="17"/>
        <v>0</v>
      </c>
      <c r="E92">
        <f t="shared" si="17"/>
        <v>0</v>
      </c>
      <c r="F92">
        <f t="shared" si="18"/>
        <v>0</v>
      </c>
      <c r="G92">
        <f t="shared" si="19"/>
        <v>0</v>
      </c>
      <c r="H92" t="e">
        <f t="shared" si="20"/>
        <v>#NAME?</v>
      </c>
      <c r="I92">
        <f t="shared" si="21"/>
        <v>0</v>
      </c>
      <c r="J92">
        <f t="shared" si="14"/>
        <v>0</v>
      </c>
    </row>
    <row r="93" spans="1:10" x14ac:dyDescent="0.25">
      <c r="A93">
        <f t="shared" si="12"/>
        <v>8200000</v>
      </c>
      <c r="B93">
        <f t="shared" si="16"/>
        <v>0</v>
      </c>
      <c r="C93">
        <f t="shared" si="17"/>
        <v>0</v>
      </c>
      <c r="D93">
        <f t="shared" si="17"/>
        <v>0</v>
      </c>
      <c r="E93">
        <f t="shared" si="17"/>
        <v>0</v>
      </c>
      <c r="F93">
        <f t="shared" si="18"/>
        <v>0</v>
      </c>
      <c r="G93">
        <f t="shared" si="19"/>
        <v>0</v>
      </c>
      <c r="H93" t="e">
        <f t="shared" si="20"/>
        <v>#NAME?</v>
      </c>
      <c r="I93">
        <f t="shared" si="21"/>
        <v>0</v>
      </c>
      <c r="J93">
        <f t="shared" si="14"/>
        <v>0</v>
      </c>
    </row>
    <row r="94" spans="1:10" x14ac:dyDescent="0.25">
      <c r="A94">
        <f t="shared" si="12"/>
        <v>10000000</v>
      </c>
      <c r="B94">
        <f t="shared" si="16"/>
        <v>0</v>
      </c>
      <c r="C94">
        <f t="shared" si="17"/>
        <v>0</v>
      </c>
      <c r="D94">
        <f t="shared" si="17"/>
        <v>0</v>
      </c>
      <c r="E94">
        <f t="shared" si="17"/>
        <v>0</v>
      </c>
      <c r="F94">
        <f t="shared" si="18"/>
        <v>0</v>
      </c>
      <c r="G94">
        <f t="shared" si="19"/>
        <v>0</v>
      </c>
      <c r="H94" t="e">
        <f t="shared" si="20"/>
        <v>#NAME?</v>
      </c>
      <c r="I94">
        <f t="shared" si="21"/>
        <v>0</v>
      </c>
      <c r="J94">
        <f t="shared" si="14"/>
        <v>0</v>
      </c>
    </row>
    <row r="95" spans="1:10" x14ac:dyDescent="0.25">
      <c r="A95">
        <f t="shared" si="12"/>
        <v>12000000</v>
      </c>
      <c r="B95">
        <f t="shared" si="16"/>
        <v>0</v>
      </c>
      <c r="C95">
        <f t="shared" si="17"/>
        <v>0</v>
      </c>
      <c r="D95">
        <f t="shared" si="17"/>
        <v>0</v>
      </c>
      <c r="E95">
        <f t="shared" si="17"/>
        <v>0</v>
      </c>
      <c r="F95">
        <f t="shared" si="18"/>
        <v>0</v>
      </c>
      <c r="G95">
        <f t="shared" si="19"/>
        <v>0</v>
      </c>
      <c r="H95" t="e">
        <f t="shared" si="20"/>
        <v>#NAME?</v>
      </c>
      <c r="I95">
        <f t="shared" si="21"/>
        <v>0</v>
      </c>
      <c r="J95">
        <f t="shared" si="14"/>
        <v>0</v>
      </c>
    </row>
    <row r="96" spans="1:10" x14ac:dyDescent="0.25">
      <c r="A96">
        <f t="shared" si="12"/>
        <v>15000000</v>
      </c>
      <c r="B96">
        <f t="shared" si="16"/>
        <v>0</v>
      </c>
      <c r="C96">
        <f t="shared" si="17"/>
        <v>0</v>
      </c>
      <c r="D96">
        <f t="shared" si="17"/>
        <v>0</v>
      </c>
      <c r="E96">
        <f t="shared" si="17"/>
        <v>0</v>
      </c>
      <c r="F96">
        <f t="shared" si="18"/>
        <v>0</v>
      </c>
      <c r="G96">
        <f t="shared" si="19"/>
        <v>0</v>
      </c>
      <c r="H96" t="e">
        <f t="shared" si="20"/>
        <v>#NAME?</v>
      </c>
      <c r="I96">
        <f t="shared" si="21"/>
        <v>0</v>
      </c>
      <c r="J96">
        <f t="shared" si="14"/>
        <v>0</v>
      </c>
    </row>
    <row r="97" spans="1:10" x14ac:dyDescent="0.25">
      <c r="A97">
        <f t="shared" si="12"/>
        <v>18000000</v>
      </c>
      <c r="B97">
        <f t="shared" si="16"/>
        <v>0</v>
      </c>
      <c r="C97">
        <f t="shared" si="17"/>
        <v>0</v>
      </c>
      <c r="D97">
        <f t="shared" si="17"/>
        <v>0</v>
      </c>
      <c r="E97">
        <f t="shared" si="17"/>
        <v>0</v>
      </c>
      <c r="F97">
        <f t="shared" si="18"/>
        <v>0</v>
      </c>
      <c r="G97">
        <f t="shared" si="19"/>
        <v>0</v>
      </c>
      <c r="H97" t="e">
        <f t="shared" si="20"/>
        <v>#NAME?</v>
      </c>
      <c r="I97">
        <f t="shared" si="21"/>
        <v>0</v>
      </c>
      <c r="J97">
        <f t="shared" si="14"/>
        <v>0</v>
      </c>
    </row>
    <row r="98" spans="1:10" x14ac:dyDescent="0.25">
      <c r="A98">
        <f t="shared" si="12"/>
        <v>22000000</v>
      </c>
      <c r="B98">
        <f t="shared" si="16"/>
        <v>0</v>
      </c>
      <c r="C98">
        <f t="shared" si="17"/>
        <v>0</v>
      </c>
      <c r="D98">
        <f t="shared" si="17"/>
        <v>0</v>
      </c>
      <c r="E98">
        <f t="shared" si="17"/>
        <v>0</v>
      </c>
      <c r="F98">
        <f t="shared" si="18"/>
        <v>0</v>
      </c>
      <c r="G98">
        <f t="shared" si="19"/>
        <v>0</v>
      </c>
      <c r="H98" t="e">
        <f t="shared" si="20"/>
        <v>#NAME?</v>
      </c>
      <c r="I98">
        <f t="shared" si="21"/>
        <v>0</v>
      </c>
      <c r="J98">
        <f t="shared" si="14"/>
        <v>0</v>
      </c>
    </row>
    <row r="99" spans="1:10" x14ac:dyDescent="0.25">
      <c r="A99">
        <f t="shared" ref="A99:A159" si="22">A87*10</f>
        <v>27000000</v>
      </c>
      <c r="B99">
        <f t="shared" si="16"/>
        <v>0</v>
      </c>
      <c r="C99">
        <f t="shared" si="17"/>
        <v>0</v>
      </c>
      <c r="D99">
        <f t="shared" si="17"/>
        <v>0</v>
      </c>
      <c r="E99">
        <f t="shared" si="17"/>
        <v>0</v>
      </c>
      <c r="F99">
        <f t="shared" si="18"/>
        <v>0</v>
      </c>
      <c r="G99">
        <f t="shared" si="19"/>
        <v>0</v>
      </c>
      <c r="H99" t="e">
        <f t="shared" si="20"/>
        <v>#NAME?</v>
      </c>
      <c r="I99">
        <f t="shared" si="21"/>
        <v>0</v>
      </c>
      <c r="J99">
        <f t="shared" si="14"/>
        <v>0</v>
      </c>
    </row>
    <row r="100" spans="1:10" x14ac:dyDescent="0.25">
      <c r="A100">
        <f t="shared" si="22"/>
        <v>33000000</v>
      </c>
      <c r="B100">
        <f t="shared" si="16"/>
        <v>0</v>
      </c>
      <c r="C100">
        <f t="shared" si="17"/>
        <v>0</v>
      </c>
      <c r="D100">
        <f t="shared" si="17"/>
        <v>0</v>
      </c>
      <c r="E100">
        <f t="shared" si="17"/>
        <v>0</v>
      </c>
      <c r="F100">
        <f t="shared" si="18"/>
        <v>0</v>
      </c>
      <c r="G100">
        <f t="shared" si="19"/>
        <v>0</v>
      </c>
      <c r="H100" t="e">
        <f t="shared" si="20"/>
        <v>#NAME?</v>
      </c>
      <c r="I100">
        <f t="shared" si="21"/>
        <v>0</v>
      </c>
      <c r="J100">
        <f t="shared" si="14"/>
        <v>0</v>
      </c>
    </row>
    <row r="101" spans="1:10" x14ac:dyDescent="0.25">
      <c r="A101">
        <f t="shared" si="22"/>
        <v>39000000</v>
      </c>
      <c r="B101">
        <f t="shared" si="16"/>
        <v>0</v>
      </c>
      <c r="C101">
        <f t="shared" si="17"/>
        <v>0</v>
      </c>
      <c r="D101">
        <f t="shared" si="17"/>
        <v>0</v>
      </c>
      <c r="E101">
        <f t="shared" si="17"/>
        <v>0</v>
      </c>
      <c r="F101">
        <f t="shared" si="18"/>
        <v>39000000</v>
      </c>
      <c r="G101">
        <f t="shared" si="19"/>
        <v>0</v>
      </c>
      <c r="H101" t="e">
        <f t="shared" si="20"/>
        <v>#NAME?</v>
      </c>
      <c r="I101">
        <f t="shared" si="21"/>
        <v>0</v>
      </c>
      <c r="J101">
        <f t="shared" si="14"/>
        <v>0</v>
      </c>
    </row>
    <row r="102" spans="1:10" x14ac:dyDescent="0.25">
      <c r="A102">
        <f t="shared" si="22"/>
        <v>47000000</v>
      </c>
      <c r="B102">
        <f t="shared" si="16"/>
        <v>0</v>
      </c>
      <c r="C102">
        <f t="shared" si="17"/>
        <v>0</v>
      </c>
      <c r="D102">
        <f t="shared" si="17"/>
        <v>0</v>
      </c>
      <c r="E102">
        <f t="shared" si="17"/>
        <v>0</v>
      </c>
      <c r="F102">
        <f t="shared" si="18"/>
        <v>0</v>
      </c>
      <c r="G102">
        <f t="shared" si="19"/>
        <v>0</v>
      </c>
      <c r="H102" t="e">
        <f t="shared" si="20"/>
        <v>#NAME?</v>
      </c>
      <c r="I102">
        <f t="shared" si="21"/>
        <v>0</v>
      </c>
      <c r="J102">
        <f t="shared" si="14"/>
        <v>0</v>
      </c>
    </row>
    <row r="103" spans="1:10" x14ac:dyDescent="0.25">
      <c r="A103">
        <f t="shared" si="22"/>
        <v>56000000</v>
      </c>
      <c r="B103">
        <f t="shared" si="16"/>
        <v>0</v>
      </c>
      <c r="C103">
        <f t="shared" si="17"/>
        <v>0</v>
      </c>
      <c r="D103">
        <f t="shared" si="17"/>
        <v>0</v>
      </c>
      <c r="E103">
        <f t="shared" si="17"/>
        <v>68000000</v>
      </c>
      <c r="F103">
        <f t="shared" ref="F103:F134" si="23">IF(IF((F$3*10^12-$A104)*(F$3*10^12-$A103)*-1&lt;0,0,1)*IF(ABS(F$3*10^12-$A104)&gt;(F$3*10^12-$A103),$A103,$A104)=F104,0,IF((F$3*10^12-$A104)*(F$3*10^12-$A103)*-1&lt;0,0,1)*IF(ABS(F$3*10^12-$A104)&gt;(F$3*10^12-$A103),$A103,$A104))</f>
        <v>0</v>
      </c>
      <c r="G103">
        <f t="shared" ref="G103:G134" si="24">IF(IF((G$3*10^12-$A104)*(G$3*10^12-$A103)*-1&lt;0,0,1)*IF(ABS(G$3*10^12-$A104)&gt;(G$3*10^12-$A103),$A103,$A104)=G104,0,IF((G$3*10^12-$A104)*(G$3*10^12-$A103)*-1&lt;0,0,1)*IF(ABS(G$3*10^12-$A104)&gt;(G$3*10^12-$A103),$A103,$A104))</f>
        <v>0</v>
      </c>
      <c r="H103" t="e">
        <f t="shared" ref="H103:H134" si="25">IF(IF((H$3*10^12-$A104)*(H$3*10^12-$A103)*-1&lt;0,0,1)*IF(ABS(H$3*10^12-$A104)&gt;(H$3*10^12-$A103),$A103,$A104)=H104,0,IF((H$3*10^12-$A104)*(H$3*10^12-$A103)*-1&lt;0,0,1)*IF(ABS(H$3*10^12-$A104)&gt;(H$3*10^12-$A103),$A103,$A104))</f>
        <v>#NAME?</v>
      </c>
      <c r="I103">
        <f t="shared" ref="I103:I134" si="26">IF(IF((I$3*10^12-$A104)*(I$3*10^12-$A103)*-1&lt;0,0,1)*IF(ABS(I$3*10^12-$A104)&gt;(I$3*10^12-$A103),$A103,$A104)=I104,0,IF((I$3*10^12-$A104)*(I$3*10^12-$A103)*-1&lt;0,0,1)*IF(ABS(I$3*10^12-$A104)&gt;(I$3*10^12-$A103),$A103,$A104))</f>
        <v>0</v>
      </c>
      <c r="J103">
        <f t="shared" si="14"/>
        <v>0</v>
      </c>
    </row>
    <row r="104" spans="1:10" x14ac:dyDescent="0.25">
      <c r="A104">
        <f t="shared" si="22"/>
        <v>68000000</v>
      </c>
      <c r="B104">
        <f t="shared" si="16"/>
        <v>0</v>
      </c>
      <c r="C104">
        <f t="shared" si="17"/>
        <v>0</v>
      </c>
      <c r="D104">
        <f t="shared" si="17"/>
        <v>0</v>
      </c>
      <c r="E104">
        <f t="shared" si="17"/>
        <v>0</v>
      </c>
      <c r="F104">
        <f t="shared" si="23"/>
        <v>0</v>
      </c>
      <c r="G104">
        <f t="shared" si="24"/>
        <v>0</v>
      </c>
      <c r="H104" t="e">
        <f t="shared" si="25"/>
        <v>#NAME?</v>
      </c>
      <c r="I104">
        <f t="shared" si="26"/>
        <v>0</v>
      </c>
      <c r="J104">
        <f t="shared" si="14"/>
        <v>0</v>
      </c>
    </row>
    <row r="105" spans="1:10" x14ac:dyDescent="0.25">
      <c r="A105">
        <f t="shared" si="22"/>
        <v>82000000</v>
      </c>
      <c r="B105">
        <f t="shared" si="16"/>
        <v>0</v>
      </c>
      <c r="C105">
        <f t="shared" si="17"/>
        <v>0</v>
      </c>
      <c r="D105">
        <f t="shared" si="17"/>
        <v>0</v>
      </c>
      <c r="E105">
        <f t="shared" si="17"/>
        <v>0</v>
      </c>
      <c r="F105">
        <f t="shared" si="23"/>
        <v>0</v>
      </c>
      <c r="G105">
        <f t="shared" si="24"/>
        <v>0</v>
      </c>
      <c r="H105" t="e">
        <f t="shared" si="25"/>
        <v>#NAME?</v>
      </c>
      <c r="I105">
        <f t="shared" si="26"/>
        <v>0</v>
      </c>
      <c r="J105">
        <f t="shared" si="14"/>
        <v>0</v>
      </c>
    </row>
    <row r="106" spans="1:10" x14ac:dyDescent="0.25">
      <c r="A106">
        <f t="shared" si="22"/>
        <v>100000000</v>
      </c>
      <c r="B106">
        <f t="shared" si="16"/>
        <v>0</v>
      </c>
      <c r="C106">
        <f t="shared" si="17"/>
        <v>0</v>
      </c>
      <c r="D106">
        <f t="shared" si="17"/>
        <v>0</v>
      </c>
      <c r="E106">
        <f t="shared" si="17"/>
        <v>0</v>
      </c>
      <c r="F106">
        <f t="shared" si="23"/>
        <v>0</v>
      </c>
      <c r="G106">
        <f t="shared" si="24"/>
        <v>0</v>
      </c>
      <c r="H106" t="e">
        <f t="shared" si="25"/>
        <v>#NAME?</v>
      </c>
      <c r="I106">
        <f t="shared" si="26"/>
        <v>0</v>
      </c>
      <c r="J106">
        <f t="shared" si="14"/>
        <v>0</v>
      </c>
    </row>
    <row r="107" spans="1:10" x14ac:dyDescent="0.25">
      <c r="A107">
        <f t="shared" si="22"/>
        <v>120000000</v>
      </c>
      <c r="B107">
        <f t="shared" si="16"/>
        <v>0</v>
      </c>
      <c r="C107">
        <f t="shared" si="17"/>
        <v>0</v>
      </c>
      <c r="D107">
        <f t="shared" si="17"/>
        <v>0</v>
      </c>
      <c r="E107">
        <f t="shared" si="17"/>
        <v>0</v>
      </c>
      <c r="F107">
        <f t="shared" si="23"/>
        <v>0</v>
      </c>
      <c r="G107">
        <f t="shared" si="24"/>
        <v>0</v>
      </c>
      <c r="H107" t="e">
        <f t="shared" si="25"/>
        <v>#NAME?</v>
      </c>
      <c r="I107">
        <f t="shared" si="26"/>
        <v>0</v>
      </c>
      <c r="J107">
        <f t="shared" si="14"/>
        <v>0</v>
      </c>
    </row>
    <row r="108" spans="1:10" x14ac:dyDescent="0.25">
      <c r="A108">
        <f t="shared" si="22"/>
        <v>150000000</v>
      </c>
      <c r="B108">
        <f t="shared" si="16"/>
        <v>0</v>
      </c>
      <c r="C108">
        <f t="shared" si="17"/>
        <v>0</v>
      </c>
      <c r="D108">
        <f t="shared" si="17"/>
        <v>0</v>
      </c>
      <c r="E108">
        <f t="shared" si="17"/>
        <v>0</v>
      </c>
      <c r="F108">
        <f t="shared" si="23"/>
        <v>0</v>
      </c>
      <c r="G108">
        <f t="shared" si="24"/>
        <v>0</v>
      </c>
      <c r="H108" t="e">
        <f t="shared" si="25"/>
        <v>#NAME?</v>
      </c>
      <c r="I108">
        <f t="shared" si="26"/>
        <v>0</v>
      </c>
      <c r="J108">
        <f t="shared" si="14"/>
        <v>0</v>
      </c>
    </row>
    <row r="109" spans="1:10" x14ac:dyDescent="0.25">
      <c r="A109">
        <f t="shared" si="22"/>
        <v>180000000</v>
      </c>
      <c r="B109">
        <f t="shared" si="16"/>
        <v>0</v>
      </c>
      <c r="C109">
        <f t="shared" si="17"/>
        <v>0</v>
      </c>
      <c r="D109">
        <f t="shared" si="17"/>
        <v>0</v>
      </c>
      <c r="E109">
        <f t="shared" si="17"/>
        <v>0</v>
      </c>
      <c r="F109">
        <f t="shared" si="23"/>
        <v>0</v>
      </c>
      <c r="G109">
        <f t="shared" si="24"/>
        <v>0</v>
      </c>
      <c r="H109" t="e">
        <f t="shared" si="25"/>
        <v>#NAME?</v>
      </c>
      <c r="I109">
        <f t="shared" si="26"/>
        <v>0</v>
      </c>
      <c r="J109">
        <f t="shared" si="14"/>
        <v>0</v>
      </c>
    </row>
    <row r="110" spans="1:10" x14ac:dyDescent="0.25">
      <c r="A110">
        <f t="shared" si="22"/>
        <v>220000000</v>
      </c>
      <c r="B110">
        <f t="shared" si="16"/>
        <v>0</v>
      </c>
      <c r="C110">
        <f t="shared" si="17"/>
        <v>0</v>
      </c>
      <c r="D110">
        <f t="shared" si="17"/>
        <v>0</v>
      </c>
      <c r="E110">
        <f t="shared" si="17"/>
        <v>0</v>
      </c>
      <c r="F110">
        <f t="shared" si="23"/>
        <v>0</v>
      </c>
      <c r="G110">
        <f t="shared" si="24"/>
        <v>0</v>
      </c>
      <c r="H110" t="e">
        <f t="shared" si="25"/>
        <v>#NAME?</v>
      </c>
      <c r="I110">
        <f t="shared" si="26"/>
        <v>0</v>
      </c>
      <c r="J110">
        <f t="shared" si="14"/>
        <v>0</v>
      </c>
    </row>
    <row r="111" spans="1:10" x14ac:dyDescent="0.25">
      <c r="A111">
        <f t="shared" si="22"/>
        <v>270000000</v>
      </c>
      <c r="B111">
        <f t="shared" si="16"/>
        <v>0</v>
      </c>
      <c r="C111">
        <f t="shared" si="17"/>
        <v>0</v>
      </c>
      <c r="D111">
        <f t="shared" si="17"/>
        <v>0</v>
      </c>
      <c r="E111">
        <f t="shared" si="17"/>
        <v>0</v>
      </c>
      <c r="F111">
        <f t="shared" si="23"/>
        <v>0</v>
      </c>
      <c r="G111">
        <f t="shared" si="24"/>
        <v>0</v>
      </c>
      <c r="H111" t="e">
        <f t="shared" si="25"/>
        <v>#NAME?</v>
      </c>
      <c r="I111">
        <f t="shared" si="26"/>
        <v>0</v>
      </c>
      <c r="J111">
        <f t="shared" si="14"/>
        <v>0</v>
      </c>
    </row>
    <row r="112" spans="1:10" x14ac:dyDescent="0.25">
      <c r="A112">
        <f t="shared" si="22"/>
        <v>330000000</v>
      </c>
      <c r="B112">
        <f t="shared" si="16"/>
        <v>0</v>
      </c>
      <c r="C112">
        <f t="shared" si="17"/>
        <v>0</v>
      </c>
      <c r="D112">
        <f t="shared" si="17"/>
        <v>0</v>
      </c>
      <c r="E112">
        <f t="shared" si="17"/>
        <v>0</v>
      </c>
      <c r="F112">
        <f t="shared" si="23"/>
        <v>0</v>
      </c>
      <c r="G112">
        <f t="shared" si="24"/>
        <v>0</v>
      </c>
      <c r="H112" t="e">
        <f t="shared" si="25"/>
        <v>#NAME?</v>
      </c>
      <c r="I112">
        <f t="shared" si="26"/>
        <v>0</v>
      </c>
      <c r="J112">
        <f t="shared" si="14"/>
        <v>0</v>
      </c>
    </row>
    <row r="113" spans="1:10" x14ac:dyDescent="0.25">
      <c r="A113">
        <f t="shared" si="22"/>
        <v>390000000</v>
      </c>
      <c r="B113">
        <f t="shared" si="16"/>
        <v>0</v>
      </c>
      <c r="C113">
        <f t="shared" si="17"/>
        <v>0</v>
      </c>
      <c r="D113">
        <f t="shared" si="17"/>
        <v>0</v>
      </c>
      <c r="E113">
        <f t="shared" si="17"/>
        <v>0</v>
      </c>
      <c r="F113">
        <f t="shared" si="23"/>
        <v>0</v>
      </c>
      <c r="G113">
        <f t="shared" si="24"/>
        <v>0</v>
      </c>
      <c r="H113" t="e">
        <f t="shared" si="25"/>
        <v>#NAME?</v>
      </c>
      <c r="I113">
        <f t="shared" si="26"/>
        <v>0</v>
      </c>
      <c r="J113">
        <f t="shared" si="14"/>
        <v>0</v>
      </c>
    </row>
    <row r="114" spans="1:10" x14ac:dyDescent="0.25">
      <c r="A114">
        <f t="shared" si="22"/>
        <v>470000000</v>
      </c>
      <c r="B114">
        <f t="shared" si="16"/>
        <v>0</v>
      </c>
      <c r="C114">
        <f t="shared" si="17"/>
        <v>0</v>
      </c>
      <c r="D114">
        <f t="shared" si="17"/>
        <v>0</v>
      </c>
      <c r="E114">
        <f t="shared" si="17"/>
        <v>0</v>
      </c>
      <c r="F114">
        <f t="shared" si="23"/>
        <v>0</v>
      </c>
      <c r="G114">
        <f t="shared" si="24"/>
        <v>0</v>
      </c>
      <c r="H114" t="e">
        <f t="shared" si="25"/>
        <v>#NAME?</v>
      </c>
      <c r="I114">
        <f t="shared" si="26"/>
        <v>0</v>
      </c>
      <c r="J114">
        <f t="shared" si="14"/>
        <v>0</v>
      </c>
    </row>
    <row r="115" spans="1:10" x14ac:dyDescent="0.25">
      <c r="A115">
        <f t="shared" si="22"/>
        <v>560000000</v>
      </c>
      <c r="B115">
        <f t="shared" si="16"/>
        <v>0</v>
      </c>
      <c r="C115">
        <f t="shared" si="17"/>
        <v>0</v>
      </c>
      <c r="D115">
        <f t="shared" si="17"/>
        <v>0</v>
      </c>
      <c r="E115">
        <f t="shared" si="17"/>
        <v>0</v>
      </c>
      <c r="F115">
        <f t="shared" si="23"/>
        <v>0</v>
      </c>
      <c r="G115">
        <f t="shared" si="24"/>
        <v>0</v>
      </c>
      <c r="H115" t="e">
        <f t="shared" si="25"/>
        <v>#NAME?</v>
      </c>
      <c r="I115">
        <f t="shared" si="26"/>
        <v>0</v>
      </c>
      <c r="J115">
        <f t="shared" si="14"/>
        <v>0</v>
      </c>
    </row>
    <row r="116" spans="1:10" x14ac:dyDescent="0.25">
      <c r="A116">
        <f t="shared" si="22"/>
        <v>680000000</v>
      </c>
      <c r="B116">
        <f t="shared" si="16"/>
        <v>0</v>
      </c>
      <c r="C116">
        <f t="shared" si="17"/>
        <v>0</v>
      </c>
      <c r="D116">
        <f t="shared" si="17"/>
        <v>0</v>
      </c>
      <c r="E116">
        <f t="shared" si="17"/>
        <v>0</v>
      </c>
      <c r="F116">
        <f t="shared" si="23"/>
        <v>0</v>
      </c>
      <c r="G116">
        <f t="shared" si="24"/>
        <v>0</v>
      </c>
      <c r="H116" t="e">
        <f t="shared" si="25"/>
        <v>#NAME?</v>
      </c>
      <c r="I116">
        <f t="shared" si="26"/>
        <v>0</v>
      </c>
      <c r="J116">
        <f t="shared" si="14"/>
        <v>0</v>
      </c>
    </row>
    <row r="117" spans="1:10" x14ac:dyDescent="0.25">
      <c r="A117">
        <f t="shared" si="22"/>
        <v>820000000</v>
      </c>
      <c r="B117">
        <f t="shared" si="16"/>
        <v>0</v>
      </c>
      <c r="C117">
        <f t="shared" si="17"/>
        <v>0</v>
      </c>
      <c r="D117">
        <f t="shared" si="17"/>
        <v>0</v>
      </c>
      <c r="E117">
        <f t="shared" si="17"/>
        <v>0</v>
      </c>
      <c r="F117">
        <f t="shared" si="23"/>
        <v>0</v>
      </c>
      <c r="G117">
        <f t="shared" si="24"/>
        <v>0</v>
      </c>
      <c r="H117" t="e">
        <f t="shared" si="25"/>
        <v>#NAME?</v>
      </c>
      <c r="I117">
        <f t="shared" si="26"/>
        <v>0</v>
      </c>
      <c r="J117">
        <f t="shared" si="14"/>
        <v>0</v>
      </c>
    </row>
    <row r="118" spans="1:10" x14ac:dyDescent="0.25">
      <c r="A118">
        <f t="shared" si="22"/>
        <v>1000000000</v>
      </c>
      <c r="B118">
        <f t="shared" si="16"/>
        <v>0</v>
      </c>
      <c r="C118">
        <f t="shared" si="17"/>
        <v>0</v>
      </c>
      <c r="D118">
        <f t="shared" si="17"/>
        <v>0</v>
      </c>
      <c r="E118">
        <f t="shared" si="17"/>
        <v>0</v>
      </c>
      <c r="F118">
        <f t="shared" si="23"/>
        <v>0</v>
      </c>
      <c r="G118">
        <f t="shared" si="24"/>
        <v>0</v>
      </c>
      <c r="H118" t="e">
        <f t="shared" si="25"/>
        <v>#NAME?</v>
      </c>
      <c r="I118">
        <f t="shared" si="26"/>
        <v>0</v>
      </c>
      <c r="J118">
        <f t="shared" si="14"/>
        <v>0</v>
      </c>
    </row>
    <row r="119" spans="1:10" x14ac:dyDescent="0.25">
      <c r="A119">
        <f t="shared" si="22"/>
        <v>1200000000</v>
      </c>
      <c r="B119">
        <f t="shared" si="16"/>
        <v>0</v>
      </c>
      <c r="C119">
        <f t="shared" si="17"/>
        <v>0</v>
      </c>
      <c r="D119">
        <f t="shared" si="17"/>
        <v>0</v>
      </c>
      <c r="E119">
        <f t="shared" si="17"/>
        <v>0</v>
      </c>
      <c r="F119">
        <f t="shared" si="23"/>
        <v>0</v>
      </c>
      <c r="G119">
        <f t="shared" si="24"/>
        <v>0</v>
      </c>
      <c r="H119" t="e">
        <f t="shared" si="25"/>
        <v>#NAME?</v>
      </c>
      <c r="I119">
        <f t="shared" si="26"/>
        <v>0</v>
      </c>
      <c r="J119">
        <f t="shared" si="14"/>
        <v>0</v>
      </c>
    </row>
    <row r="120" spans="1:10" x14ac:dyDescent="0.25">
      <c r="A120">
        <f t="shared" si="22"/>
        <v>1500000000</v>
      </c>
      <c r="B120">
        <f t="shared" si="16"/>
        <v>0</v>
      </c>
      <c r="C120">
        <f t="shared" si="17"/>
        <v>0</v>
      </c>
      <c r="D120">
        <f t="shared" si="17"/>
        <v>0</v>
      </c>
      <c r="E120">
        <f t="shared" si="17"/>
        <v>0</v>
      </c>
      <c r="F120">
        <f t="shared" si="23"/>
        <v>0</v>
      </c>
      <c r="G120">
        <f t="shared" si="24"/>
        <v>0</v>
      </c>
      <c r="H120" t="e">
        <f t="shared" si="25"/>
        <v>#NAME?</v>
      </c>
      <c r="I120">
        <f t="shared" si="26"/>
        <v>0</v>
      </c>
      <c r="J120">
        <f t="shared" si="14"/>
        <v>0</v>
      </c>
    </row>
    <row r="121" spans="1:10" x14ac:dyDescent="0.25">
      <c r="A121">
        <f t="shared" si="22"/>
        <v>1800000000</v>
      </c>
      <c r="B121">
        <f t="shared" si="16"/>
        <v>0</v>
      </c>
      <c r="C121">
        <f t="shared" si="17"/>
        <v>0</v>
      </c>
      <c r="D121">
        <f t="shared" si="17"/>
        <v>0</v>
      </c>
      <c r="E121">
        <f t="shared" si="17"/>
        <v>0</v>
      </c>
      <c r="F121">
        <f t="shared" si="23"/>
        <v>0</v>
      </c>
      <c r="G121">
        <f t="shared" si="24"/>
        <v>0</v>
      </c>
      <c r="H121" t="e">
        <f t="shared" si="25"/>
        <v>#NAME?</v>
      </c>
      <c r="I121">
        <f t="shared" si="26"/>
        <v>0</v>
      </c>
      <c r="J121">
        <f t="shared" si="14"/>
        <v>0</v>
      </c>
    </row>
    <row r="122" spans="1:10" x14ac:dyDescent="0.25">
      <c r="A122">
        <f t="shared" si="22"/>
        <v>2200000000</v>
      </c>
      <c r="B122">
        <f t="shared" si="16"/>
        <v>0</v>
      </c>
      <c r="C122">
        <f t="shared" si="17"/>
        <v>0</v>
      </c>
      <c r="D122">
        <f t="shared" si="17"/>
        <v>0</v>
      </c>
      <c r="E122">
        <f t="shared" si="17"/>
        <v>0</v>
      </c>
      <c r="F122">
        <f t="shared" si="23"/>
        <v>0</v>
      </c>
      <c r="G122">
        <f t="shared" si="24"/>
        <v>0</v>
      </c>
      <c r="H122" t="e">
        <f t="shared" si="25"/>
        <v>#NAME?</v>
      </c>
      <c r="I122">
        <f t="shared" si="26"/>
        <v>0</v>
      </c>
      <c r="J122">
        <f t="shared" si="14"/>
        <v>0</v>
      </c>
    </row>
    <row r="123" spans="1:10" x14ac:dyDescent="0.25">
      <c r="A123">
        <f t="shared" si="22"/>
        <v>2700000000</v>
      </c>
      <c r="B123">
        <f t="shared" si="16"/>
        <v>0</v>
      </c>
      <c r="C123">
        <f t="shared" si="17"/>
        <v>0</v>
      </c>
      <c r="D123">
        <f t="shared" si="17"/>
        <v>0</v>
      </c>
      <c r="E123">
        <f t="shared" si="17"/>
        <v>0</v>
      </c>
      <c r="F123">
        <f t="shared" si="23"/>
        <v>0</v>
      </c>
      <c r="G123">
        <f t="shared" si="24"/>
        <v>0</v>
      </c>
      <c r="H123" t="e">
        <f t="shared" si="25"/>
        <v>#NAME?</v>
      </c>
      <c r="I123">
        <f t="shared" si="26"/>
        <v>0</v>
      </c>
      <c r="J123">
        <f t="shared" si="14"/>
        <v>0</v>
      </c>
    </row>
    <row r="124" spans="1:10" x14ac:dyDescent="0.25">
      <c r="A124">
        <f t="shared" si="22"/>
        <v>3300000000</v>
      </c>
      <c r="B124">
        <f t="shared" si="16"/>
        <v>0</v>
      </c>
      <c r="C124">
        <f t="shared" si="17"/>
        <v>0</v>
      </c>
      <c r="D124">
        <f t="shared" si="17"/>
        <v>0</v>
      </c>
      <c r="E124">
        <f t="shared" si="17"/>
        <v>0</v>
      </c>
      <c r="F124">
        <f t="shared" si="23"/>
        <v>0</v>
      </c>
      <c r="G124">
        <f t="shared" si="24"/>
        <v>0</v>
      </c>
      <c r="H124" t="e">
        <f t="shared" si="25"/>
        <v>#NAME?</v>
      </c>
      <c r="I124">
        <f t="shared" si="26"/>
        <v>0</v>
      </c>
      <c r="J124">
        <f t="shared" si="14"/>
        <v>0</v>
      </c>
    </row>
    <row r="125" spans="1:10" x14ac:dyDescent="0.25">
      <c r="A125">
        <f t="shared" si="22"/>
        <v>3900000000</v>
      </c>
      <c r="B125">
        <f t="shared" si="16"/>
        <v>0</v>
      </c>
      <c r="C125">
        <f t="shared" si="17"/>
        <v>0</v>
      </c>
      <c r="D125">
        <f t="shared" si="17"/>
        <v>0</v>
      </c>
      <c r="E125">
        <f t="shared" si="17"/>
        <v>0</v>
      </c>
      <c r="F125">
        <f t="shared" si="23"/>
        <v>0</v>
      </c>
      <c r="G125">
        <f t="shared" si="24"/>
        <v>0</v>
      </c>
      <c r="H125" t="e">
        <f t="shared" si="25"/>
        <v>#NAME?</v>
      </c>
      <c r="I125">
        <f t="shared" si="26"/>
        <v>0</v>
      </c>
      <c r="J125">
        <f t="shared" si="14"/>
        <v>0</v>
      </c>
    </row>
    <row r="126" spans="1:10" x14ac:dyDescent="0.25">
      <c r="A126">
        <f t="shared" si="22"/>
        <v>4700000000</v>
      </c>
      <c r="B126">
        <f t="shared" si="16"/>
        <v>0</v>
      </c>
      <c r="C126">
        <f t="shared" si="17"/>
        <v>0</v>
      </c>
      <c r="D126">
        <f t="shared" si="17"/>
        <v>0</v>
      </c>
      <c r="E126">
        <f t="shared" si="17"/>
        <v>0</v>
      </c>
      <c r="F126">
        <f t="shared" si="23"/>
        <v>0</v>
      </c>
      <c r="G126">
        <f t="shared" si="24"/>
        <v>0</v>
      </c>
      <c r="H126" t="e">
        <f t="shared" si="25"/>
        <v>#NAME?</v>
      </c>
      <c r="I126">
        <f t="shared" si="26"/>
        <v>0</v>
      </c>
      <c r="J126">
        <f t="shared" si="14"/>
        <v>0</v>
      </c>
    </row>
    <row r="127" spans="1:10" x14ac:dyDescent="0.25">
      <c r="A127">
        <f t="shared" si="22"/>
        <v>5600000000</v>
      </c>
      <c r="B127">
        <f t="shared" si="16"/>
        <v>0</v>
      </c>
      <c r="C127">
        <f t="shared" si="17"/>
        <v>0</v>
      </c>
      <c r="D127">
        <f t="shared" si="17"/>
        <v>0</v>
      </c>
      <c r="E127">
        <f t="shared" si="17"/>
        <v>0</v>
      </c>
      <c r="F127">
        <f t="shared" si="23"/>
        <v>0</v>
      </c>
      <c r="G127">
        <f t="shared" si="24"/>
        <v>0</v>
      </c>
      <c r="H127" t="e">
        <f t="shared" si="25"/>
        <v>#NAME?</v>
      </c>
      <c r="I127">
        <f t="shared" si="26"/>
        <v>0</v>
      </c>
      <c r="J127">
        <f t="shared" si="14"/>
        <v>0</v>
      </c>
    </row>
    <row r="128" spans="1:10" x14ac:dyDescent="0.25">
      <c r="A128">
        <f t="shared" si="22"/>
        <v>6800000000</v>
      </c>
      <c r="B128">
        <f t="shared" si="16"/>
        <v>0</v>
      </c>
      <c r="C128">
        <f t="shared" si="17"/>
        <v>0</v>
      </c>
      <c r="D128">
        <f t="shared" si="17"/>
        <v>0</v>
      </c>
      <c r="E128">
        <f t="shared" si="17"/>
        <v>0</v>
      </c>
      <c r="F128">
        <f t="shared" si="23"/>
        <v>0</v>
      </c>
      <c r="G128">
        <f t="shared" si="24"/>
        <v>0</v>
      </c>
      <c r="H128" t="e">
        <f t="shared" si="25"/>
        <v>#NAME?</v>
      </c>
      <c r="I128">
        <f t="shared" si="26"/>
        <v>0</v>
      </c>
      <c r="J128">
        <f t="shared" si="14"/>
        <v>0</v>
      </c>
    </row>
    <row r="129" spans="1:10" x14ac:dyDescent="0.25">
      <c r="A129">
        <f t="shared" si="22"/>
        <v>8200000000</v>
      </c>
      <c r="B129">
        <f t="shared" si="16"/>
        <v>0</v>
      </c>
      <c r="C129">
        <f t="shared" si="17"/>
        <v>0</v>
      </c>
      <c r="D129">
        <f t="shared" si="17"/>
        <v>0</v>
      </c>
      <c r="E129">
        <f t="shared" si="17"/>
        <v>0</v>
      </c>
      <c r="F129">
        <f t="shared" si="23"/>
        <v>0</v>
      </c>
      <c r="G129">
        <f t="shared" si="24"/>
        <v>0</v>
      </c>
      <c r="H129" t="e">
        <f t="shared" si="25"/>
        <v>#NAME?</v>
      </c>
      <c r="I129">
        <f t="shared" si="26"/>
        <v>0</v>
      </c>
      <c r="J129">
        <f t="shared" si="14"/>
        <v>0</v>
      </c>
    </row>
    <row r="130" spans="1:10" x14ac:dyDescent="0.25">
      <c r="A130">
        <f t="shared" si="22"/>
        <v>10000000000</v>
      </c>
      <c r="B130">
        <f t="shared" si="16"/>
        <v>0</v>
      </c>
      <c r="C130">
        <f t="shared" si="17"/>
        <v>0</v>
      </c>
      <c r="D130">
        <f t="shared" si="17"/>
        <v>0</v>
      </c>
      <c r="E130">
        <f t="shared" si="17"/>
        <v>0</v>
      </c>
      <c r="F130">
        <f t="shared" si="23"/>
        <v>0</v>
      </c>
      <c r="G130">
        <f t="shared" si="24"/>
        <v>0</v>
      </c>
      <c r="H130" t="e">
        <f t="shared" si="25"/>
        <v>#NAME?</v>
      </c>
      <c r="I130">
        <f t="shared" si="26"/>
        <v>0</v>
      </c>
      <c r="J130">
        <f t="shared" si="14"/>
        <v>0</v>
      </c>
    </row>
    <row r="131" spans="1:10" x14ac:dyDescent="0.25">
      <c r="A131">
        <f t="shared" si="22"/>
        <v>12000000000</v>
      </c>
      <c r="B131">
        <f t="shared" si="16"/>
        <v>0</v>
      </c>
      <c r="C131">
        <f t="shared" si="17"/>
        <v>0</v>
      </c>
      <c r="D131">
        <f t="shared" si="17"/>
        <v>0</v>
      </c>
      <c r="E131">
        <f t="shared" si="17"/>
        <v>0</v>
      </c>
      <c r="F131">
        <f t="shared" si="23"/>
        <v>0</v>
      </c>
      <c r="G131">
        <f t="shared" si="24"/>
        <v>0</v>
      </c>
      <c r="H131" t="e">
        <f t="shared" si="25"/>
        <v>#NAME?</v>
      </c>
      <c r="I131">
        <f t="shared" si="26"/>
        <v>0</v>
      </c>
      <c r="J131">
        <f t="shared" si="14"/>
        <v>0</v>
      </c>
    </row>
    <row r="132" spans="1:10" x14ac:dyDescent="0.25">
      <c r="A132">
        <f t="shared" si="22"/>
        <v>15000000000</v>
      </c>
      <c r="B132">
        <f t="shared" si="16"/>
        <v>0</v>
      </c>
      <c r="C132">
        <f t="shared" si="17"/>
        <v>0</v>
      </c>
      <c r="D132">
        <f t="shared" si="17"/>
        <v>0</v>
      </c>
      <c r="E132">
        <f t="shared" si="17"/>
        <v>0</v>
      </c>
      <c r="F132">
        <f t="shared" si="23"/>
        <v>0</v>
      </c>
      <c r="G132">
        <f t="shared" si="24"/>
        <v>0</v>
      </c>
      <c r="H132" t="e">
        <f t="shared" si="25"/>
        <v>#NAME?</v>
      </c>
      <c r="I132">
        <f t="shared" si="26"/>
        <v>0</v>
      </c>
      <c r="J132">
        <f t="shared" si="14"/>
        <v>0</v>
      </c>
    </row>
    <row r="133" spans="1:10" x14ac:dyDescent="0.25">
      <c r="A133">
        <f t="shared" si="22"/>
        <v>18000000000</v>
      </c>
      <c r="B133">
        <f t="shared" si="16"/>
        <v>0</v>
      </c>
      <c r="C133">
        <f t="shared" si="17"/>
        <v>0</v>
      </c>
      <c r="D133">
        <f t="shared" si="17"/>
        <v>0</v>
      </c>
      <c r="E133">
        <f t="shared" si="17"/>
        <v>0</v>
      </c>
      <c r="F133">
        <f t="shared" si="23"/>
        <v>0</v>
      </c>
      <c r="G133">
        <f t="shared" si="24"/>
        <v>0</v>
      </c>
      <c r="H133" t="e">
        <f t="shared" si="25"/>
        <v>#NAME?</v>
      </c>
      <c r="I133">
        <f t="shared" si="26"/>
        <v>0</v>
      </c>
      <c r="J133">
        <f>IF(IF((J$3*10^12-$A134)*(J$3*10^12-$A133)*-1&lt;0,0,1)*IF(ABS(J$3*10^12-$A134)&gt;(J$3*10^12-$A133),$A133,$A134)=J134,0,IF((J$3*10^12-$A134)*(J$3*10^12-$A133)*-1&lt;0,0,1)*IF(ABS(J$3*10^12-$A134)&gt;(J$3*10^12-$A133),$A133,$A134))</f>
        <v>0</v>
      </c>
    </row>
    <row r="134" spans="1:10" x14ac:dyDescent="0.25">
      <c r="A134">
        <f t="shared" si="22"/>
        <v>22000000000</v>
      </c>
      <c r="B134">
        <f t="shared" si="16"/>
        <v>0</v>
      </c>
      <c r="C134">
        <f t="shared" si="17"/>
        <v>0</v>
      </c>
      <c r="D134">
        <f t="shared" si="17"/>
        <v>0</v>
      </c>
      <c r="E134">
        <f t="shared" ref="E134:J159" si="27">IF(IF((E$3*10^12-$A135)*(E$3*10^12-$A134)*-1&lt;0,0,1)*IF(ABS(E$3*10^12-$A135)&gt;(E$3*10^12-$A134),$A134,$A135)=E135,0,IF((E$3*10^12-$A135)*(E$3*10^12-$A134)*-1&lt;0,0,1)*IF(ABS(E$3*10^12-$A135)&gt;(E$3*10^12-$A134),$A134,$A135))</f>
        <v>0</v>
      </c>
      <c r="F134">
        <f t="shared" si="23"/>
        <v>0</v>
      </c>
      <c r="G134">
        <f t="shared" si="24"/>
        <v>0</v>
      </c>
      <c r="H134" t="e">
        <f t="shared" si="25"/>
        <v>#NAME?</v>
      </c>
      <c r="I134">
        <f t="shared" si="26"/>
        <v>0</v>
      </c>
      <c r="J134">
        <f>IF(IF((J$3*10^12-$A135)*(J$3*10^12-$A134)*-1&lt;0,0,1)*IF(ABS(J$3*10^12-$A135)&gt;(J$3*10^12-$A134),$A134,$A135)=J135,0,IF((J$3*10^12-$A135)*(J$3*10^12-$A134)*-1&lt;0,0,1)*IF(ABS(J$3*10^12-$A135)&gt;(J$3*10^12-$A134),$A134,$A135))</f>
        <v>0</v>
      </c>
    </row>
    <row r="135" spans="1:10" x14ac:dyDescent="0.25">
      <c r="A135">
        <f t="shared" si="22"/>
        <v>27000000000</v>
      </c>
      <c r="B135">
        <f t="shared" ref="B135:B159" si="28">IF(IF((B$3*10^12-$A136)*(B$3*10^12-$A135)*-1&lt;0,0,1)*IF(ABS(B$3*10^12-$A136)&gt;(B$3*10^12-$A135),$A135,$A136)=B136,0,IF((B$3*10^12-$A136)*(B$3*10^12-$A135)*-1&lt;0,0,1)*IF(ABS(B$3*10^12-$A136)&gt;(B$3*10^12-$A135),$A135,$A136))</f>
        <v>0</v>
      </c>
      <c r="C135">
        <f t="shared" ref="C135:D159" si="29">IF(IF((C$3*10^12-$A136)*(C$3*10^12-$A135)*-1&lt;0,0,1)*IF(ABS(C$3*10^12-$A136)&gt;(C$3*10^12-$A135),$A135,$A136)=C136,0,IF((C$3*10^12-$A136)*(C$3*10^12-$A135)*-1&lt;0,0,1)*IF(ABS(C$3*10^12-$A136)&gt;(C$3*10^12-$A135),$A135,$A136))</f>
        <v>0</v>
      </c>
      <c r="D135">
        <f t="shared" si="29"/>
        <v>0</v>
      </c>
      <c r="E135">
        <f t="shared" si="27"/>
        <v>0</v>
      </c>
      <c r="F135">
        <f t="shared" si="27"/>
        <v>0</v>
      </c>
      <c r="G135">
        <f t="shared" si="27"/>
        <v>0</v>
      </c>
      <c r="H135" t="e">
        <f t="shared" si="27"/>
        <v>#NAME?</v>
      </c>
      <c r="I135">
        <f t="shared" si="27"/>
        <v>0</v>
      </c>
      <c r="J135">
        <f t="shared" si="27"/>
        <v>0</v>
      </c>
    </row>
    <row r="136" spans="1:10" x14ac:dyDescent="0.25">
      <c r="A136">
        <f t="shared" si="22"/>
        <v>33000000000</v>
      </c>
      <c r="B136">
        <f t="shared" si="28"/>
        <v>0</v>
      </c>
      <c r="C136">
        <f t="shared" si="29"/>
        <v>0</v>
      </c>
      <c r="D136">
        <f t="shared" si="29"/>
        <v>0</v>
      </c>
      <c r="E136">
        <f t="shared" si="27"/>
        <v>0</v>
      </c>
      <c r="F136">
        <f t="shared" si="27"/>
        <v>0</v>
      </c>
      <c r="G136">
        <f t="shared" si="27"/>
        <v>0</v>
      </c>
      <c r="H136" t="e">
        <f t="shared" si="27"/>
        <v>#NAME?</v>
      </c>
      <c r="I136">
        <f t="shared" si="27"/>
        <v>0</v>
      </c>
      <c r="J136">
        <f t="shared" si="27"/>
        <v>0</v>
      </c>
    </row>
    <row r="137" spans="1:10" x14ac:dyDescent="0.25">
      <c r="A137">
        <f t="shared" si="22"/>
        <v>39000000000</v>
      </c>
      <c r="B137">
        <f t="shared" si="28"/>
        <v>0</v>
      </c>
      <c r="C137">
        <f t="shared" si="29"/>
        <v>0</v>
      </c>
      <c r="D137">
        <f t="shared" si="29"/>
        <v>0</v>
      </c>
      <c r="E137">
        <f t="shared" si="27"/>
        <v>0</v>
      </c>
      <c r="F137">
        <f t="shared" si="27"/>
        <v>0</v>
      </c>
      <c r="G137">
        <f t="shared" si="27"/>
        <v>0</v>
      </c>
      <c r="H137" t="e">
        <f t="shared" si="27"/>
        <v>#NAME?</v>
      </c>
      <c r="I137">
        <f t="shared" si="27"/>
        <v>0</v>
      </c>
      <c r="J137">
        <f t="shared" si="27"/>
        <v>0</v>
      </c>
    </row>
    <row r="138" spans="1:10" x14ac:dyDescent="0.25">
      <c r="A138">
        <f t="shared" si="22"/>
        <v>47000000000</v>
      </c>
      <c r="B138">
        <f t="shared" si="28"/>
        <v>0</v>
      </c>
      <c r="C138">
        <f t="shared" si="29"/>
        <v>0</v>
      </c>
      <c r="D138">
        <f t="shared" si="29"/>
        <v>0</v>
      </c>
      <c r="E138">
        <f t="shared" si="27"/>
        <v>0</v>
      </c>
      <c r="F138">
        <f t="shared" si="27"/>
        <v>0</v>
      </c>
      <c r="G138">
        <f t="shared" si="27"/>
        <v>0</v>
      </c>
      <c r="H138" t="e">
        <f t="shared" si="27"/>
        <v>#NAME?</v>
      </c>
      <c r="I138">
        <f t="shared" si="27"/>
        <v>0</v>
      </c>
      <c r="J138">
        <f t="shared" si="27"/>
        <v>0</v>
      </c>
    </row>
    <row r="139" spans="1:10" x14ac:dyDescent="0.25">
      <c r="A139">
        <f t="shared" si="22"/>
        <v>56000000000</v>
      </c>
      <c r="B139">
        <f t="shared" si="28"/>
        <v>0</v>
      </c>
      <c r="C139">
        <f t="shared" si="29"/>
        <v>0</v>
      </c>
      <c r="D139">
        <f t="shared" si="29"/>
        <v>0</v>
      </c>
      <c r="E139">
        <f t="shared" si="27"/>
        <v>0</v>
      </c>
      <c r="F139">
        <f t="shared" si="27"/>
        <v>0</v>
      </c>
      <c r="G139">
        <f t="shared" si="27"/>
        <v>0</v>
      </c>
      <c r="H139" t="e">
        <f t="shared" si="27"/>
        <v>#NAME?</v>
      </c>
      <c r="I139">
        <f t="shared" si="27"/>
        <v>0</v>
      </c>
      <c r="J139">
        <f t="shared" si="27"/>
        <v>0</v>
      </c>
    </row>
    <row r="140" spans="1:10" x14ac:dyDescent="0.25">
      <c r="A140">
        <f t="shared" si="22"/>
        <v>68000000000</v>
      </c>
      <c r="B140">
        <f t="shared" si="28"/>
        <v>0</v>
      </c>
      <c r="C140">
        <f t="shared" si="29"/>
        <v>0</v>
      </c>
      <c r="D140">
        <f t="shared" si="29"/>
        <v>0</v>
      </c>
      <c r="E140">
        <f t="shared" si="27"/>
        <v>0</v>
      </c>
      <c r="F140">
        <f t="shared" si="27"/>
        <v>0</v>
      </c>
      <c r="G140">
        <f t="shared" si="27"/>
        <v>0</v>
      </c>
      <c r="H140" t="e">
        <f t="shared" si="27"/>
        <v>#NAME?</v>
      </c>
      <c r="I140">
        <f t="shared" si="27"/>
        <v>0</v>
      </c>
      <c r="J140">
        <f t="shared" si="27"/>
        <v>0</v>
      </c>
    </row>
    <row r="141" spans="1:10" x14ac:dyDescent="0.25">
      <c r="A141">
        <f t="shared" si="22"/>
        <v>82000000000</v>
      </c>
      <c r="B141">
        <f t="shared" si="28"/>
        <v>0</v>
      </c>
      <c r="C141">
        <f t="shared" si="29"/>
        <v>0</v>
      </c>
      <c r="D141">
        <f t="shared" si="29"/>
        <v>0</v>
      </c>
      <c r="E141">
        <f t="shared" si="27"/>
        <v>0</v>
      </c>
      <c r="F141">
        <f t="shared" si="27"/>
        <v>0</v>
      </c>
      <c r="G141">
        <f t="shared" si="27"/>
        <v>0</v>
      </c>
      <c r="H141" t="e">
        <f t="shared" si="27"/>
        <v>#NAME?</v>
      </c>
      <c r="I141">
        <f t="shared" si="27"/>
        <v>0</v>
      </c>
      <c r="J141">
        <f t="shared" si="27"/>
        <v>0</v>
      </c>
    </row>
    <row r="142" spans="1:10" x14ac:dyDescent="0.25">
      <c r="A142">
        <f t="shared" si="22"/>
        <v>100000000000</v>
      </c>
      <c r="B142">
        <f t="shared" si="28"/>
        <v>0</v>
      </c>
      <c r="C142">
        <f t="shared" si="29"/>
        <v>0</v>
      </c>
      <c r="D142">
        <f t="shared" si="29"/>
        <v>0</v>
      </c>
      <c r="E142">
        <f t="shared" si="27"/>
        <v>0</v>
      </c>
      <c r="F142">
        <f t="shared" si="27"/>
        <v>0</v>
      </c>
      <c r="G142">
        <f t="shared" si="27"/>
        <v>0</v>
      </c>
      <c r="H142" t="e">
        <f t="shared" si="27"/>
        <v>#NAME?</v>
      </c>
      <c r="I142">
        <f t="shared" si="27"/>
        <v>0</v>
      </c>
      <c r="J142">
        <f t="shared" si="27"/>
        <v>0</v>
      </c>
    </row>
    <row r="143" spans="1:10" x14ac:dyDescent="0.25">
      <c r="A143">
        <f t="shared" si="22"/>
        <v>120000000000</v>
      </c>
      <c r="B143">
        <f t="shared" si="28"/>
        <v>0</v>
      </c>
      <c r="C143">
        <f t="shared" si="29"/>
        <v>0</v>
      </c>
      <c r="D143">
        <f t="shared" si="29"/>
        <v>0</v>
      </c>
      <c r="E143">
        <f t="shared" si="27"/>
        <v>0</v>
      </c>
      <c r="F143">
        <f t="shared" si="27"/>
        <v>0</v>
      </c>
      <c r="G143">
        <f t="shared" si="27"/>
        <v>0</v>
      </c>
      <c r="H143" t="e">
        <f t="shared" si="27"/>
        <v>#NAME?</v>
      </c>
      <c r="I143">
        <f t="shared" si="27"/>
        <v>0</v>
      </c>
      <c r="J143">
        <f t="shared" si="27"/>
        <v>0</v>
      </c>
    </row>
    <row r="144" spans="1:10" x14ac:dyDescent="0.25">
      <c r="A144">
        <f t="shared" si="22"/>
        <v>150000000000</v>
      </c>
      <c r="B144">
        <f t="shared" si="28"/>
        <v>0</v>
      </c>
      <c r="C144">
        <f t="shared" si="29"/>
        <v>0</v>
      </c>
      <c r="D144">
        <f t="shared" si="29"/>
        <v>0</v>
      </c>
      <c r="E144">
        <f t="shared" si="27"/>
        <v>0</v>
      </c>
      <c r="F144">
        <f t="shared" si="27"/>
        <v>0</v>
      </c>
      <c r="G144">
        <f t="shared" si="27"/>
        <v>0</v>
      </c>
      <c r="H144" t="e">
        <f t="shared" si="27"/>
        <v>#NAME?</v>
      </c>
      <c r="I144">
        <f t="shared" si="27"/>
        <v>0</v>
      </c>
      <c r="J144">
        <f t="shared" si="27"/>
        <v>0</v>
      </c>
    </row>
    <row r="145" spans="1:10" x14ac:dyDescent="0.25">
      <c r="A145">
        <f t="shared" si="22"/>
        <v>180000000000</v>
      </c>
      <c r="B145">
        <f t="shared" si="28"/>
        <v>0</v>
      </c>
      <c r="C145">
        <f t="shared" si="29"/>
        <v>0</v>
      </c>
      <c r="D145">
        <f t="shared" si="29"/>
        <v>0</v>
      </c>
      <c r="E145">
        <f t="shared" si="27"/>
        <v>0</v>
      </c>
      <c r="F145">
        <f t="shared" si="27"/>
        <v>0</v>
      </c>
      <c r="G145">
        <f t="shared" si="27"/>
        <v>0</v>
      </c>
      <c r="H145" t="e">
        <f t="shared" si="27"/>
        <v>#NAME?</v>
      </c>
      <c r="I145">
        <f t="shared" si="27"/>
        <v>0</v>
      </c>
      <c r="J145">
        <f t="shared" si="27"/>
        <v>0</v>
      </c>
    </row>
    <row r="146" spans="1:10" x14ac:dyDescent="0.25">
      <c r="A146">
        <f t="shared" si="22"/>
        <v>220000000000</v>
      </c>
      <c r="B146">
        <f t="shared" si="28"/>
        <v>0</v>
      </c>
      <c r="C146">
        <f t="shared" si="29"/>
        <v>0</v>
      </c>
      <c r="D146">
        <f t="shared" si="29"/>
        <v>0</v>
      </c>
      <c r="E146">
        <f t="shared" si="27"/>
        <v>0</v>
      </c>
      <c r="F146">
        <f t="shared" si="27"/>
        <v>0</v>
      </c>
      <c r="G146">
        <f t="shared" si="27"/>
        <v>0</v>
      </c>
      <c r="H146" t="e">
        <f t="shared" si="27"/>
        <v>#NAME?</v>
      </c>
      <c r="I146">
        <f t="shared" si="27"/>
        <v>0</v>
      </c>
      <c r="J146">
        <f t="shared" si="27"/>
        <v>0</v>
      </c>
    </row>
    <row r="147" spans="1:10" x14ac:dyDescent="0.25">
      <c r="A147">
        <f t="shared" si="22"/>
        <v>270000000000</v>
      </c>
      <c r="B147">
        <f t="shared" si="28"/>
        <v>0</v>
      </c>
      <c r="C147">
        <f t="shared" si="29"/>
        <v>0</v>
      </c>
      <c r="D147">
        <f t="shared" si="29"/>
        <v>0</v>
      </c>
      <c r="E147">
        <f t="shared" si="27"/>
        <v>0</v>
      </c>
      <c r="F147">
        <f t="shared" si="27"/>
        <v>0</v>
      </c>
      <c r="G147">
        <f t="shared" si="27"/>
        <v>0</v>
      </c>
      <c r="H147" t="e">
        <f t="shared" si="27"/>
        <v>#NAME?</v>
      </c>
      <c r="I147">
        <f t="shared" si="27"/>
        <v>0</v>
      </c>
      <c r="J147">
        <f t="shared" si="27"/>
        <v>0</v>
      </c>
    </row>
    <row r="148" spans="1:10" x14ac:dyDescent="0.25">
      <c r="A148">
        <f t="shared" si="22"/>
        <v>330000000000</v>
      </c>
      <c r="B148">
        <f t="shared" si="28"/>
        <v>0</v>
      </c>
      <c r="C148">
        <f t="shared" si="29"/>
        <v>0</v>
      </c>
      <c r="D148">
        <f t="shared" si="29"/>
        <v>0</v>
      </c>
      <c r="E148">
        <f t="shared" si="27"/>
        <v>0</v>
      </c>
      <c r="F148">
        <f t="shared" si="27"/>
        <v>0</v>
      </c>
      <c r="G148">
        <f t="shared" si="27"/>
        <v>0</v>
      </c>
      <c r="H148" t="e">
        <f t="shared" si="27"/>
        <v>#NAME?</v>
      </c>
      <c r="I148">
        <f t="shared" si="27"/>
        <v>0</v>
      </c>
      <c r="J148">
        <f t="shared" si="27"/>
        <v>0</v>
      </c>
    </row>
    <row r="149" spans="1:10" x14ac:dyDescent="0.25">
      <c r="A149">
        <f t="shared" si="22"/>
        <v>390000000000</v>
      </c>
      <c r="B149">
        <f t="shared" si="28"/>
        <v>0</v>
      </c>
      <c r="C149">
        <f t="shared" si="29"/>
        <v>0</v>
      </c>
      <c r="D149">
        <f t="shared" si="29"/>
        <v>0</v>
      </c>
      <c r="E149">
        <f t="shared" si="27"/>
        <v>0</v>
      </c>
      <c r="F149">
        <f t="shared" si="27"/>
        <v>0</v>
      </c>
      <c r="G149">
        <f t="shared" si="27"/>
        <v>0</v>
      </c>
      <c r="H149" t="e">
        <f t="shared" si="27"/>
        <v>#NAME?</v>
      </c>
      <c r="I149">
        <f t="shared" si="27"/>
        <v>0</v>
      </c>
      <c r="J149">
        <f t="shared" si="27"/>
        <v>0</v>
      </c>
    </row>
    <row r="150" spans="1:10" x14ac:dyDescent="0.25">
      <c r="A150">
        <f t="shared" si="22"/>
        <v>470000000000</v>
      </c>
      <c r="B150">
        <f t="shared" si="28"/>
        <v>0</v>
      </c>
      <c r="C150">
        <f t="shared" si="29"/>
        <v>0</v>
      </c>
      <c r="D150">
        <f t="shared" si="29"/>
        <v>0</v>
      </c>
      <c r="E150">
        <f t="shared" si="27"/>
        <v>0</v>
      </c>
      <c r="F150">
        <f t="shared" si="27"/>
        <v>0</v>
      </c>
      <c r="G150">
        <f t="shared" si="27"/>
        <v>0</v>
      </c>
      <c r="H150" t="e">
        <f t="shared" si="27"/>
        <v>#NAME?</v>
      </c>
      <c r="I150">
        <f t="shared" si="27"/>
        <v>0</v>
      </c>
      <c r="J150">
        <f t="shared" si="27"/>
        <v>0</v>
      </c>
    </row>
    <row r="151" spans="1:10" x14ac:dyDescent="0.25">
      <c r="A151">
        <f t="shared" si="22"/>
        <v>560000000000</v>
      </c>
      <c r="B151">
        <f t="shared" si="28"/>
        <v>0</v>
      </c>
      <c r="C151">
        <f t="shared" si="29"/>
        <v>0</v>
      </c>
      <c r="D151">
        <f t="shared" si="29"/>
        <v>0</v>
      </c>
      <c r="E151">
        <f t="shared" si="27"/>
        <v>0</v>
      </c>
      <c r="F151">
        <f t="shared" si="27"/>
        <v>0</v>
      </c>
      <c r="G151">
        <f t="shared" si="27"/>
        <v>0</v>
      </c>
      <c r="H151" t="e">
        <f t="shared" si="27"/>
        <v>#NAME?</v>
      </c>
      <c r="I151">
        <f t="shared" si="27"/>
        <v>0</v>
      </c>
      <c r="J151">
        <f t="shared" si="27"/>
        <v>0</v>
      </c>
    </row>
    <row r="152" spans="1:10" x14ac:dyDescent="0.25">
      <c r="A152">
        <f t="shared" si="22"/>
        <v>680000000000</v>
      </c>
      <c r="B152">
        <f t="shared" si="28"/>
        <v>0</v>
      </c>
      <c r="C152">
        <f t="shared" si="29"/>
        <v>0</v>
      </c>
      <c r="D152">
        <f t="shared" si="29"/>
        <v>0</v>
      </c>
      <c r="E152">
        <f t="shared" si="27"/>
        <v>0</v>
      </c>
      <c r="F152">
        <f t="shared" si="27"/>
        <v>0</v>
      </c>
      <c r="G152">
        <f t="shared" si="27"/>
        <v>0</v>
      </c>
      <c r="H152" t="e">
        <f t="shared" si="27"/>
        <v>#NAME?</v>
      </c>
      <c r="I152">
        <f t="shared" si="27"/>
        <v>0</v>
      </c>
      <c r="J152">
        <f t="shared" si="27"/>
        <v>0</v>
      </c>
    </row>
    <row r="153" spans="1:10" x14ac:dyDescent="0.25">
      <c r="A153">
        <f t="shared" si="22"/>
        <v>820000000000</v>
      </c>
      <c r="B153">
        <f t="shared" si="28"/>
        <v>0</v>
      </c>
      <c r="C153">
        <f t="shared" si="29"/>
        <v>0</v>
      </c>
      <c r="D153">
        <f t="shared" si="29"/>
        <v>0</v>
      </c>
      <c r="E153">
        <f t="shared" si="27"/>
        <v>0</v>
      </c>
      <c r="F153">
        <f t="shared" si="27"/>
        <v>0</v>
      </c>
      <c r="G153">
        <f t="shared" si="27"/>
        <v>0</v>
      </c>
      <c r="H153" t="e">
        <f t="shared" si="27"/>
        <v>#NAME?</v>
      </c>
      <c r="I153">
        <f t="shared" si="27"/>
        <v>0</v>
      </c>
      <c r="J153">
        <f t="shared" si="27"/>
        <v>0</v>
      </c>
    </row>
    <row r="154" spans="1:10" x14ac:dyDescent="0.25">
      <c r="A154">
        <f t="shared" si="22"/>
        <v>1000000000000</v>
      </c>
      <c r="B154">
        <f t="shared" si="28"/>
        <v>0</v>
      </c>
      <c r="C154">
        <f t="shared" si="29"/>
        <v>0</v>
      </c>
      <c r="D154">
        <f t="shared" si="29"/>
        <v>0</v>
      </c>
      <c r="E154">
        <f t="shared" si="27"/>
        <v>0</v>
      </c>
      <c r="F154">
        <f t="shared" si="27"/>
        <v>0</v>
      </c>
      <c r="G154">
        <f t="shared" si="27"/>
        <v>0</v>
      </c>
      <c r="H154" t="e">
        <f t="shared" si="27"/>
        <v>#NAME?</v>
      </c>
      <c r="I154">
        <f t="shared" si="27"/>
        <v>0</v>
      </c>
      <c r="J154">
        <f t="shared" si="27"/>
        <v>0</v>
      </c>
    </row>
    <row r="155" spans="1:10" x14ac:dyDescent="0.25">
      <c r="A155">
        <f t="shared" si="22"/>
        <v>1200000000000</v>
      </c>
      <c r="B155">
        <f t="shared" si="28"/>
        <v>0</v>
      </c>
      <c r="C155">
        <f t="shared" si="29"/>
        <v>0</v>
      </c>
      <c r="D155">
        <f t="shared" si="29"/>
        <v>0</v>
      </c>
      <c r="E155">
        <f t="shared" si="27"/>
        <v>0</v>
      </c>
      <c r="F155">
        <f t="shared" si="27"/>
        <v>0</v>
      </c>
      <c r="G155">
        <f t="shared" si="27"/>
        <v>0</v>
      </c>
      <c r="H155" t="e">
        <f t="shared" si="27"/>
        <v>#NAME?</v>
      </c>
      <c r="I155">
        <f t="shared" si="27"/>
        <v>0</v>
      </c>
      <c r="J155">
        <f t="shared" si="27"/>
        <v>0</v>
      </c>
    </row>
    <row r="156" spans="1:10" x14ac:dyDescent="0.25">
      <c r="A156">
        <f t="shared" si="22"/>
        <v>1500000000000</v>
      </c>
      <c r="B156">
        <f t="shared" si="28"/>
        <v>0</v>
      </c>
      <c r="C156">
        <f t="shared" si="29"/>
        <v>0</v>
      </c>
      <c r="D156">
        <f t="shared" si="29"/>
        <v>0</v>
      </c>
      <c r="E156">
        <f t="shared" si="27"/>
        <v>0</v>
      </c>
      <c r="F156">
        <f t="shared" si="27"/>
        <v>0</v>
      </c>
      <c r="G156">
        <f t="shared" si="27"/>
        <v>0</v>
      </c>
      <c r="H156" t="e">
        <f t="shared" si="27"/>
        <v>#NAME?</v>
      </c>
      <c r="I156">
        <f t="shared" si="27"/>
        <v>0</v>
      </c>
      <c r="J156">
        <f t="shared" si="27"/>
        <v>0</v>
      </c>
    </row>
    <row r="157" spans="1:10" x14ac:dyDescent="0.25">
      <c r="A157">
        <f t="shared" si="22"/>
        <v>1800000000000</v>
      </c>
      <c r="B157">
        <f t="shared" si="28"/>
        <v>0</v>
      </c>
      <c r="C157">
        <f t="shared" si="29"/>
        <v>0</v>
      </c>
      <c r="D157">
        <f t="shared" si="29"/>
        <v>0</v>
      </c>
      <c r="E157">
        <f t="shared" si="27"/>
        <v>0</v>
      </c>
      <c r="F157">
        <f t="shared" si="27"/>
        <v>0</v>
      </c>
      <c r="G157">
        <f t="shared" si="27"/>
        <v>0</v>
      </c>
      <c r="H157" t="e">
        <f t="shared" si="27"/>
        <v>#NAME?</v>
      </c>
      <c r="I157">
        <f t="shared" si="27"/>
        <v>0</v>
      </c>
      <c r="J157">
        <f t="shared" si="27"/>
        <v>0</v>
      </c>
    </row>
    <row r="158" spans="1:10" x14ac:dyDescent="0.25">
      <c r="A158">
        <f t="shared" si="22"/>
        <v>2200000000000</v>
      </c>
      <c r="B158">
        <f t="shared" si="28"/>
        <v>0</v>
      </c>
      <c r="C158">
        <f t="shared" si="29"/>
        <v>0</v>
      </c>
      <c r="D158">
        <f t="shared" si="29"/>
        <v>0</v>
      </c>
      <c r="E158">
        <f t="shared" si="27"/>
        <v>0</v>
      </c>
      <c r="F158">
        <f t="shared" si="27"/>
        <v>0</v>
      </c>
      <c r="G158">
        <f t="shared" si="27"/>
        <v>0</v>
      </c>
      <c r="H158" t="e">
        <f t="shared" si="27"/>
        <v>#NAME?</v>
      </c>
      <c r="I158">
        <f t="shared" si="27"/>
        <v>0</v>
      </c>
      <c r="J158">
        <f t="shared" si="27"/>
        <v>0</v>
      </c>
    </row>
    <row r="159" spans="1:10" x14ac:dyDescent="0.25">
      <c r="A159" s="43">
        <f t="shared" si="22"/>
        <v>2700000000000</v>
      </c>
      <c r="B159">
        <f t="shared" si="28"/>
        <v>0</v>
      </c>
      <c r="C159">
        <f t="shared" si="29"/>
        <v>2700000000000</v>
      </c>
      <c r="D159">
        <f t="shared" si="29"/>
        <v>2700000000000</v>
      </c>
      <c r="E159">
        <f t="shared" si="27"/>
        <v>2700000000000</v>
      </c>
      <c r="F159">
        <f t="shared" si="27"/>
        <v>2700000000000</v>
      </c>
      <c r="G159">
        <f t="shared" si="27"/>
        <v>2700000000000</v>
      </c>
      <c r="H159" t="e">
        <f t="shared" si="27"/>
        <v>#NAME?</v>
      </c>
      <c r="I159">
        <f t="shared" si="27"/>
        <v>2700000000000</v>
      </c>
      <c r="J159">
        <f t="shared" si="27"/>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3.2" x14ac:dyDescent="0.25"/>
  <cols>
    <col min="1" max="1" width="18.5546875" customWidth="1"/>
    <col min="2" max="2" width="9.33203125" customWidth="1"/>
    <col min="4" max="4" width="11.109375" customWidth="1"/>
  </cols>
  <sheetData>
    <row r="1" spans="1:5" x14ac:dyDescent="0.25">
      <c r="C1" t="s">
        <v>180</v>
      </c>
      <c r="D1" t="s">
        <v>179</v>
      </c>
    </row>
    <row r="2" spans="1:5" x14ac:dyDescent="0.25">
      <c r="A2" t="s">
        <v>177</v>
      </c>
      <c r="B2" s="47">
        <v>85</v>
      </c>
      <c r="C2" t="s">
        <v>178</v>
      </c>
      <c r="D2">
        <f>B2*1000000</f>
        <v>85000000</v>
      </c>
      <c r="E2" t="s">
        <v>9</v>
      </c>
    </row>
    <row r="3" spans="1:5" x14ac:dyDescent="0.25">
      <c r="A3" t="s">
        <v>181</v>
      </c>
      <c r="B3" s="47">
        <v>3000</v>
      </c>
      <c r="C3" t="s">
        <v>30</v>
      </c>
      <c r="D3">
        <f>B3*0.000000000001</f>
        <v>3E-9</v>
      </c>
      <c r="E3" t="s">
        <v>24</v>
      </c>
    </row>
    <row r="4" spans="1:5" x14ac:dyDescent="0.25">
      <c r="A4" t="s">
        <v>183</v>
      </c>
      <c r="B4" s="48">
        <f>1000000000*1/((D2*2*3.14159)^2*D3)</f>
        <v>1.1686430773614742</v>
      </c>
      <c r="C4" t="s">
        <v>184</v>
      </c>
      <c r="D4">
        <f>B4/1000000000</f>
        <v>1.1686430773614743E-9</v>
      </c>
      <c r="E4" t="s">
        <v>19</v>
      </c>
    </row>
    <row r="5" spans="1:5" x14ac:dyDescent="0.25">
      <c r="A5" t="s">
        <v>182</v>
      </c>
      <c r="B5">
        <f>4*B3</f>
        <v>12000</v>
      </c>
      <c r="C5" t="s">
        <v>30</v>
      </c>
      <c r="D5">
        <f>B5*0.000000000001</f>
        <v>1.2E-8</v>
      </c>
      <c r="E5" t="s">
        <v>24</v>
      </c>
    </row>
    <row r="6" spans="1:5" x14ac:dyDescent="0.25">
      <c r="A6" t="s">
        <v>185</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3.2" x14ac:dyDescent="0.25"/>
  <sheetData>
    <row r="3" spans="1:5" x14ac:dyDescent="0.25">
      <c r="A3" t="s">
        <v>153</v>
      </c>
      <c r="B3" t="e">
        <f>Iripple1</f>
        <v>#NAME?</v>
      </c>
    </row>
    <row r="4" spans="1:5" x14ac:dyDescent="0.25">
      <c r="A4" t="s">
        <v>6</v>
      </c>
      <c r="B4">
        <f>Fsw</f>
        <v>440000</v>
      </c>
    </row>
    <row r="6" spans="1:5" x14ac:dyDescent="0.25">
      <c r="A6" t="s">
        <v>142</v>
      </c>
      <c r="B6" s="41">
        <v>0.5</v>
      </c>
      <c r="C6" t="s">
        <v>63</v>
      </c>
      <c r="D6">
        <f>B6/1000</f>
        <v>5.0000000000000001E-4</v>
      </c>
      <c r="E6" t="s">
        <v>20</v>
      </c>
    </row>
    <row r="7" spans="1:5" x14ac:dyDescent="0.25">
      <c r="A7" t="s">
        <v>151</v>
      </c>
      <c r="B7" s="41">
        <v>20</v>
      </c>
      <c r="C7" t="s">
        <v>23</v>
      </c>
      <c r="D7">
        <f>B7/1000000</f>
        <v>2.0000000000000002E-5</v>
      </c>
      <c r="E7" t="s">
        <v>24</v>
      </c>
    </row>
    <row r="9" spans="1:5" x14ac:dyDescent="0.25">
      <c r="A9" t="s">
        <v>143</v>
      </c>
      <c r="B9" s="41">
        <v>20</v>
      </c>
      <c r="C9" t="s">
        <v>63</v>
      </c>
      <c r="D9">
        <f>B9/1000</f>
        <v>0.02</v>
      </c>
      <c r="E9" t="s">
        <v>20</v>
      </c>
    </row>
    <row r="10" spans="1:5" x14ac:dyDescent="0.25">
      <c r="A10" t="s">
        <v>152</v>
      </c>
      <c r="B10" s="41">
        <v>68</v>
      </c>
      <c r="C10" t="s">
        <v>23</v>
      </c>
      <c r="D10">
        <f>B10/1000000</f>
        <v>6.7999999999999999E-5</v>
      </c>
      <c r="E10" t="s">
        <v>24</v>
      </c>
    </row>
    <row r="12" spans="1:5" x14ac:dyDescent="0.25">
      <c r="A12" t="s">
        <v>155</v>
      </c>
      <c r="B12">
        <f>(D7/(D7+D10))*SQRT((D9*D10*B4)^2+1)/SQRT((((D6+D9)*D7*D10/(D10+D7))*B4)^2+1)</f>
        <v>0.2623198781570561</v>
      </c>
      <c r="C12" t="s">
        <v>154</v>
      </c>
    </row>
    <row r="13" spans="1:5" x14ac:dyDescent="0.25">
      <c r="A13" t="s">
        <v>156</v>
      </c>
      <c r="B13">
        <f>1-B12</f>
        <v>0.73768012184294385</v>
      </c>
      <c r="C13" t="s">
        <v>154</v>
      </c>
    </row>
    <row r="15" spans="1:5" x14ac:dyDescent="0.25">
      <c r="A15" t="s">
        <v>155</v>
      </c>
      <c r="B15" t="e">
        <f>B12*(Iripple1/(2*SQRT(3)))</f>
        <v>#NAME?</v>
      </c>
      <c r="C15" t="s">
        <v>1</v>
      </c>
    </row>
    <row r="16" spans="1:5" x14ac:dyDescent="0.25">
      <c r="A16" t="s">
        <v>156</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291</vt:i4>
      </vt:variant>
    </vt:vector>
  </HeadingPairs>
  <TitlesOfParts>
    <vt:vector size="305"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Cc1ea</vt:lpstr>
      <vt:lpstr>Cc1ea_u</vt:lpstr>
      <vt:lpstr>Cc2ea</vt:lpstr>
      <vt:lpstr>Cc2ea_u</vt:lpstr>
      <vt:lpstr>Cc3ea</vt:lpstr>
      <vt:lpstr>Cc3ea_u</vt:lpstr>
      <vt:lpstr>Cc4ea</vt:lpstr>
      <vt:lpstr>Cc4ea_u</vt:lpstr>
      <vt:lpstr>Ch1_VOUT</vt:lpstr>
      <vt:lpstr>Ch2_VOUT</vt:lpstr>
      <vt:lpstr>Cin</vt:lpstr>
      <vt:lpstr>CinEsrMax</vt:lpstr>
      <vt:lpstr>Cinmin</vt:lpstr>
      <vt:lpstr>CNFG</vt:lpstr>
      <vt:lpstr>Core_Loss_Ch1</vt:lpstr>
      <vt:lpstr>Core_Loss_Ch2</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Deadtime1</vt:lpstr>
      <vt:lpstr>Deadtime2</vt:lpstr>
      <vt:lpstr>DEMB</vt:lpstr>
      <vt:lpstr>Doff1</vt:lpstr>
      <vt:lpstr>Doff2</vt:lpstr>
      <vt:lpstr>Don_buckboost</vt:lpstr>
      <vt:lpstr>DRSS_OFF</vt:lpstr>
      <vt:lpstr>EFF_Ch1</vt:lpstr>
      <vt:lpstr>EFF_Ch2</vt:lpstr>
      <vt:lpstr>Efficiency</vt:lpstr>
      <vt:lpstr>EXT_BIAS</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Ien_hys</vt:lpstr>
      <vt:lpstr>Iin_Vinmax</vt:lpstr>
      <vt:lpstr>Iin_Vinmin</vt:lpstr>
      <vt:lpstr>Iin_Vinnom</vt:lpstr>
      <vt:lpstr>Ilimit_DC</vt:lpstr>
      <vt:lpstr>Ilimit2_DC</vt:lpstr>
      <vt:lpstr>INPUT_UVLO</vt:lpstr>
      <vt:lpstr>INPUT_UVLO_STUFFED</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kd</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Rcnfg</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Rss</vt:lpstr>
      <vt:lpstr>Rss_u</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Xinyi Zhang</cp:lastModifiedBy>
  <cp:lastPrinted>2018-10-08T16:56:44Z</cp:lastPrinted>
  <dcterms:created xsi:type="dcterms:W3CDTF">1996-10-14T23:33:28Z</dcterms:created>
  <dcterms:modified xsi:type="dcterms:W3CDTF">2026-05-30T17:13:08Z</dcterms:modified>
</cp:coreProperties>
</file>