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Users\hense\Downloads\"/>
    </mc:Choice>
  </mc:AlternateContent>
  <xr:revisionPtr revIDLastSave="0" documentId="13_ncr:1_{86CAD200-A113-4790-8FB4-8E469D6B59B7}" xr6:coauthVersionLast="47" xr6:coauthVersionMax="47" xr10:uidLastSave="{00000000-0000-0000-0000-000000000000}"/>
  <bookViews>
    <workbookView xWindow="-110" yWindow="-110" windowWidth="25820" windowHeight="15500" tabRatio="897" firstSheet="1"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 i="16" l="1"/>
  <c r="T8" i="16"/>
  <c r="T7" i="16"/>
  <c r="T6" i="16"/>
  <c r="T5" i="16"/>
  <c r="T4" i="16"/>
  <c r="S9" i="16"/>
  <c r="U9" i="16" s="1"/>
  <c r="S8" i="16"/>
  <c r="U8" i="16" s="1"/>
  <c r="S7" i="16"/>
  <c r="U7" i="16" s="1"/>
  <c r="S6" i="16"/>
  <c r="U6" i="16" s="1"/>
  <c r="S5" i="16"/>
  <c r="U5" i="16" s="1"/>
  <c r="S4" i="16"/>
  <c r="U4" i="16" s="1"/>
  <c r="R9" i="16"/>
  <c r="R8" i="16"/>
  <c r="R7" i="16"/>
  <c r="R6" i="16"/>
  <c r="R5" i="16"/>
  <c r="R4" i="16"/>
  <c r="Q9" i="16"/>
  <c r="N3" i="16"/>
  <c r="Q8" i="16"/>
  <c r="M3" i="16"/>
  <c r="Q7" i="16"/>
  <c r="L3" i="16"/>
  <c r="Q6" i="16"/>
  <c r="K3" i="16"/>
  <c r="Q5" i="16"/>
  <c r="J3" i="16"/>
  <c r="Q4" i="16"/>
  <c r="I3" i="16"/>
  <c r="W4" i="16" l="1"/>
  <c r="V4" i="16"/>
  <c r="W5" i="16"/>
  <c r="V5" i="16"/>
  <c r="W6" i="16"/>
  <c r="V6" i="16"/>
  <c r="W7" i="16"/>
  <c r="V7" i="16"/>
  <c r="W8" i="16"/>
  <c r="V8" i="16"/>
  <c r="W9" i="16"/>
  <c r="V9" i="16"/>
  <c r="H3" i="2"/>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266" i="14" l="1"/>
  <c r="AG274" i="14"/>
  <c r="AG282" i="14"/>
  <c r="AG290" i="14"/>
  <c r="AG298" i="14"/>
  <c r="AG306" i="14"/>
  <c r="AG314" i="14"/>
  <c r="AG322" i="14"/>
  <c r="AG330" i="14"/>
  <c r="AG338" i="14"/>
  <c r="AG346" i="14"/>
  <c r="AG354" i="14"/>
  <c r="AG362" i="14"/>
  <c r="AG370" i="14"/>
  <c r="AG378" i="14"/>
  <c r="AG386" i="14"/>
  <c r="AG394" i="14"/>
  <c r="AG402" i="14"/>
  <c r="AG410" i="14"/>
  <c r="AG418" i="14"/>
  <c r="AG434" i="14"/>
  <c r="AG442" i="14"/>
  <c r="AG450" i="14"/>
  <c r="AG458" i="14"/>
  <c r="AG466" i="14"/>
  <c r="AG474" i="14"/>
  <c r="AG482" i="14"/>
  <c r="AG490" i="14"/>
  <c r="AG498" i="14"/>
  <c r="AG506" i="14"/>
  <c r="AG514" i="14"/>
  <c r="AG522" i="14"/>
  <c r="AG530" i="14"/>
  <c r="AG538" i="14"/>
  <c r="AG546" i="14"/>
  <c r="AG554" i="14"/>
  <c r="AG562" i="14"/>
  <c r="AG570" i="14"/>
  <c r="AG578" i="14"/>
  <c r="AG586" i="14"/>
  <c r="AG594" i="14"/>
  <c r="AG602" i="14"/>
  <c r="AG610" i="14"/>
  <c r="AG618" i="14"/>
  <c r="AG823" i="14"/>
  <c r="AG831" i="14"/>
  <c r="AG839" i="14"/>
  <c r="AG847" i="14"/>
  <c r="AG855" i="14"/>
  <c r="AG863" i="14"/>
  <c r="AG871" i="14"/>
  <c r="AG879" i="14"/>
  <c r="AG887" i="14"/>
  <c r="AG895" i="14"/>
  <c r="AG903" i="14"/>
  <c r="AG911" i="14"/>
  <c r="AG919" i="14"/>
  <c r="AG927" i="14"/>
  <c r="AG262" i="14"/>
  <c r="AG270" i="14"/>
  <c r="AG278" i="14"/>
  <c r="AG286" i="14"/>
  <c r="AG294" i="14"/>
  <c r="AG302" i="14"/>
  <c r="AG310" i="14"/>
  <c r="AG318" i="14"/>
  <c r="AG326" i="14"/>
  <c r="AG374" i="14"/>
  <c r="AG382" i="14"/>
  <c r="AG390" i="14"/>
  <c r="AG398" i="14"/>
  <c r="AG406" i="14"/>
  <c r="AG414" i="14"/>
  <c r="AG422" i="14"/>
  <c r="AG430" i="14"/>
  <c r="AG438" i="14"/>
  <c r="AG446" i="14"/>
  <c r="AG454" i="14"/>
  <c r="AG462" i="14"/>
  <c r="AG470" i="14"/>
  <c r="AG478" i="14"/>
  <c r="AG486" i="14"/>
  <c r="AG494" i="14"/>
  <c r="AG502" i="14"/>
  <c r="AG510" i="14"/>
  <c r="AG518" i="14"/>
  <c r="AG526" i="14"/>
  <c r="AG534" i="14"/>
  <c r="AG542" i="14"/>
  <c r="AG550" i="14"/>
  <c r="AG558" i="14"/>
  <c r="AG566" i="14"/>
  <c r="AG574" i="14"/>
  <c r="AG582" i="14"/>
  <c r="AG598" i="14"/>
  <c r="AG606" i="14"/>
  <c r="AG614" i="14"/>
  <c r="AG622" i="14"/>
  <c r="AH819" i="14"/>
  <c r="AH827" i="14"/>
  <c r="AH835" i="14"/>
  <c r="AH843" i="14"/>
  <c r="AH851" i="14"/>
  <c r="AH859" i="14"/>
  <c r="AH867" i="14"/>
  <c r="AG827" i="14"/>
  <c r="AG835" i="14"/>
  <c r="AG843" i="14"/>
  <c r="AG851" i="14"/>
  <c r="AG859" i="14"/>
  <c r="AG867" i="14"/>
  <c r="AG875" i="14"/>
  <c r="AG883" i="14"/>
  <c r="AG891" i="14"/>
  <c r="AG899" i="14"/>
  <c r="AG907" i="14"/>
  <c r="AG915" i="14"/>
  <c r="AG923" i="14"/>
  <c r="AG931" i="14"/>
  <c r="AG939" i="14"/>
  <c r="AG947" i="14"/>
  <c r="AG971" i="14"/>
  <c r="AG995" i="14"/>
  <c r="AG1003" i="14"/>
  <c r="AG426" i="14"/>
  <c r="AG690" i="14"/>
  <c r="AG698" i="14"/>
  <c r="AG706" i="14"/>
  <c r="AG714" i="14"/>
  <c r="AG722" i="14"/>
  <c r="AG730" i="14"/>
  <c r="AG738" i="14"/>
  <c r="AG746" i="14"/>
  <c r="AG754" i="14"/>
  <c r="AG762" i="14"/>
  <c r="AG770" i="14"/>
  <c r="AG778" i="14"/>
  <c r="AG786" i="14"/>
  <c r="AG794" i="14"/>
  <c r="AG802" i="14"/>
  <c r="AG810" i="14"/>
  <c r="AG818" i="14"/>
  <c r="AH823" i="14"/>
  <c r="AH831" i="14"/>
  <c r="AH839" i="14"/>
  <c r="AH847" i="14"/>
  <c r="AH855" i="14"/>
  <c r="AH863" i="14"/>
  <c r="AH871" i="14"/>
  <c r="AD828" i="14"/>
  <c r="AD836" i="14"/>
  <c r="AD844" i="14"/>
  <c r="AD852" i="14"/>
  <c r="AD860" i="14"/>
  <c r="AD868" i="14"/>
  <c r="AG740" i="14"/>
  <c r="AF999" i="14"/>
  <c r="AG334" i="14"/>
  <c r="AG342" i="14"/>
  <c r="AG350" i="14"/>
  <c r="AG358" i="14"/>
  <c r="AG366" i="14"/>
  <c r="AG590" i="14"/>
  <c r="AG686" i="14"/>
  <c r="AG694" i="14"/>
  <c r="AG702" i="14"/>
  <c r="AG710" i="14"/>
  <c r="AG718" i="14"/>
  <c r="AG726" i="14"/>
  <c r="AG734" i="14"/>
  <c r="AG742" i="14"/>
  <c r="AG750" i="14"/>
  <c r="AG758" i="14"/>
  <c r="AG766" i="14"/>
  <c r="AG774" i="14"/>
  <c r="AG782" i="14"/>
  <c r="AG790" i="14"/>
  <c r="AG798" i="14"/>
  <c r="AG806" i="14"/>
  <c r="AG814" i="14"/>
  <c r="AG822" i="14"/>
  <c r="AD824" i="14"/>
  <c r="AD832" i="14"/>
  <c r="AD840" i="14"/>
  <c r="AD848" i="14"/>
  <c r="AD856" i="14"/>
  <c r="AD864" i="14"/>
  <c r="AG98" i="14"/>
  <c r="AG102" i="14"/>
  <c r="AG106" i="14"/>
  <c r="AG110" i="14"/>
  <c r="AG114" i="14"/>
  <c r="AG118" i="14"/>
  <c r="AG122" i="14"/>
  <c r="AG126" i="14"/>
  <c r="AG130" i="14"/>
  <c r="AG134" i="14"/>
  <c r="AG138" i="14"/>
  <c r="AG142" i="14"/>
  <c r="AG146"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42" i="14"/>
  <c r="AG246" i="14"/>
  <c r="AG250" i="14"/>
  <c r="AG254" i="14"/>
  <c r="AG25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I212" i="14" s="1"/>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00" i="14" l="1"/>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G1002" i="7"/>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B3" i="18" s="1"/>
  <c r="F4" i="2"/>
  <c r="B4" i="18" s="1"/>
  <c r="F5" i="2"/>
  <c r="B5" i="18" s="1"/>
  <c r="F6" i="2"/>
  <c r="B6" i="18" s="1"/>
  <c r="F7" i="2"/>
  <c r="B7" i="18" s="1"/>
  <c r="F8" i="2"/>
  <c r="B8" i="18" s="1"/>
  <c r="F9" i="2"/>
  <c r="B9" i="18" s="1"/>
  <c r="F10" i="2"/>
  <c r="B10" i="18" s="1"/>
  <c r="F11" i="2"/>
  <c r="B11" i="18" s="1"/>
  <c r="F12" i="2"/>
  <c r="B12" i="18" s="1"/>
  <c r="F13" i="2"/>
  <c r="B13" i="18" s="1"/>
  <c r="F14" i="2"/>
  <c r="B14" i="18" s="1"/>
  <c r="F15" i="2"/>
  <c r="B15" i="18" s="1"/>
  <c r="F16" i="2"/>
  <c r="B16" i="18" s="1"/>
  <c r="F17" i="2"/>
  <c r="B17" i="18" s="1"/>
  <c r="F18" i="2"/>
  <c r="B18" i="18" s="1"/>
  <c r="F19" i="2"/>
  <c r="B19" i="18" s="1"/>
  <c r="F20" i="2"/>
  <c r="B20" i="18" s="1"/>
  <c r="F21" i="2"/>
  <c r="B21" i="18" s="1"/>
  <c r="F22" i="2"/>
  <c r="B22" i="18" s="1"/>
  <c r="F23" i="2"/>
  <c r="B23" i="18" s="1"/>
  <c r="F24" i="2"/>
  <c r="B24" i="18" s="1"/>
  <c r="F25" i="2"/>
  <c r="B25" i="18" s="1"/>
  <c r="F26" i="2"/>
  <c r="B26" i="18" s="1"/>
  <c r="F27" i="2"/>
  <c r="B27" i="18" s="1"/>
  <c r="F28" i="2"/>
  <c r="B28" i="18" s="1"/>
  <c r="J7" i="18" l="1"/>
  <c r="J18" i="18"/>
  <c r="J22" i="18"/>
  <c r="J8" i="18"/>
  <c r="J16" i="18"/>
  <c r="J24" i="18"/>
  <c r="J9" i="18"/>
  <c r="J14" i="18"/>
  <c r="J25" i="18"/>
  <c r="J20" i="18"/>
  <c r="J27" i="18"/>
  <c r="J4" i="18"/>
  <c r="J10" i="18"/>
  <c r="J5" i="18"/>
  <c r="J6" i="18"/>
  <c r="J13" i="18"/>
  <c r="J12" i="18"/>
  <c r="J15" i="18"/>
  <c r="J19" i="18"/>
  <c r="J17" i="18"/>
  <c r="J11"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577" i="7" l="1"/>
  <c r="AH744" i="7"/>
  <c r="AH944" i="7"/>
  <c r="AC45" i="7"/>
  <c r="AC37" i="7"/>
  <c r="AC53" i="7"/>
  <c r="AC61" i="7"/>
  <c r="AC69" i="7"/>
  <c r="AC109" i="7"/>
  <c r="AC117" i="7"/>
  <c r="AC165" i="7"/>
  <c r="AC181" i="7"/>
  <c r="AC197" i="7"/>
  <c r="AC205" i="7"/>
  <c r="AC213" i="7"/>
  <c r="AC221" i="7"/>
  <c r="AC229" i="7"/>
  <c r="AC237" i="7"/>
  <c r="AC245" i="7"/>
  <c r="AC253" i="7"/>
  <c r="AC261" i="7"/>
  <c r="AC269" i="7"/>
  <c r="AC277" i="7"/>
  <c r="AC285" i="7"/>
  <c r="AC293" i="7"/>
  <c r="AC301" i="7"/>
  <c r="AC309" i="7"/>
  <c r="AC325" i="7"/>
  <c r="AC333" i="7"/>
  <c r="AC341" i="7"/>
  <c r="AC349" i="7"/>
  <c r="AC357" i="7"/>
  <c r="AC365" i="7"/>
  <c r="AC373" i="7"/>
  <c r="AC381" i="7"/>
  <c r="AC389" i="7"/>
  <c r="AC397" i="7"/>
  <c r="AC405" i="7"/>
  <c r="AC413" i="7"/>
  <c r="AC421" i="7"/>
  <c r="AC429" i="7"/>
  <c r="AC437" i="7"/>
  <c r="AC445" i="7"/>
  <c r="AC453" i="7"/>
  <c r="AC461" i="7"/>
  <c r="AC469" i="7"/>
  <c r="AC477" i="7"/>
  <c r="AC485" i="7"/>
  <c r="AC493" i="7"/>
  <c r="AC501" i="7"/>
  <c r="AC509" i="7"/>
  <c r="AC517" i="7"/>
  <c r="AC525" i="7"/>
  <c r="AC533" i="7"/>
  <c r="AC541" i="7"/>
  <c r="AC573" i="7"/>
  <c r="AC581" i="7"/>
  <c r="AH952" i="7"/>
  <c r="AH960" i="7"/>
  <c r="AH968" i="7"/>
  <c r="AC125" i="7"/>
  <c r="AC133" i="7"/>
  <c r="AC189" i="7"/>
  <c r="AC21" i="7"/>
  <c r="AC29" i="7"/>
  <c r="AC93" i="7"/>
  <c r="AC101" i="7"/>
  <c r="AC141" i="7"/>
  <c r="AC149" i="7"/>
  <c r="AC157" i="7"/>
  <c r="AC77" i="7"/>
  <c r="AC85" i="7"/>
  <c r="AC173" i="7"/>
  <c r="AH16"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3" i="11"/>
  <c r="C3" i="11"/>
  <c r="N16" i="4"/>
  <c r="N15" i="4"/>
  <c r="D8" i="11"/>
  <c r="C8" i="11"/>
  <c r="D7" i="11"/>
  <c r="C7" i="11"/>
  <c r="D6" i="11"/>
  <c r="C6" i="11"/>
  <c r="D4" i="11"/>
  <c r="C4" i="11"/>
  <c r="H16" i="4"/>
  <c r="H15" i="4"/>
  <c r="Q16" i="4"/>
  <c r="Q15" i="4"/>
  <c r="K16" i="4"/>
  <c r="K15" i="4"/>
  <c r="B25" i="4"/>
  <c r="B24" i="4"/>
  <c r="D5" i="11"/>
  <c r="C5" i="11"/>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<sst xmlns="http://schemas.openxmlformats.org/spreadsheetml/2006/main" count="2500" uniqueCount="2202">
  <si>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</si>
  <si>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</si>
  <si>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</si>
  <si>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Indonesian</t>
  </si>
  <si>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</si>
  <si>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</si>
  <si>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</si>
  <si>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t>Items</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</si>
  <si>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</si>
  <si>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</si>
  <si>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</si>
  <si>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</si>
  <si>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</si>
  <si>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</si>
  <si>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</si>
  <si>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</si>
  <si>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</si>
  <si>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</si>
  <si>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</si>
  <si>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</si>
  <si>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</si>
  <si>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</si>
  <si>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</si>
  <si>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t>Confidence interval (p=0.05) per item</t>
  </si>
  <si>
    <t>Confidence intervals (p=0.05) per scale</t>
  </si>
  <si>
    <t>N</t>
  </si>
  <si>
    <t>Confidence</t>
  </si>
  <si>
    <t>Confidence interval</t>
  </si>
  <si>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</si>
  <si>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</si>
  <si>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</si>
  <si>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</si>
  <si>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</si>
  <si>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</si>
  <si>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</si>
  <si>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</si>
  <si>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</si>
  <si>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</si>
  <si>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</si>
  <si>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</si>
  <si>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</si>
  <si>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</si>
  <si>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</si>
  <si>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</si>
  <si>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</si>
  <si>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</si>
  <si>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</si>
  <si>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</si>
  <si>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</si>
  <si>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</si>
  <si>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</si>
  <si>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</si>
  <si>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</si>
  <si>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</si>
  <si>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</si>
  <si>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</si>
  <si>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</si>
  <si>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</si>
  <si>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</si>
  <si>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</si>
  <si>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</si>
  <si>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</si>
  <si>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</si>
  <si>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</si>
  <si>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</si>
  <si>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</si>
  <si>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</si>
  <si>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</si>
  <si>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</si>
  <si>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</si>
  <si>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</si>
  <si>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</si>
  <si>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</si>
  <si>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</si>
  <si>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</si>
  <si>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</si>
  <si>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</si>
  <si>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</si>
  <si>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</si>
  <si>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</si>
  <si>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</si>
  <si>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</si>
  <si>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</si>
  <si>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</si>
  <si>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</si>
  <si>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</si>
  <si>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</si>
  <si>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</si>
  <si>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</si>
  <si>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</si>
  <si>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</si>
  <si>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</si>
  <si>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</si>
  <si>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</si>
  <si>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</si>
  <si>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</si>
  <si>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</si>
  <si>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</si>
  <si>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Scales with inconsistent answers</t>
  </si>
  <si>
    <t>Critical?</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</si>
  <si>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</si>
  <si>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</si>
  <si>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</si>
  <si>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</si>
  <si>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</si>
  <si>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</si>
  <si>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</si>
  <si>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</si>
  <si>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</si>
  <si>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</si>
  <si>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</si>
  <si>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</si>
  <si>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</si>
  <si>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</si>
  <si>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</si>
  <si>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</si>
  <si>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</si>
  <si>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</si>
  <si>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</si>
  <si>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Importance Ratings: Mean and Standard Deviation</t>
  </si>
  <si>
    <t>SUM</t>
  </si>
  <si>
    <t>Skala</t>
  </si>
  <si>
    <t>Std.Dev.</t>
  </si>
  <si>
    <t>Confidence Interval</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</si>
  <si>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</si>
  <si>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</si>
  <si>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</si>
  <si>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</si>
  <si>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</si>
  <si>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</si>
  <si>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</si>
  <si>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</si>
  <si>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</si>
  <si>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</si>
  <si>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</si>
  <si>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</si>
  <si>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</si>
  <si>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</si>
  <si>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</si>
  <si>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</si>
  <si>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</si>
  <si>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</si>
  <si>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</si>
  <si>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</si>
  <si>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</si>
  <si>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</si>
  <si>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</si>
  <si>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</si>
  <si>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</si>
  <si>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</si>
  <si>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</si>
  <si>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</si>
  <si>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</si>
  <si>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</si>
  <si>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</si>
  <si>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</si>
  <si>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</si>
  <si>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</si>
  <si>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</si>
  <si>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</si>
  <si>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</si>
  <si>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</si>
  <si>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</si>
  <si>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</si>
  <si>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</si>
  <si>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</si>
  <si>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</si>
  <si>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</si>
  <si>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</si>
  <si>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</si>
  <si>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</si>
  <si>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</si>
  <si>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</si>
  <si>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</si>
  <si>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</si>
  <si>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</si>
  <si>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</si>
  <si>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</si>
  <si>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</si>
  <si>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</si>
  <si>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</si>
  <si>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</si>
  <si>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</si>
  <si>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</si>
  <si>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</si>
  <si>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</si>
  <si>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</si>
  <si>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</si>
  <si>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</si>
  <si>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</si>
  <si>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</si>
  <si>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</si>
  <si>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</si>
  <si>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</si>
  <si>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</si>
  <si>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</si>
  <si>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</si>
  <si>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</si>
  <si>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</si>
  <si>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</si>
  <si>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</si>
  <si>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</si>
  <si>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</si>
  <si>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</si>
  <si>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</si>
  <si>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</si>
  <si>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</si>
  <si>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</si>
  <si>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</si>
  <si>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</si>
  <si>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</si>
  <si>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</si>
  <si>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</si>
  <si>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</si>
  <si>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</si>
  <si>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</si>
  <si>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</si>
  <si>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</si>
  <si>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</si>
  <si>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</si>
  <si>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</si>
  <si>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</si>
  <si>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</si>
  <si>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</si>
  <si>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</si>
  <si>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</si>
  <si>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</si>
  <si>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</si>
  <si>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</si>
  <si>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</si>
  <si>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</si>
  <si>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</si>
  <si>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</si>
  <si>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</si>
  <si>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</si>
  <si>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</si>
  <si>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</si>
  <si>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</si>
  <si>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</si>
  <si>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</si>
  <si>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</si>
  <si>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</si>
  <si>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</si>
  <si>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</si>
  <si>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</si>
  <si>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English</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</si>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</sst>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theme="1"/>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2">
    <xf numFmtId="0" fontId="0" fillId="0" borderId="0"/>
    <xf numFmtId="41" fontId="29" fillId="0" borderId="0" applyFont="0" applyFill="0" applyBorder="0" applyAlignment="0" applyProtection="0"/>
  </cellStyleXfs>
  <cellXfs count="173">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1" fontId="0" fillId="0" borderId="0" xfId="0" applyNumberFormat="1"/>
    <xf numFmtId="1" fontId="0" fillId="0" borderId="0" xfId="1" applyNumberFormat="1" applyFont="1" applyBorder="1"/>
    <xf numFmtId="0" fontId="0" fillId="0" borderId="0" xfId="0" applyProtection="1">
      <protection locked="0"/>
    </xf>
    <xf numFmtId="1" fontId="0" fillId="0" borderId="1" xfId="1" applyNumberFormat="1" applyFont="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2">
    <cellStyle name="Comma [0]" xfId="1" builtinId="6"/>
    <cellStyle name="Normal" xfId="0" builtinId="0"/>
  </cellStyles>
  <dxfs count="8">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Results!$B$3:$B$28</c:f>
              <c:numCache>
                <c:formatCode>0.0</c:formatCode>
                <c:ptCount val="26"/>
                <c:pt idx="0">
                  <c:v>1.4</c:v>
                </c:pt>
                <c:pt idx="1">
                  <c:v>2</c:v>
                </c:pt>
                <c:pt idx="2">
                  <c:v>2.4</c:v>
                </c:pt>
                <c:pt idx="3">
                  <c:v>1.8</c:v>
                </c:pt>
                <c:pt idx="4">
                  <c:v>1.4</c:v>
                </c:pt>
                <c:pt idx="5">
                  <c:v>-1.6</c:v>
                </c:pt>
                <c:pt idx="6">
                  <c:v>-2.6</c:v>
                </c:pt>
                <c:pt idx="7">
                  <c:v>1.2</c:v>
                </c:pt>
                <c:pt idx="8">
                  <c:v>1.8</c:v>
                </c:pt>
                <c:pt idx="9">
                  <c:v>2</c:v>
                </c:pt>
                <c:pt idx="10">
                  <c:v>-3</c:v>
                </c:pt>
                <c:pt idx="11">
                  <c:v>1.8</c:v>
                </c:pt>
                <c:pt idx="12">
                  <c:v>-1.6</c:v>
                </c:pt>
                <c:pt idx="13">
                  <c:v>-1.4</c:v>
                </c:pt>
                <c:pt idx="14">
                  <c:v>1.2</c:v>
                </c:pt>
                <c:pt idx="15">
                  <c:v>-1.6</c:v>
                </c:pt>
                <c:pt idx="16">
                  <c:v>1</c:v>
                </c:pt>
                <c:pt idx="17">
                  <c:v>2.6</c:v>
                </c:pt>
                <c:pt idx="18">
                  <c:v>2.2000000000000002</c:v>
                </c:pt>
                <c:pt idx="19">
                  <c:v>-2</c:v>
                </c:pt>
                <c:pt idx="20">
                  <c:v>1.6</c:v>
                </c:pt>
                <c:pt idx="21">
                  <c:v>-1.8</c:v>
                </c:pt>
                <c:pt idx="22">
                  <c:v>2</c:v>
                </c:pt>
                <c:pt idx="23">
                  <c:v>1.4</c:v>
                </c:pt>
                <c:pt idx="24">
                  <c:v>2</c:v>
                </c:pt>
                <c:pt idx="25">
                  <c:v>-2.6</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345075664"/>
        <c:axId val="-345070768"/>
      </c:barChart>
      <c:catAx>
        <c:axId val="-345075664"/>
        <c:scaling>
          <c:orientation val="maxMin"/>
        </c:scaling>
        <c:delete val="0"/>
        <c:axPos val="l"/>
        <c:numFmt formatCode="General" sourceLinked="1"/>
        <c:majorTickMark val="out"/>
        <c:minorTickMark val="none"/>
        <c:tickLblPos val="low"/>
        <c:crossAx val="-345070768"/>
        <c:crosses val="autoZero"/>
        <c:auto val="1"/>
        <c:lblAlgn val="ctr"/>
        <c:lblOffset val="100"/>
        <c:noMultiLvlLbl val="0"/>
      </c:catAx>
      <c:valAx>
        <c:axId val="-345070768"/>
        <c:scaling>
          <c:orientation val="minMax"/>
          <c:max val="3"/>
          <c:min val="-3"/>
        </c:scaling>
        <c:delete val="0"/>
        <c:axPos val="t"/>
        <c:majorGridlines/>
        <c:numFmt formatCode="0" sourceLinked="0"/>
        <c:majorTickMark val="out"/>
        <c:minorTickMark val="none"/>
        <c:tickLblPos val="nextTo"/>
        <c:crossAx val="-345075664"/>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0.42087282462732695</c:v>
                  </c:pt>
                  <c:pt idx="1">
                    <c:v>0.47506389645581332</c:v>
                  </c:pt>
                  <c:pt idx="2">
                    <c:v>0.34647595608741938</c:v>
                  </c:pt>
                  <c:pt idx="3">
                    <c:v>0.33232806245479179</c:v>
                  </c:pt>
                  <c:pt idx="4">
                    <c:v>0.28571139273705926</c:v>
                  </c:pt>
                  <c:pt idx="5">
                    <c:v>0.40995587982777837</c:v>
                  </c:pt>
                </c:numCache>
              </c:numRef>
            </c:plus>
            <c:minus>
              <c:numRef>
                <c:f>Confidence_Intervals!$M$5:$M$10</c:f>
                <c:numCache>
                  <c:formatCode>General</c:formatCode>
                  <c:ptCount val="6"/>
                  <c:pt idx="0">
                    <c:v>0.42087282462732695</c:v>
                  </c:pt>
                  <c:pt idx="1">
                    <c:v>0.47506389645581332</c:v>
                  </c:pt>
                  <c:pt idx="2">
                    <c:v>0.34647595608741938</c:v>
                  </c:pt>
                  <c:pt idx="3">
                    <c:v>0.33232806245479179</c:v>
                  </c:pt>
                  <c:pt idx="4">
                    <c:v>0.28571139273705926</c:v>
                  </c:pt>
                  <c:pt idx="5">
                    <c:v>0.40995587982777837</c:v>
                  </c:pt>
                </c:numCache>
              </c:numRef>
            </c:minus>
            <c:spPr>
              <a:ln w="19050">
                <a:solidFill>
                  <a:schemeClr val="tx1">
                    <a:lumMod val="85000"/>
                    <a:lumOff val="15000"/>
                  </a:schemeClr>
                </a:solidFill>
              </a:ln>
            </c:spPr>
          </c:errBars>
          <c:cat>
            <c:strRef>
              <c:f>Results!$K$3:$K$8</c:f>
              <c:strCache>
                <c:ptCount val="6"/>
                <c:pt idx="0">
                  <c:v>Daya tarik</c:v>
                </c:pt>
                <c:pt idx="1">
                  <c:v>Kejelasan</c:v>
                </c:pt>
                <c:pt idx="2">
                  <c:v>Efisiensi</c:v>
                </c:pt>
                <c:pt idx="3">
                  <c:v>Ketepatan</c:v>
                </c:pt>
                <c:pt idx="4">
                  <c:v>Stimulasi</c:v>
                </c:pt>
                <c:pt idx="5">
                  <c:v>Kebaruan</c:v>
                </c:pt>
              </c:strCache>
            </c:strRef>
          </c:cat>
          <c:val>
            <c:numRef>
              <c:f>Results!$L$3:$L$8</c:f>
              <c:numCache>
                <c:formatCode>0.000</c:formatCode>
                <c:ptCount val="6"/>
                <c:pt idx="0">
                  <c:v>0.59999999999999987</c:v>
                </c:pt>
                <c:pt idx="1">
                  <c:v>0.95</c:v>
                </c:pt>
                <c:pt idx="2">
                  <c:v>0</c:v>
                </c:pt>
                <c:pt idx="3">
                  <c:v>0.35</c:v>
                </c:pt>
                <c:pt idx="4">
                  <c:v>-0.05</c:v>
                </c:pt>
                <c:pt idx="5">
                  <c:v>0.75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345061520"/>
        <c:axId val="-345071312"/>
      </c:barChart>
      <c:catAx>
        <c:axId val="-34506152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345071312"/>
        <c:crosses val="autoZero"/>
        <c:auto val="0"/>
        <c:lblAlgn val="ctr"/>
        <c:lblOffset val="100"/>
        <c:noMultiLvlLbl val="0"/>
      </c:catAx>
      <c:valAx>
        <c:axId val="-345071312"/>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506152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Daya tarik</c:v>
                </c:pt>
                <c:pt idx="1">
                  <c:v>Kejelasan</c:v>
                </c:pt>
                <c:pt idx="2">
                  <c:v>Efisiensi</c:v>
                </c:pt>
                <c:pt idx="3">
                  <c:v>Ketepatan</c:v>
                </c:pt>
                <c:pt idx="4">
                  <c:v>Stimulasi</c:v>
                </c:pt>
                <c:pt idx="5">
                  <c:v>Kebaruan</c:v>
                </c:pt>
              </c:strCache>
            </c:strRef>
          </c:cat>
          <c:val>
            <c:numRef>
              <c:f>Results!$L$3:$L$8</c:f>
              <c:numCache>
                <c:formatCode>0.000</c:formatCode>
                <c:ptCount val="6"/>
                <c:pt idx="0">
                  <c:v>0.59999999999999987</c:v>
                </c:pt>
                <c:pt idx="1">
                  <c:v>0.95</c:v>
                </c:pt>
                <c:pt idx="2">
                  <c:v>0</c:v>
                </c:pt>
                <c:pt idx="3">
                  <c:v>0.35</c:v>
                </c:pt>
                <c:pt idx="4">
                  <c:v>-0.05</c:v>
                </c:pt>
                <c:pt idx="5">
                  <c:v>0.75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345069136"/>
        <c:axId val="-345068592"/>
      </c:barChart>
      <c:catAx>
        <c:axId val="-345069136"/>
        <c:scaling>
          <c:orientation val="minMax"/>
        </c:scaling>
        <c:delete val="0"/>
        <c:axPos val="b"/>
        <c:numFmt formatCode="General" sourceLinked="0"/>
        <c:majorTickMark val="none"/>
        <c:minorTickMark val="none"/>
        <c:tickLblPos val="low"/>
        <c:txPr>
          <a:bodyPr rot="-2700000" vert="horz"/>
          <a:lstStyle/>
          <a:p>
            <a:pPr>
              <a:defRPr/>
            </a:pPr>
            <a:endParaRPr lang="en-US"/>
          </a:p>
        </c:txPr>
        <c:crossAx val="-345068592"/>
        <c:crosses val="autoZero"/>
        <c:auto val="0"/>
        <c:lblAlgn val="ctr"/>
        <c:lblOffset val="100"/>
        <c:noMultiLvlLbl val="0"/>
      </c:catAx>
      <c:valAx>
        <c:axId val="-34506859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345069136"/>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Daya tarik</c:v>
                </c:pt>
                <c:pt idx="1">
                  <c:v>Kualitas Pragmatis</c:v>
                </c:pt>
                <c:pt idx="2">
                  <c:v>Kualitas Hedonis</c:v>
                </c:pt>
              </c:strCache>
            </c:strRef>
          </c:cat>
          <c:val>
            <c:numRef>
              <c:f>Results!$L$40:$L$42</c:f>
              <c:numCache>
                <c:formatCode>0.00</c:formatCode>
                <c:ptCount val="3"/>
                <c:pt idx="0">
                  <c:v>0.59999999999999987</c:v>
                </c:pt>
                <c:pt idx="1">
                  <c:v>0.43333333333333329</c:v>
                </c:pt>
                <c:pt idx="2">
                  <c:v>0.35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289034448"/>
        <c:axId val="-289032272"/>
      </c:barChart>
      <c:catAx>
        <c:axId val="-289034448"/>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289032272"/>
        <c:crosses val="autoZero"/>
        <c:auto val="0"/>
        <c:lblAlgn val="ctr"/>
        <c:lblOffset val="100"/>
        <c:noMultiLvlLbl val="0"/>
      </c:catAx>
      <c:valAx>
        <c:axId val="-289032272"/>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289034448"/>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Answer_Distributions!$C$3:$C$28</c:f>
              <c:numCache>
                <c:formatCode>General</c:formatCode>
                <c:ptCount val="26"/>
                <c:pt idx="0">
                  <c:v>0</c:v>
                </c:pt>
                <c:pt idx="1">
                  <c:v>0</c:v>
                </c:pt>
                <c:pt idx="2">
                  <c:v>0</c:v>
                </c:pt>
                <c:pt idx="3">
                  <c:v>0</c:v>
                </c:pt>
                <c:pt idx="4">
                  <c:v>0</c:v>
                </c:pt>
                <c:pt idx="5">
                  <c:v>1</c:v>
                </c:pt>
                <c:pt idx="6">
                  <c:v>4</c:v>
                </c:pt>
                <c:pt idx="7">
                  <c:v>0</c:v>
                </c:pt>
                <c:pt idx="8">
                  <c:v>0</c:v>
                </c:pt>
                <c:pt idx="9">
                  <c:v>0</c:v>
                </c:pt>
                <c:pt idx="10">
                  <c:v>5</c:v>
                </c:pt>
                <c:pt idx="11">
                  <c:v>0</c:v>
                </c:pt>
                <c:pt idx="12">
                  <c:v>1</c:v>
                </c:pt>
                <c:pt idx="13">
                  <c:v>1</c:v>
                </c:pt>
                <c:pt idx="14">
                  <c:v>0</c:v>
                </c:pt>
                <c:pt idx="15">
                  <c:v>1</c:v>
                </c:pt>
                <c:pt idx="16">
                  <c:v>0</c:v>
                </c:pt>
                <c:pt idx="17">
                  <c:v>0</c:v>
                </c:pt>
                <c:pt idx="18">
                  <c:v>0</c:v>
                </c:pt>
                <c:pt idx="19">
                  <c:v>1</c:v>
                </c:pt>
                <c:pt idx="20">
                  <c:v>0</c:v>
                </c:pt>
                <c:pt idx="21">
                  <c:v>1</c:v>
                </c:pt>
                <c:pt idx="22">
                  <c:v>0</c:v>
                </c:pt>
                <c:pt idx="23">
                  <c:v>0</c:v>
                </c:pt>
                <c:pt idx="24">
                  <c:v>0</c:v>
                </c:pt>
                <c:pt idx="25">
                  <c:v>3</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Answer_Distributions!$D$3:$D$28</c:f>
              <c:numCache>
                <c:formatCode>General</c:formatCode>
                <c:ptCount val="26"/>
                <c:pt idx="0">
                  <c:v>0</c:v>
                </c:pt>
                <c:pt idx="1">
                  <c:v>0</c:v>
                </c:pt>
                <c:pt idx="2">
                  <c:v>0</c:v>
                </c:pt>
                <c:pt idx="3">
                  <c:v>0</c:v>
                </c:pt>
                <c:pt idx="4">
                  <c:v>0</c:v>
                </c:pt>
                <c:pt idx="5">
                  <c:v>1</c:v>
                </c:pt>
                <c:pt idx="6">
                  <c:v>0</c:v>
                </c:pt>
                <c:pt idx="7">
                  <c:v>0</c:v>
                </c:pt>
                <c:pt idx="8">
                  <c:v>0</c:v>
                </c:pt>
                <c:pt idx="9">
                  <c:v>0</c:v>
                </c:pt>
                <c:pt idx="10">
                  <c:v>0</c:v>
                </c:pt>
                <c:pt idx="11">
                  <c:v>0</c:v>
                </c:pt>
                <c:pt idx="12">
                  <c:v>1</c:v>
                </c:pt>
                <c:pt idx="13">
                  <c:v>1</c:v>
                </c:pt>
                <c:pt idx="14">
                  <c:v>0</c:v>
                </c:pt>
                <c:pt idx="15">
                  <c:v>1</c:v>
                </c:pt>
                <c:pt idx="16">
                  <c:v>0</c:v>
                </c:pt>
                <c:pt idx="17">
                  <c:v>0</c:v>
                </c:pt>
                <c:pt idx="18">
                  <c:v>0</c:v>
                </c:pt>
                <c:pt idx="19">
                  <c:v>3</c:v>
                </c:pt>
                <c:pt idx="20">
                  <c:v>0</c:v>
                </c:pt>
                <c:pt idx="21">
                  <c:v>2</c:v>
                </c:pt>
                <c:pt idx="22">
                  <c:v>0</c:v>
                </c:pt>
                <c:pt idx="23">
                  <c:v>0</c:v>
                </c:pt>
                <c:pt idx="24">
                  <c:v>0</c:v>
                </c:pt>
                <c:pt idx="25">
                  <c:v>2</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Answer_Distributions!$E$3:$E$28</c:f>
              <c:numCache>
                <c:formatCode>General</c:formatCode>
                <c:ptCount val="26"/>
                <c:pt idx="0">
                  <c:v>0</c:v>
                </c:pt>
                <c:pt idx="1">
                  <c:v>0</c:v>
                </c:pt>
                <c:pt idx="2">
                  <c:v>0</c:v>
                </c:pt>
                <c:pt idx="3">
                  <c:v>0</c:v>
                </c:pt>
                <c:pt idx="4">
                  <c:v>0</c:v>
                </c:pt>
                <c:pt idx="5">
                  <c:v>3</c:v>
                </c:pt>
                <c:pt idx="6">
                  <c:v>1</c:v>
                </c:pt>
                <c:pt idx="7">
                  <c:v>0</c:v>
                </c:pt>
                <c:pt idx="8">
                  <c:v>0</c:v>
                </c:pt>
                <c:pt idx="9">
                  <c:v>0</c:v>
                </c:pt>
                <c:pt idx="10">
                  <c:v>0</c:v>
                </c:pt>
                <c:pt idx="11">
                  <c:v>0</c:v>
                </c:pt>
                <c:pt idx="12">
                  <c:v>3</c:v>
                </c:pt>
                <c:pt idx="13">
                  <c:v>2</c:v>
                </c:pt>
                <c:pt idx="14">
                  <c:v>0</c:v>
                </c:pt>
                <c:pt idx="15">
                  <c:v>3</c:v>
                </c:pt>
                <c:pt idx="16">
                  <c:v>0</c:v>
                </c:pt>
                <c:pt idx="17">
                  <c:v>0</c:v>
                </c:pt>
                <c:pt idx="18">
                  <c:v>0</c:v>
                </c:pt>
                <c:pt idx="19">
                  <c:v>1</c:v>
                </c:pt>
                <c:pt idx="20">
                  <c:v>0</c:v>
                </c:pt>
                <c:pt idx="21">
                  <c:v>2</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Answer_Distributions!$F$3:$F$28</c:f>
              <c:numCache>
                <c:formatCode>General</c:formatCode>
                <c:ptCount val="26"/>
                <c:pt idx="0">
                  <c:v>1</c:v>
                </c:pt>
                <c:pt idx="1">
                  <c:v>0</c:v>
                </c:pt>
                <c:pt idx="2">
                  <c:v>0</c:v>
                </c:pt>
                <c:pt idx="3">
                  <c:v>0</c:v>
                </c:pt>
                <c:pt idx="4">
                  <c:v>1</c:v>
                </c:pt>
                <c:pt idx="5">
                  <c:v>0</c:v>
                </c:pt>
                <c:pt idx="6">
                  <c:v>0</c:v>
                </c:pt>
                <c:pt idx="7">
                  <c:v>2</c:v>
                </c:pt>
                <c:pt idx="8">
                  <c:v>0</c:v>
                </c:pt>
                <c:pt idx="9">
                  <c:v>0</c:v>
                </c:pt>
                <c:pt idx="10">
                  <c:v>0</c:v>
                </c:pt>
                <c:pt idx="11">
                  <c:v>1</c:v>
                </c:pt>
                <c:pt idx="12">
                  <c:v>0</c:v>
                </c:pt>
                <c:pt idx="13">
                  <c:v>1</c:v>
                </c:pt>
                <c:pt idx="14">
                  <c:v>2</c:v>
                </c:pt>
                <c:pt idx="15">
                  <c:v>0</c:v>
                </c:pt>
                <c:pt idx="16">
                  <c:v>1</c:v>
                </c:pt>
                <c:pt idx="17">
                  <c:v>0</c:v>
                </c:pt>
                <c:pt idx="18">
                  <c:v>0</c:v>
                </c:pt>
                <c:pt idx="19">
                  <c:v>0</c:v>
                </c:pt>
                <c:pt idx="20">
                  <c:v>0</c:v>
                </c:pt>
                <c:pt idx="21">
                  <c:v>0</c:v>
                </c:pt>
                <c:pt idx="22">
                  <c:v>0</c:v>
                </c:pt>
                <c:pt idx="23">
                  <c:v>2</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Answer_Distributions!$G$3:$G$28</c:f>
              <c:numCache>
                <c:formatCode>General</c:formatCode>
                <c:ptCount val="26"/>
                <c:pt idx="0">
                  <c:v>2</c:v>
                </c:pt>
                <c:pt idx="1">
                  <c:v>2</c:v>
                </c:pt>
                <c:pt idx="2">
                  <c:v>1</c:v>
                </c:pt>
                <c:pt idx="3">
                  <c:v>2</c:v>
                </c:pt>
                <c:pt idx="4">
                  <c:v>2</c:v>
                </c:pt>
                <c:pt idx="5">
                  <c:v>0</c:v>
                </c:pt>
                <c:pt idx="6">
                  <c:v>0</c:v>
                </c:pt>
                <c:pt idx="7">
                  <c:v>0</c:v>
                </c:pt>
                <c:pt idx="8">
                  <c:v>2</c:v>
                </c:pt>
                <c:pt idx="9">
                  <c:v>1</c:v>
                </c:pt>
                <c:pt idx="10">
                  <c:v>0</c:v>
                </c:pt>
                <c:pt idx="11">
                  <c:v>0</c:v>
                </c:pt>
                <c:pt idx="12">
                  <c:v>0</c:v>
                </c:pt>
                <c:pt idx="13">
                  <c:v>0</c:v>
                </c:pt>
                <c:pt idx="14">
                  <c:v>1</c:v>
                </c:pt>
                <c:pt idx="15">
                  <c:v>0</c:v>
                </c:pt>
                <c:pt idx="16">
                  <c:v>3</c:v>
                </c:pt>
                <c:pt idx="17">
                  <c:v>0</c:v>
                </c:pt>
                <c:pt idx="18">
                  <c:v>2</c:v>
                </c:pt>
                <c:pt idx="19">
                  <c:v>0</c:v>
                </c:pt>
                <c:pt idx="20">
                  <c:v>3</c:v>
                </c:pt>
                <c:pt idx="21">
                  <c:v>0</c:v>
                </c:pt>
                <c:pt idx="22">
                  <c:v>1</c:v>
                </c:pt>
                <c:pt idx="23">
                  <c:v>0</c:v>
                </c:pt>
                <c:pt idx="24">
                  <c:v>2</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Answer_Distributions!$H$3:$H$28</c:f>
              <c:numCache>
                <c:formatCode>General</c:formatCode>
                <c:ptCount val="26"/>
                <c:pt idx="0">
                  <c:v>1</c:v>
                </c:pt>
                <c:pt idx="1">
                  <c:v>1</c:v>
                </c:pt>
                <c:pt idx="2">
                  <c:v>1</c:v>
                </c:pt>
                <c:pt idx="3">
                  <c:v>2</c:v>
                </c:pt>
                <c:pt idx="4">
                  <c:v>1</c:v>
                </c:pt>
                <c:pt idx="5">
                  <c:v>0</c:v>
                </c:pt>
                <c:pt idx="6">
                  <c:v>0</c:v>
                </c:pt>
                <c:pt idx="7">
                  <c:v>3</c:v>
                </c:pt>
                <c:pt idx="8">
                  <c:v>2</c:v>
                </c:pt>
                <c:pt idx="9">
                  <c:v>3</c:v>
                </c:pt>
                <c:pt idx="10">
                  <c:v>0</c:v>
                </c:pt>
                <c:pt idx="11">
                  <c:v>3</c:v>
                </c:pt>
                <c:pt idx="12">
                  <c:v>0</c:v>
                </c:pt>
                <c:pt idx="13">
                  <c:v>0</c:v>
                </c:pt>
                <c:pt idx="14">
                  <c:v>1</c:v>
                </c:pt>
                <c:pt idx="15">
                  <c:v>0</c:v>
                </c:pt>
                <c:pt idx="16">
                  <c:v>1</c:v>
                </c:pt>
                <c:pt idx="17">
                  <c:v>2</c:v>
                </c:pt>
                <c:pt idx="18">
                  <c:v>0</c:v>
                </c:pt>
                <c:pt idx="19">
                  <c:v>0</c:v>
                </c:pt>
                <c:pt idx="20">
                  <c:v>1</c:v>
                </c:pt>
                <c:pt idx="21">
                  <c:v>0</c:v>
                </c:pt>
                <c:pt idx="22">
                  <c:v>3</c:v>
                </c:pt>
                <c:pt idx="23">
                  <c:v>2</c:v>
                </c:pt>
                <c:pt idx="24">
                  <c:v>1</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menyusahkan/menyenangkan</c:v>
                </c:pt>
                <c:pt idx="1">
                  <c:v>tak dapat dipahami/dapat dipahami</c:v>
                </c:pt>
                <c:pt idx="2">
                  <c:v>kreatif/monoton</c:v>
                </c:pt>
                <c:pt idx="3">
                  <c:v>mudah dipelajari/sulit dipelajari</c:v>
                </c:pt>
                <c:pt idx="4">
                  <c:v>bermanfaat/kurang bermanfaat</c:v>
                </c:pt>
                <c:pt idx="5">
                  <c:v>membosankan/mengasyikkan</c:v>
                </c:pt>
                <c:pt idx="6">
                  <c:v>tidak menarik/menarik</c:v>
                </c:pt>
                <c:pt idx="7">
                  <c:v>tak dapat diprediksi/dapat diprediksi</c:v>
                </c:pt>
                <c:pt idx="8">
                  <c:v>cepat/lambat</c:v>
                </c:pt>
                <c:pt idx="9">
                  <c:v>berdaya cipta/konvensional</c:v>
                </c:pt>
                <c:pt idx="10">
                  <c:v>menghalangi/mendukung</c:v>
                </c:pt>
                <c:pt idx="11">
                  <c:v>baik/buruk</c:v>
                </c:pt>
                <c:pt idx="12">
                  <c:v>rumit/sederhana</c:v>
                </c:pt>
                <c:pt idx="13">
                  <c:v>tidak disukai/menggembirakan</c:v>
                </c:pt>
                <c:pt idx="14">
                  <c:v>lazim/terdepan</c:v>
                </c:pt>
                <c:pt idx="15">
                  <c:v>tidak nyaman/nyaman</c:v>
                </c:pt>
                <c:pt idx="16">
                  <c:v>aman/tidak aman</c:v>
                </c:pt>
                <c:pt idx="17">
                  <c:v>memotivasi/tidak memotivasi</c:v>
                </c:pt>
                <c:pt idx="18">
                  <c:v>memenuhi ekspektasi/tidak memenuhi ekspektasi</c:v>
                </c:pt>
                <c:pt idx="19">
                  <c:v>tidak efisien/efisien</c:v>
                </c:pt>
                <c:pt idx="20">
                  <c:v>jelas/membingungkan</c:v>
                </c:pt>
                <c:pt idx="21">
                  <c:v>tidak praktis/praktis</c:v>
                </c:pt>
                <c:pt idx="22">
                  <c:v>terorganisasi/berantakan</c:v>
                </c:pt>
                <c:pt idx="23">
                  <c:v>atraktif/tidak atraktif</c:v>
                </c:pt>
                <c:pt idx="24">
                  <c:v>ramah pengguna/tidak ramah pengguna</c:v>
                </c:pt>
                <c:pt idx="25">
                  <c:v>konservatif/inovatif</c:v>
                </c:pt>
              </c:strCache>
            </c:strRef>
          </c:cat>
          <c:val>
            <c:numRef>
              <c:f>Answer_Distributions!$I$3:$I$28</c:f>
              <c:numCache>
                <c:formatCode>General</c:formatCode>
                <c:ptCount val="26"/>
                <c:pt idx="0">
                  <c:v>1</c:v>
                </c:pt>
                <c:pt idx="1">
                  <c:v>2</c:v>
                </c:pt>
                <c:pt idx="2">
                  <c:v>3</c:v>
                </c:pt>
                <c:pt idx="3">
                  <c:v>1</c:v>
                </c:pt>
                <c:pt idx="4">
                  <c:v>1</c:v>
                </c:pt>
                <c:pt idx="5">
                  <c:v>0</c:v>
                </c:pt>
                <c:pt idx="6">
                  <c:v>0</c:v>
                </c:pt>
                <c:pt idx="7">
                  <c:v>0</c:v>
                </c:pt>
                <c:pt idx="8">
                  <c:v>1</c:v>
                </c:pt>
                <c:pt idx="9">
                  <c:v>1</c:v>
                </c:pt>
                <c:pt idx="10">
                  <c:v>0</c:v>
                </c:pt>
                <c:pt idx="11">
                  <c:v>1</c:v>
                </c:pt>
                <c:pt idx="12">
                  <c:v>0</c:v>
                </c:pt>
                <c:pt idx="13">
                  <c:v>0</c:v>
                </c:pt>
                <c:pt idx="14">
                  <c:v>1</c:v>
                </c:pt>
                <c:pt idx="15">
                  <c:v>0</c:v>
                </c:pt>
                <c:pt idx="16">
                  <c:v>0</c:v>
                </c:pt>
                <c:pt idx="17">
                  <c:v>3</c:v>
                </c:pt>
                <c:pt idx="18">
                  <c:v>3</c:v>
                </c:pt>
                <c:pt idx="19">
                  <c:v>0</c:v>
                </c:pt>
                <c:pt idx="20">
                  <c:v>1</c:v>
                </c:pt>
                <c:pt idx="21">
                  <c:v>0</c:v>
                </c:pt>
                <c:pt idx="22">
                  <c:v>1</c:v>
                </c:pt>
                <c:pt idx="23">
                  <c:v>1</c:v>
                </c:pt>
                <c:pt idx="24">
                  <c:v>2</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289038256"/>
        <c:axId val="-289033904"/>
      </c:barChart>
      <c:catAx>
        <c:axId val="-289038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89033904"/>
        <c:crosses val="autoZero"/>
        <c:auto val="1"/>
        <c:lblAlgn val="ctr"/>
        <c:lblOffset val="100"/>
        <c:noMultiLvlLbl val="0"/>
      </c:catAx>
      <c:valAx>
        <c:axId val="-2890339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038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289030640"/>
        <c:axId val="-289032816"/>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Daya tarik</c:v>
                </c:pt>
                <c:pt idx="1">
                  <c:v>Kejelasan</c:v>
                </c:pt>
                <c:pt idx="2">
                  <c:v>Efisiensi</c:v>
                </c:pt>
                <c:pt idx="3">
                  <c:v>Ketepatan</c:v>
                </c:pt>
                <c:pt idx="4">
                  <c:v>Stimulasi</c:v>
                </c:pt>
                <c:pt idx="5">
                  <c:v>Kebaruan</c:v>
                </c:pt>
              </c:strCache>
            </c:strRef>
          </c:cat>
          <c:val>
            <c:numRef>
              <c:f>Benchmark!$H$28:$H$33</c:f>
              <c:numCache>
                <c:formatCode>0.00</c:formatCode>
                <c:ptCount val="6"/>
                <c:pt idx="0">
                  <c:v>0.59999999999999987</c:v>
                </c:pt>
                <c:pt idx="1">
                  <c:v>0.95</c:v>
                </c:pt>
                <c:pt idx="2">
                  <c:v>0</c:v>
                </c:pt>
                <c:pt idx="3">
                  <c:v>0.35</c:v>
                </c:pt>
                <c:pt idx="4">
                  <c:v>-0.05</c:v>
                </c:pt>
                <c:pt idx="5">
                  <c:v>0.75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289030640"/>
        <c:axId val="-289032816"/>
      </c:lineChart>
      <c:catAx>
        <c:axId val="-289030640"/>
        <c:scaling>
          <c:orientation val="minMax"/>
        </c:scaling>
        <c:delete val="0"/>
        <c:axPos val="b"/>
        <c:numFmt formatCode="General" sourceLinked="0"/>
        <c:majorTickMark val="out"/>
        <c:minorTickMark val="none"/>
        <c:tickLblPos val="nextTo"/>
        <c:crossAx val="-289032816"/>
        <c:crossesAt val="-1"/>
        <c:auto val="1"/>
        <c:lblAlgn val="ctr"/>
        <c:lblOffset val="100"/>
        <c:noMultiLvlLbl val="0"/>
      </c:catAx>
      <c:valAx>
        <c:axId val="-289032816"/>
        <c:scaling>
          <c:orientation val="minMax"/>
          <c:max val="2.5"/>
          <c:min val="-1"/>
        </c:scaling>
        <c:delete val="0"/>
        <c:axPos val="l"/>
        <c:majorGridlines/>
        <c:numFmt formatCode="0.00" sourceLinked="1"/>
        <c:majorTickMark val="out"/>
        <c:minorTickMark val="none"/>
        <c:tickLblPos val="nextTo"/>
        <c:crossAx val="-289030640"/>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Daya tarik</c:v>
                </c:pt>
                <c:pt idx="1">
                  <c:v>Kejelasan</c:v>
                </c:pt>
                <c:pt idx="2">
                  <c:v>Efisiensi</c:v>
                </c:pt>
                <c:pt idx="3">
                  <c:v>Ketepatan</c:v>
                </c:pt>
                <c:pt idx="4">
                  <c:v>Stimulasi</c:v>
                </c:pt>
                <c:pt idx="5">
                  <c:v>Kebaruan</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289031184"/>
        <c:axId val="-289030096"/>
      </c:barChart>
      <c:catAx>
        <c:axId val="-2890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289030096"/>
        <c:crosses val="autoZero"/>
        <c:auto val="0"/>
        <c:lblAlgn val="ctr"/>
        <c:lblOffset val="100"/>
        <c:noMultiLvlLbl val="0"/>
      </c:catAx>
      <c:valAx>
        <c:axId val="-2890300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89031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D3" sqref="D3"/>
    </sheetView>
  </sheetViews>
  <sheetFormatPr defaultColWidth="9.1796875" defaultRowHeight="14.5"/>
  <cols>
    <col min="1" max="1" width="35.1796875" customWidth="1"/>
    <col min="2" max="2" width="22" customWidth="1"/>
    <col min="3" max="3" width="43" customWidth="1"/>
  </cols>
  <sheetData>
    <row r="1" spans="1:3" ht="57" customHeight="1">
      <c r="A1" s="142"/>
      <c r="B1" s="142"/>
      <c r="C1" s="142"/>
    </row>
    <row r="2" spans="1:3" ht="58.9" customHeight="1">
      <c r="A2" s="138" t="s">
        <v>0</v>
      </c>
      <c r="B2" s="138"/>
      <c r="C2" s="138"/>
    </row>
    <row r="3" spans="1:3" ht="107.25" customHeight="1">
      <c r="A3" s="139" t="s">
        <v>1</v>
      </c>
      <c r="B3" s="139"/>
      <c r="C3" s="139"/>
    </row>
    <row r="5" spans="1:3" ht="18.5">
      <c r="A5" s="26" t="s">
        <v>2</v>
      </c>
      <c r="B5" s="52" t="s">
        <v>3</v>
      </c>
    </row>
    <row r="7" spans="1:3" ht="30.75" customHeight="1">
      <c r="A7" s="140" t="s">
        <v>4</v>
      </c>
      <c r="B7" s="140"/>
      <c r="C7" s="140"/>
    </row>
    <row r="9" spans="1:3" ht="406.15" customHeight="1">
      <c r="A9" s="141" t="s">
        <v>5</v>
      </c>
      <c r="B9" s="141"/>
      <c r="C9" s="141"/>
    </row>
  </sheetData>
  <sheetProtection algorithmName="SHA-512" hashValue="ILXBXdK2BCoQiosSDhAdvLyH1427opJgJaRFCX6AvQPfht/f2w0yIXLS4yE3B7ca021tBWxqgb3RN/XjDWvbeQ==" saltValue="vBjwl/CZ52Sct4hloZB2gQ==" spinCount="100000" sheet="1" objects="1" scenarios="1"/>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BB2246"/>
  <sheetViews>
    <sheetView zoomScaleNormal="100" workbookViewId="0">
      <selection activeCell="A2" sqref="A2:Z8"/>
    </sheetView>
  </sheetViews>
  <sheetFormatPr defaultColWidth="9.1796875" defaultRowHeight="14.5"/>
  <cols>
    <col min="1" max="26" width="3.7265625" style="1" customWidth="1"/>
  </cols>
  <sheetData>
    <row r="1" spans="1:54" ht="144" customHeight="1">
      <c r="A1" s="143" t="s">
        <v>6</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54">
      <c r="A2" s="145" t="s">
        <v>7</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54">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54">
      <c r="A4" s="137">
        <v>5</v>
      </c>
      <c r="B4" s="137">
        <v>6</v>
      </c>
      <c r="C4" s="137">
        <v>1</v>
      </c>
      <c r="D4" s="137">
        <v>3</v>
      </c>
      <c r="E4" s="137">
        <v>1</v>
      </c>
      <c r="F4" s="137">
        <v>1</v>
      </c>
      <c r="G4" s="137">
        <v>1</v>
      </c>
      <c r="H4" s="137">
        <v>4</v>
      </c>
      <c r="I4" s="137">
        <v>2</v>
      </c>
      <c r="J4" s="137">
        <v>2</v>
      </c>
      <c r="K4" s="137">
        <v>1</v>
      </c>
      <c r="L4" s="137">
        <v>1</v>
      </c>
      <c r="M4" s="137">
        <v>3</v>
      </c>
      <c r="N4" s="137">
        <v>3</v>
      </c>
      <c r="O4" s="137">
        <v>6</v>
      </c>
      <c r="P4" s="137">
        <v>3</v>
      </c>
      <c r="Q4" s="137">
        <v>2</v>
      </c>
      <c r="R4" s="137">
        <v>2</v>
      </c>
      <c r="S4" s="137">
        <v>1</v>
      </c>
      <c r="T4" s="137">
        <v>3</v>
      </c>
      <c r="U4" s="137">
        <v>3</v>
      </c>
      <c r="V4" s="137">
        <v>1</v>
      </c>
      <c r="W4" s="137">
        <v>1</v>
      </c>
      <c r="X4" s="137">
        <v>1</v>
      </c>
      <c r="Y4" s="137">
        <v>1</v>
      </c>
      <c r="Z4" s="137">
        <v>1</v>
      </c>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row>
    <row r="5" spans="1:54">
      <c r="A5" s="48">
        <v>6</v>
      </c>
      <c r="B5" s="48">
        <v>7</v>
      </c>
      <c r="C5" s="48">
        <v>3</v>
      </c>
      <c r="D5" s="48">
        <v>3</v>
      </c>
      <c r="E5" s="48">
        <v>4</v>
      </c>
      <c r="F5" s="48">
        <v>2</v>
      </c>
      <c r="G5" s="48">
        <v>1</v>
      </c>
      <c r="H5" s="48">
        <v>6</v>
      </c>
      <c r="I5" s="48">
        <v>3</v>
      </c>
      <c r="J5" s="48">
        <v>3</v>
      </c>
      <c r="K5" s="48">
        <v>1</v>
      </c>
      <c r="L5" s="48">
        <v>2</v>
      </c>
      <c r="M5" s="48">
        <v>1</v>
      </c>
      <c r="N5" s="48">
        <v>3</v>
      </c>
      <c r="O5" s="48">
        <v>5</v>
      </c>
      <c r="P5" s="48">
        <v>3</v>
      </c>
      <c r="Q5" s="48">
        <v>3</v>
      </c>
      <c r="R5" s="48">
        <v>1</v>
      </c>
      <c r="S5" s="48">
        <v>3</v>
      </c>
      <c r="T5" s="48">
        <v>1</v>
      </c>
      <c r="U5" s="48">
        <v>3</v>
      </c>
      <c r="V5" s="48">
        <v>3</v>
      </c>
      <c r="W5" s="48">
        <v>2</v>
      </c>
      <c r="X5" s="48">
        <v>4</v>
      </c>
      <c r="Y5" s="48">
        <v>3</v>
      </c>
      <c r="Z5" s="48">
        <v>2</v>
      </c>
      <c r="AC5" s="134"/>
      <c r="AD5" s="134"/>
      <c r="AE5" s="134"/>
      <c r="AF5" s="134"/>
      <c r="AG5" s="134"/>
      <c r="AH5" s="134"/>
      <c r="AI5" s="134"/>
      <c r="AJ5" s="134"/>
      <c r="AK5" s="134"/>
      <c r="AL5" s="134"/>
      <c r="AM5" s="134"/>
      <c r="AN5" s="134"/>
      <c r="AO5" s="134"/>
      <c r="AP5" s="134"/>
      <c r="AQ5" s="134"/>
      <c r="AR5" s="134"/>
      <c r="AS5" s="134"/>
      <c r="AT5" s="134"/>
      <c r="AU5" s="134"/>
      <c r="AV5" s="134"/>
      <c r="AW5" s="134"/>
      <c r="AX5" s="134"/>
      <c r="AY5" s="134"/>
      <c r="AZ5" s="134"/>
      <c r="BA5" s="134"/>
      <c r="BB5" s="134"/>
    </row>
    <row r="6" spans="1:54">
      <c r="A6" s="48">
        <v>5</v>
      </c>
      <c r="B6" s="48">
        <v>5</v>
      </c>
      <c r="C6" s="48">
        <v>1</v>
      </c>
      <c r="D6" s="48">
        <v>1</v>
      </c>
      <c r="E6" s="48">
        <v>3</v>
      </c>
      <c r="F6" s="48">
        <v>3</v>
      </c>
      <c r="G6" s="48">
        <v>1</v>
      </c>
      <c r="H6" s="48">
        <v>4</v>
      </c>
      <c r="I6" s="48">
        <v>2</v>
      </c>
      <c r="J6" s="48">
        <v>1</v>
      </c>
      <c r="K6" s="48">
        <v>1</v>
      </c>
      <c r="L6" s="48">
        <v>4</v>
      </c>
      <c r="M6" s="48">
        <v>3</v>
      </c>
      <c r="N6" s="48">
        <v>2</v>
      </c>
      <c r="O6" s="48">
        <v>4</v>
      </c>
      <c r="P6" s="48">
        <v>3</v>
      </c>
      <c r="Q6" s="48">
        <v>3</v>
      </c>
      <c r="R6" s="48">
        <v>1</v>
      </c>
      <c r="S6" s="48">
        <v>3</v>
      </c>
      <c r="T6" s="48">
        <v>2</v>
      </c>
      <c r="U6" s="48">
        <v>2</v>
      </c>
      <c r="V6" s="48">
        <v>2</v>
      </c>
      <c r="W6" s="48">
        <v>2</v>
      </c>
      <c r="X6" s="48">
        <v>4</v>
      </c>
      <c r="Y6" s="48">
        <v>2</v>
      </c>
      <c r="Z6" s="48">
        <v>2</v>
      </c>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row>
    <row r="7" spans="1:54">
      <c r="A7" s="48">
        <v>4</v>
      </c>
      <c r="B7" s="48">
        <v>5</v>
      </c>
      <c r="C7" s="48">
        <v>2</v>
      </c>
      <c r="D7" s="48">
        <v>2</v>
      </c>
      <c r="E7" s="48">
        <v>3</v>
      </c>
      <c r="F7" s="48">
        <v>3</v>
      </c>
      <c r="G7" s="48">
        <v>3</v>
      </c>
      <c r="H7" s="48">
        <v>6</v>
      </c>
      <c r="I7" s="48">
        <v>1</v>
      </c>
      <c r="J7" s="48">
        <v>2</v>
      </c>
      <c r="K7" s="48">
        <v>1</v>
      </c>
      <c r="L7" s="48">
        <v>2</v>
      </c>
      <c r="M7" s="48">
        <v>2</v>
      </c>
      <c r="N7" s="48">
        <v>4</v>
      </c>
      <c r="O7" s="48">
        <v>4</v>
      </c>
      <c r="P7" s="48">
        <v>2</v>
      </c>
      <c r="Q7" s="48">
        <v>4</v>
      </c>
      <c r="R7" s="48">
        <v>2</v>
      </c>
      <c r="S7" s="48">
        <v>1</v>
      </c>
      <c r="T7" s="48">
        <v>2</v>
      </c>
      <c r="U7" s="48">
        <v>3</v>
      </c>
      <c r="V7" s="48">
        <v>3</v>
      </c>
      <c r="W7" s="48">
        <v>2</v>
      </c>
      <c r="X7" s="48">
        <v>2</v>
      </c>
      <c r="Y7" s="48">
        <v>3</v>
      </c>
      <c r="Z7" s="48">
        <v>1</v>
      </c>
      <c r="AC7" s="134"/>
      <c r="AD7" s="134"/>
      <c r="AE7" s="134"/>
      <c r="AF7" s="134"/>
      <c r="AG7" s="134"/>
      <c r="AH7" s="134"/>
      <c r="AI7" s="134"/>
      <c r="AJ7" s="134"/>
      <c r="AK7" s="134"/>
      <c r="AL7" s="134"/>
      <c r="AM7" s="134"/>
      <c r="AN7" s="134"/>
      <c r="AO7" s="134"/>
      <c r="AP7" s="134"/>
      <c r="AQ7" s="134"/>
      <c r="AR7" s="134"/>
      <c r="AS7" s="134"/>
      <c r="AT7" s="134"/>
      <c r="AU7" s="134"/>
      <c r="AV7" s="134"/>
      <c r="AW7" s="134"/>
      <c r="AX7" s="134"/>
      <c r="AY7" s="134"/>
      <c r="AZ7" s="134"/>
      <c r="BA7" s="134"/>
      <c r="BB7" s="134"/>
    </row>
    <row r="8" spans="1:54">
      <c r="A8" s="48">
        <v>7</v>
      </c>
      <c r="B8" s="48">
        <v>7</v>
      </c>
      <c r="C8" s="48">
        <v>1</v>
      </c>
      <c r="D8" s="48">
        <v>2</v>
      </c>
      <c r="E8" s="48">
        <v>2</v>
      </c>
      <c r="F8" s="48">
        <v>3</v>
      </c>
      <c r="G8" s="48">
        <v>1</v>
      </c>
      <c r="H8" s="48">
        <v>6</v>
      </c>
      <c r="I8" s="48">
        <v>3</v>
      </c>
      <c r="J8" s="48">
        <v>2</v>
      </c>
      <c r="K8" s="48">
        <v>1</v>
      </c>
      <c r="L8" s="48">
        <v>2</v>
      </c>
      <c r="M8" s="48">
        <v>3</v>
      </c>
      <c r="N8" s="48">
        <v>1</v>
      </c>
      <c r="O8" s="48">
        <v>7</v>
      </c>
      <c r="P8" s="48">
        <v>1</v>
      </c>
      <c r="Q8" s="48">
        <v>3</v>
      </c>
      <c r="R8" s="48">
        <v>1</v>
      </c>
      <c r="S8" s="48">
        <v>1</v>
      </c>
      <c r="T8" s="48">
        <v>2</v>
      </c>
      <c r="U8" s="48">
        <v>1</v>
      </c>
      <c r="V8" s="48">
        <v>2</v>
      </c>
      <c r="W8" s="48">
        <v>3</v>
      </c>
      <c r="X8" s="48">
        <v>2</v>
      </c>
      <c r="Y8" s="48">
        <v>1</v>
      </c>
      <c r="Z8" s="48">
        <v>1</v>
      </c>
      <c r="AC8" s="134"/>
      <c r="AD8" s="134"/>
      <c r="AE8" s="134"/>
      <c r="AF8" s="134"/>
      <c r="AG8" s="134"/>
      <c r="AH8" s="134"/>
      <c r="AI8" s="134"/>
      <c r="AJ8" s="134"/>
      <c r="AK8" s="134"/>
      <c r="AL8" s="134"/>
      <c r="AM8" s="134"/>
      <c r="AN8" s="134"/>
      <c r="AO8" s="134"/>
      <c r="AP8" s="134"/>
      <c r="AQ8" s="134"/>
      <c r="AR8" s="134"/>
      <c r="AS8" s="134"/>
      <c r="AT8" s="134"/>
      <c r="AU8" s="134"/>
      <c r="AV8" s="134"/>
      <c r="AW8" s="134"/>
      <c r="AX8" s="134"/>
      <c r="AY8" s="134"/>
      <c r="AZ8" s="134"/>
      <c r="BA8" s="134"/>
      <c r="BB8" s="134"/>
    </row>
    <row r="9" spans="1:54">
      <c r="A9" s="48"/>
      <c r="B9" s="48"/>
      <c r="C9" s="48"/>
      <c r="D9" s="48"/>
      <c r="E9" s="48"/>
      <c r="F9" s="48"/>
      <c r="G9" s="48"/>
      <c r="H9" s="48"/>
      <c r="I9" s="48"/>
      <c r="J9" s="48"/>
      <c r="K9" s="48"/>
      <c r="L9" s="48"/>
      <c r="M9" s="48"/>
      <c r="N9" s="48"/>
      <c r="O9" s="48"/>
      <c r="P9" s="48"/>
      <c r="Q9" s="48"/>
      <c r="R9" s="48"/>
      <c r="S9" s="48"/>
      <c r="T9" s="48"/>
      <c r="U9" s="48"/>
      <c r="V9" s="48"/>
      <c r="W9" s="48"/>
      <c r="X9" s="48"/>
      <c r="Y9" s="48"/>
      <c r="Z9" s="48"/>
    </row>
    <row r="10" spans="1:54">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54">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spans="1:54">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row>
    <row r="13" spans="1:54">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row>
    <row r="14" spans="1:54">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row>
    <row r="15" spans="1:54">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row>
    <row r="16" spans="1:54">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S13" sqref="S13"/>
    </sheetView>
  </sheetViews>
  <sheetFormatPr defaultColWidth="9.1796875" defaultRowHeight="14.5"/>
  <cols>
    <col min="1" max="26" width="3.7265625" style="1" customWidth="1"/>
    <col min="27" max="28" width="4.453125" customWidth="1"/>
    <col min="29" max="34" width="13.7265625" style="1" customWidth="1"/>
  </cols>
  <sheetData>
    <row r="1" spans="1:34" ht="96" customHeight="1">
      <c r="A1" s="146" t="s">
        <v>8</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7</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9</v>
      </c>
      <c r="AD2" s="150"/>
      <c r="AE2" s="150"/>
      <c r="AF2" s="150"/>
      <c r="AG2" s="150"/>
      <c r="AH2" s="150"/>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Daya tarik</v>
      </c>
      <c r="AD3" s="99" t="str">
        <f>VLOOKUP(Read_First!B5,Items!A1:BI50,55,FALSE)</f>
        <v>Kejelasan</v>
      </c>
      <c r="AE3" s="100" t="str">
        <f>VLOOKUP(Read_First!B5,Items!A1:BI50,56,FALSE)</f>
        <v>Efisiensi</v>
      </c>
      <c r="AF3" s="99" t="str">
        <f>VLOOKUP(Read_First!B5,Items!A1:BI50,57,FALSE)</f>
        <v>Ketepatan</v>
      </c>
      <c r="AG3" s="100" t="str">
        <f>VLOOKUP(Read_First!B5,Items!A1:BI50,58,FALSE)</f>
        <v>Stimulasi</v>
      </c>
      <c r="AH3" s="101" t="str">
        <f>VLOOKUP(Read_First!B5,Items!A1:BI50,59,FALSE)</f>
        <v>Kebaruan</v>
      </c>
    </row>
    <row r="4" spans="1:34">
      <c r="A4" s="55">
        <f>IF(Data!A4&gt;0,Data!A4-4,"")</f>
        <v>1</v>
      </c>
      <c r="B4" s="55">
        <f>IF(Data!B4&gt;0,Data!B4-4,"")</f>
        <v>2</v>
      </c>
      <c r="C4" s="55">
        <f>IF(Data!C4&gt;0,4-Data!C4,"")</f>
        <v>3</v>
      </c>
      <c r="D4" s="55">
        <f>IF(Data!D4&gt;0,4-Data!D4,"")</f>
        <v>1</v>
      </c>
      <c r="E4" s="55">
        <f>IF(Data!E4&gt;0,4-Data!E4,"")</f>
        <v>3</v>
      </c>
      <c r="F4" s="55">
        <f>IF(Data!F4&gt;0,Data!F4-4,"")</f>
        <v>-3</v>
      </c>
      <c r="G4" s="55">
        <f>IF(Data!G4&gt;0,Data!G4-4,"")</f>
        <v>-3</v>
      </c>
      <c r="H4" s="55">
        <f>IF(Data!H4&gt;0,Data!H4-4,"")</f>
        <v>0</v>
      </c>
      <c r="I4" s="55">
        <f>IF(Data!I4&gt;0,4-Data!I4,"")</f>
        <v>2</v>
      </c>
      <c r="J4" s="55">
        <f>IF(Data!J4&gt;0,4-Data!J4,"")</f>
        <v>2</v>
      </c>
      <c r="K4" s="55">
        <f>IF(Data!K4&gt;0,Data!K4-4,"")</f>
        <v>-3</v>
      </c>
      <c r="L4" s="55">
        <f>IF(Data!L4&gt;0,4-Data!L4,"")</f>
        <v>3</v>
      </c>
      <c r="M4" s="55">
        <f>IF(Data!M4&gt;0,Data!M4-4,"")</f>
        <v>-1</v>
      </c>
      <c r="N4" s="55">
        <f>IF(Data!N4&gt;0,Data!N4-4,"")</f>
        <v>-1</v>
      </c>
      <c r="O4" s="55">
        <f>IF(Data!O4&gt;0,Data!O4-4,"")</f>
        <v>2</v>
      </c>
      <c r="P4" s="55">
        <f>IF(Data!P4&gt;0,Data!P4-4,"")</f>
        <v>-1</v>
      </c>
      <c r="Q4" s="55">
        <f>IF(Data!Q4&gt;0,4-Data!Q4,"")</f>
        <v>2</v>
      </c>
      <c r="R4" s="55">
        <f>IF(Data!R4&gt;0,4-Data!R4,"")</f>
        <v>2</v>
      </c>
      <c r="S4" s="55">
        <f>IF(Data!S4&gt;0,4-Data!S4,"")</f>
        <v>3</v>
      </c>
      <c r="T4" s="55">
        <f>IF(Data!T4&gt;0,Data!T4-4,"")</f>
        <v>-1</v>
      </c>
      <c r="U4" s="55">
        <f>IF(Data!U4&gt;0,4-Data!U4,"")</f>
        <v>1</v>
      </c>
      <c r="V4" s="55">
        <f>IF(Data!V4&gt;0,Data!V4-4,"")</f>
        <v>-3</v>
      </c>
      <c r="W4" s="55">
        <f>IF(Data!W4&gt;0,4-Data!W4,"")</f>
        <v>3</v>
      </c>
      <c r="X4" s="55">
        <f>IF(Data!X4&gt;0,4-Data!X4,"")</f>
        <v>3</v>
      </c>
      <c r="Y4" s="55">
        <f>IF(Data!Y4&gt;0,4-Data!Y4,"")</f>
        <v>3</v>
      </c>
      <c r="Z4" s="55">
        <f>IF(Data!Z4&gt;0,Data!Z4-4,"")</f>
        <v>-3</v>
      </c>
      <c r="AC4" s="56">
        <f t="shared" ref="AC4:AC68" si="0">IF(COUNT(A4,L4,N4,P4,X4,Y4)&gt;0,AVERAGE(A4,L4,N4,P4,X4,Y4),"")</f>
        <v>1.3333333333333333</v>
      </c>
      <c r="AD4" s="56">
        <f>IF(COUNT(B4,D4,M4,U4)&gt;0,AVERAGE(B4,D4,M4,U4),"")</f>
        <v>0.75</v>
      </c>
      <c r="AE4" s="56">
        <f>IF(COUNT(I4,T4,V4,W4)&gt;0,AVERAGE(I4,T4,V4,W4),"")</f>
        <v>0.25</v>
      </c>
      <c r="AF4" s="56">
        <f>IF(COUNT(H4,K4,Q4,S4)&gt;0,AVERAGE(H4,K4,Q4,S4),"")</f>
        <v>0.5</v>
      </c>
      <c r="AG4" s="56">
        <f>IF(COUNT(E4,F4,G4,R4)&gt;0,AVERAGE(E4,F4,G4,R4),"")</f>
        <v>-0.25</v>
      </c>
      <c r="AH4" s="56">
        <f>IF(COUNT(C4,J4,O4,Z4)&gt;0,AVERAGE(C4,J4,O4,Z4),"")</f>
        <v>1</v>
      </c>
    </row>
    <row r="5" spans="1:34">
      <c r="A5" s="1">
        <f>IF(Data!A5&gt;0,Data!A5-4,"")</f>
        <v>2</v>
      </c>
      <c r="B5" s="1">
        <f>IF(Data!B5&gt;0,Data!B5-4,"")</f>
        <v>3</v>
      </c>
      <c r="C5" s="1">
        <f>IF(Data!C5&gt;0,4-Data!C5,"")</f>
        <v>1</v>
      </c>
      <c r="D5" s="1">
        <f>IF(Data!D5&gt;0,4-Data!D5,"")</f>
        <v>1</v>
      </c>
      <c r="E5" s="1">
        <f>IF(Data!E5&gt;0,4-Data!E5,"")</f>
        <v>0</v>
      </c>
      <c r="F5" s="1">
        <f>IF(Data!F5&gt;0,Data!F5-4,"")</f>
        <v>-2</v>
      </c>
      <c r="G5" s="1">
        <f>IF(Data!G5&gt;0,Data!G5-4,"")</f>
        <v>-3</v>
      </c>
      <c r="H5" s="1">
        <f>IF(Data!H5&gt;0,Data!H5-4,"")</f>
        <v>2</v>
      </c>
      <c r="I5" s="1">
        <f>IF(Data!I5&gt;0,4-Data!I5,"")</f>
        <v>1</v>
      </c>
      <c r="J5" s="1">
        <f>IF(Data!J5&gt;0,4-Data!J5,"")</f>
        <v>1</v>
      </c>
      <c r="K5" s="1">
        <f>IF(Data!K5&gt;0,Data!K5-4,"")</f>
        <v>-3</v>
      </c>
      <c r="L5" s="1">
        <f>IF(Data!L5&gt;0,4-Data!L5,"")</f>
        <v>2</v>
      </c>
      <c r="M5" s="1">
        <f>IF(Data!M5&gt;0,Data!M5-4,"")</f>
        <v>-3</v>
      </c>
      <c r="N5" s="1">
        <f>IF(Data!N5&gt;0,Data!N5-4,"")</f>
        <v>-1</v>
      </c>
      <c r="O5" s="1">
        <f>IF(Data!O5&gt;0,Data!O5-4,"")</f>
        <v>1</v>
      </c>
      <c r="P5" s="1">
        <f>IF(Data!P5&gt;0,Data!P5-4,"")</f>
        <v>-1</v>
      </c>
      <c r="Q5" s="1">
        <f>IF(Data!Q5&gt;0,4-Data!Q5,"")</f>
        <v>1</v>
      </c>
      <c r="R5" s="1">
        <f>IF(Data!R5&gt;0,4-Data!R5,"")</f>
        <v>3</v>
      </c>
      <c r="S5" s="1">
        <f>IF(Data!S5&gt;0,4-Data!S5,"")</f>
        <v>1</v>
      </c>
      <c r="T5" s="1">
        <f>IF(Data!T5&gt;0,Data!T5-4,"")</f>
        <v>-3</v>
      </c>
      <c r="U5" s="1">
        <f>IF(Data!U5&gt;0,4-Data!U5,"")</f>
        <v>1</v>
      </c>
      <c r="V5" s="1">
        <f>IF(Data!V5&gt;0,Data!V5-4,"")</f>
        <v>-1</v>
      </c>
      <c r="W5" s="1">
        <f>IF(Data!W5&gt;0,4-Data!W5,"")</f>
        <v>2</v>
      </c>
      <c r="X5" s="1">
        <f>IF(Data!X5&gt;0,4-Data!X5,"")</f>
        <v>0</v>
      </c>
      <c r="Y5" s="1">
        <f>IF(Data!Y5&gt;0,4-Data!Y5,"")</f>
        <v>1</v>
      </c>
      <c r="Z5" s="1">
        <f>IF(Data!Z5&gt;0,Data!Z5-4,"")</f>
        <v>-2</v>
      </c>
      <c r="AC5" s="6">
        <f t="shared" si="0"/>
        <v>0.5</v>
      </c>
      <c r="AD5" s="6">
        <f t="shared" ref="AD5:AD68" si="1">IF(COUNT(B5,D5,M5,U5)&gt;0,AVERAGE(B5,D5,M5,U5),"")</f>
        <v>0.5</v>
      </c>
      <c r="AE5" s="6">
        <f t="shared" ref="AE5:AE68" si="2">IF(COUNT(I5,T5,V5,W5)&gt;0,AVERAGE(I5,T5,V5,W5),"")</f>
        <v>-0.25</v>
      </c>
      <c r="AF5" s="6">
        <f t="shared" ref="AF5:AF68" si="3">IF(COUNT(H5,K5,Q5,S5)&gt;0,AVERAGE(H5,K5,Q5,S5),"")</f>
        <v>0.25</v>
      </c>
      <c r="AG5" s="6">
        <f t="shared" ref="AG5:AG68" si="4">IF(COUNT(E5,F5,G5,R5)&gt;0,AVERAGE(E5,F5,G5,R5),"")</f>
        <v>-0.5</v>
      </c>
      <c r="AH5" s="6">
        <f t="shared" ref="AH5:AH68" si="5">IF(COUNT(C5,J5,O5,Z5)&gt;0,AVERAGE(C5,J5,O5,Z5),"")</f>
        <v>0.25</v>
      </c>
    </row>
    <row r="6" spans="1:34">
      <c r="A6" s="1">
        <f>IF(Data!A6&gt;0,Data!A6-4,"")</f>
        <v>1</v>
      </c>
      <c r="B6" s="1">
        <f>IF(Data!B6&gt;0,Data!B6-4,"")</f>
        <v>1</v>
      </c>
      <c r="C6" s="1">
        <f>IF(Data!C6&gt;0,4-Data!C6,"")</f>
        <v>3</v>
      </c>
      <c r="D6" s="1">
        <f>IF(Data!D6&gt;0,4-Data!D6,"")</f>
        <v>3</v>
      </c>
      <c r="E6" s="1">
        <f>IF(Data!E6&gt;0,4-Data!E6,"")</f>
        <v>1</v>
      </c>
      <c r="F6" s="1">
        <f>IF(Data!F6&gt;0,Data!F6-4,"")</f>
        <v>-1</v>
      </c>
      <c r="G6" s="1">
        <f>IF(Data!G6&gt;0,Data!G6-4,"")</f>
        <v>-3</v>
      </c>
      <c r="H6" s="1">
        <f>IF(Data!H6&gt;0,Data!H6-4,"")</f>
        <v>0</v>
      </c>
      <c r="I6" s="1">
        <f>IF(Data!I6&gt;0,4-Data!I6,"")</f>
        <v>2</v>
      </c>
      <c r="J6" s="1">
        <f>IF(Data!J6&gt;0,4-Data!J6,"")</f>
        <v>3</v>
      </c>
      <c r="K6" s="1">
        <f>IF(Data!K6&gt;0,Data!K6-4,"")</f>
        <v>-3</v>
      </c>
      <c r="L6" s="1">
        <f>IF(Data!L6&gt;0,4-Data!L6,"")</f>
        <v>0</v>
      </c>
      <c r="M6" s="1">
        <f>IF(Data!M6&gt;0,Data!M6-4,"")</f>
        <v>-1</v>
      </c>
      <c r="N6" s="1">
        <f>IF(Data!N6&gt;0,Data!N6-4,"")</f>
        <v>-2</v>
      </c>
      <c r="O6" s="1">
        <f>IF(Data!O6&gt;0,Data!O6-4,"")</f>
        <v>0</v>
      </c>
      <c r="P6" s="1">
        <f>IF(Data!P6&gt;0,Data!P6-4,"")</f>
        <v>-1</v>
      </c>
      <c r="Q6" s="1">
        <f>IF(Data!Q6&gt;0,4-Data!Q6,"")</f>
        <v>1</v>
      </c>
      <c r="R6" s="1">
        <f>IF(Data!R6&gt;0,4-Data!R6,"")</f>
        <v>3</v>
      </c>
      <c r="S6" s="1">
        <f>IF(Data!S6&gt;0,4-Data!S6,"")</f>
        <v>1</v>
      </c>
      <c r="T6" s="1">
        <f>IF(Data!T6&gt;0,Data!T6-4,"")</f>
        <v>-2</v>
      </c>
      <c r="U6" s="1">
        <f>IF(Data!U6&gt;0,4-Data!U6,"")</f>
        <v>2</v>
      </c>
      <c r="V6" s="1">
        <f>IF(Data!V6&gt;0,Data!V6-4,"")</f>
        <v>-2</v>
      </c>
      <c r="W6" s="1">
        <f>IF(Data!W6&gt;0,4-Data!W6,"")</f>
        <v>2</v>
      </c>
      <c r="X6" s="1">
        <f>IF(Data!X6&gt;0,4-Data!X6,"")</f>
        <v>0</v>
      </c>
      <c r="Y6" s="1">
        <f>IF(Data!Y6&gt;0,4-Data!Y6,"")</f>
        <v>2</v>
      </c>
      <c r="Z6" s="1">
        <f>IF(Data!Z6&gt;0,Data!Z6-4,"")</f>
        <v>-2</v>
      </c>
      <c r="AC6" s="6">
        <f t="shared" si="0"/>
        <v>0</v>
      </c>
      <c r="AD6" s="6">
        <f t="shared" si="1"/>
        <v>1.25</v>
      </c>
      <c r="AE6" s="6">
        <f t="shared" si="2"/>
        <v>0</v>
      </c>
      <c r="AF6" s="6">
        <f t="shared" si="3"/>
        <v>-0.25</v>
      </c>
      <c r="AG6" s="6">
        <f t="shared" si="4"/>
        <v>0</v>
      </c>
      <c r="AH6" s="6">
        <f t="shared" si="5"/>
        <v>1</v>
      </c>
    </row>
    <row r="7" spans="1:34">
      <c r="A7" s="1">
        <f>IF(Data!A7&gt;0,Data!A7-4,"")</f>
        <v>0</v>
      </c>
      <c r="B7" s="1">
        <f>IF(Data!B7&gt;0,Data!B7-4,"")</f>
        <v>1</v>
      </c>
      <c r="C7" s="1">
        <f>IF(Data!C7&gt;0,4-Data!C7,"")</f>
        <v>2</v>
      </c>
      <c r="D7" s="1">
        <f>IF(Data!D7&gt;0,4-Data!D7,"")</f>
        <v>2</v>
      </c>
      <c r="E7" s="1">
        <f>IF(Data!E7&gt;0,4-Data!E7,"")</f>
        <v>1</v>
      </c>
      <c r="F7" s="1">
        <f>IF(Data!F7&gt;0,Data!F7-4,"")</f>
        <v>-1</v>
      </c>
      <c r="G7" s="1">
        <f>IF(Data!G7&gt;0,Data!G7-4,"")</f>
        <v>-1</v>
      </c>
      <c r="H7" s="1">
        <f>IF(Data!H7&gt;0,Data!H7-4,"")</f>
        <v>2</v>
      </c>
      <c r="I7" s="1">
        <f>IF(Data!I7&gt;0,4-Data!I7,"")</f>
        <v>3</v>
      </c>
      <c r="J7" s="1">
        <f>IF(Data!J7&gt;0,4-Data!J7,"")</f>
        <v>2</v>
      </c>
      <c r="K7" s="1">
        <f>IF(Data!K7&gt;0,Data!K7-4,"")</f>
        <v>-3</v>
      </c>
      <c r="L7" s="1">
        <f>IF(Data!L7&gt;0,4-Data!L7,"")</f>
        <v>2</v>
      </c>
      <c r="M7" s="1">
        <f>IF(Data!M7&gt;0,Data!M7-4,"")</f>
        <v>-2</v>
      </c>
      <c r="N7" s="1">
        <f>IF(Data!N7&gt;0,Data!N7-4,"")</f>
        <v>0</v>
      </c>
      <c r="O7" s="1">
        <f>IF(Data!O7&gt;0,Data!O7-4,"")</f>
        <v>0</v>
      </c>
      <c r="P7" s="1">
        <f>IF(Data!P7&gt;0,Data!P7-4,"")</f>
        <v>-2</v>
      </c>
      <c r="Q7" s="1">
        <f>IF(Data!Q7&gt;0,4-Data!Q7,"")</f>
        <v>0</v>
      </c>
      <c r="R7" s="1">
        <f>IF(Data!R7&gt;0,4-Data!R7,"")</f>
        <v>2</v>
      </c>
      <c r="S7" s="1">
        <f>IF(Data!S7&gt;0,4-Data!S7,"")</f>
        <v>3</v>
      </c>
      <c r="T7" s="1">
        <f>IF(Data!T7&gt;0,Data!T7-4,"")</f>
        <v>-2</v>
      </c>
      <c r="U7" s="1">
        <f>IF(Data!U7&gt;0,4-Data!U7,"")</f>
        <v>1</v>
      </c>
      <c r="V7" s="1">
        <f>IF(Data!V7&gt;0,Data!V7-4,"")</f>
        <v>-1</v>
      </c>
      <c r="W7" s="1">
        <f>IF(Data!W7&gt;0,4-Data!W7,"")</f>
        <v>2</v>
      </c>
      <c r="X7" s="1">
        <f>IF(Data!X7&gt;0,4-Data!X7,"")</f>
        <v>2</v>
      </c>
      <c r="Y7" s="1">
        <f>IF(Data!Y7&gt;0,4-Data!Y7,"")</f>
        <v>1</v>
      </c>
      <c r="Z7" s="1">
        <f>IF(Data!Z7&gt;0,Data!Z7-4,"")</f>
        <v>-3</v>
      </c>
      <c r="AC7" s="6">
        <f t="shared" si="0"/>
        <v>0.5</v>
      </c>
      <c r="AD7" s="6">
        <f t="shared" si="1"/>
        <v>0.5</v>
      </c>
      <c r="AE7" s="6">
        <f t="shared" si="2"/>
        <v>0.5</v>
      </c>
      <c r="AF7" s="6">
        <f t="shared" si="3"/>
        <v>0.5</v>
      </c>
      <c r="AG7" s="6">
        <f t="shared" si="4"/>
        <v>0.25</v>
      </c>
      <c r="AH7" s="6">
        <f t="shared" si="5"/>
        <v>0.25</v>
      </c>
    </row>
    <row r="8" spans="1:34">
      <c r="A8" s="1">
        <f>IF(Data!A8&gt;0,Data!A8-4,"")</f>
        <v>3</v>
      </c>
      <c r="B8" s="1">
        <f>IF(Data!B8&gt;0,Data!B8-4,"")</f>
        <v>3</v>
      </c>
      <c r="C8" s="1">
        <f>IF(Data!C8&gt;0,4-Data!C8,"")</f>
        <v>3</v>
      </c>
      <c r="D8" s="1">
        <f>IF(Data!D8&gt;0,4-Data!D8,"")</f>
        <v>2</v>
      </c>
      <c r="E8" s="1">
        <f>IF(Data!E8&gt;0,4-Data!E8,"")</f>
        <v>2</v>
      </c>
      <c r="F8" s="1">
        <f>IF(Data!F8&gt;0,Data!F8-4,"")</f>
        <v>-1</v>
      </c>
      <c r="G8" s="1">
        <f>IF(Data!G8&gt;0,Data!G8-4,"")</f>
        <v>-3</v>
      </c>
      <c r="H8" s="1">
        <f>IF(Data!H8&gt;0,Data!H8-4,"")</f>
        <v>2</v>
      </c>
      <c r="I8" s="1">
        <f>IF(Data!I8&gt;0,4-Data!I8,"")</f>
        <v>1</v>
      </c>
      <c r="J8" s="1">
        <f>IF(Data!J8&gt;0,4-Data!J8,"")</f>
        <v>2</v>
      </c>
      <c r="K8" s="1">
        <f>IF(Data!K8&gt;0,Data!K8-4,"")</f>
        <v>-3</v>
      </c>
      <c r="L8" s="1">
        <f>IF(Data!L8&gt;0,4-Data!L8,"")</f>
        <v>2</v>
      </c>
      <c r="M8" s="1">
        <f>IF(Data!M8&gt;0,Data!M8-4,"")</f>
        <v>-1</v>
      </c>
      <c r="N8" s="1">
        <f>IF(Data!N8&gt;0,Data!N8-4,"")</f>
        <v>-3</v>
      </c>
      <c r="O8" s="1">
        <f>IF(Data!O8&gt;0,Data!O8-4,"")</f>
        <v>3</v>
      </c>
      <c r="P8" s="1">
        <f>IF(Data!P8&gt;0,Data!P8-4,"")</f>
        <v>-3</v>
      </c>
      <c r="Q8" s="1">
        <f>IF(Data!Q8&gt;0,4-Data!Q8,"")</f>
        <v>1</v>
      </c>
      <c r="R8" s="1">
        <f>IF(Data!R8&gt;0,4-Data!R8,"")</f>
        <v>3</v>
      </c>
      <c r="S8" s="1">
        <f>IF(Data!S8&gt;0,4-Data!S8,"")</f>
        <v>3</v>
      </c>
      <c r="T8" s="1">
        <f>IF(Data!T8&gt;0,Data!T8-4,"")</f>
        <v>-2</v>
      </c>
      <c r="U8" s="1">
        <f>IF(Data!U8&gt;0,4-Data!U8,"")</f>
        <v>3</v>
      </c>
      <c r="V8" s="1">
        <f>IF(Data!V8&gt;0,Data!V8-4,"")</f>
        <v>-2</v>
      </c>
      <c r="W8" s="1">
        <f>IF(Data!W8&gt;0,4-Data!W8,"")</f>
        <v>1</v>
      </c>
      <c r="X8" s="1">
        <f>IF(Data!X8&gt;0,4-Data!X8,"")</f>
        <v>2</v>
      </c>
      <c r="Y8" s="1">
        <f>IF(Data!Y8&gt;0,4-Data!Y8,"")</f>
        <v>3</v>
      </c>
      <c r="Z8" s="1">
        <f>IF(Data!Z8&gt;0,Data!Z8-4,"")</f>
        <v>-3</v>
      </c>
      <c r="AC8" s="6">
        <f t="shared" si="0"/>
        <v>0.66666666666666663</v>
      </c>
      <c r="AD8" s="6">
        <f t="shared" si="1"/>
        <v>1.75</v>
      </c>
      <c r="AE8" s="6">
        <f t="shared" si="2"/>
        <v>-0.5</v>
      </c>
      <c r="AF8" s="6">
        <f t="shared" si="3"/>
        <v>0.75</v>
      </c>
      <c r="AG8" s="6">
        <f t="shared" si="4"/>
        <v>0.25</v>
      </c>
      <c r="AH8" s="6">
        <f t="shared" si="5"/>
        <v>1.25</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6" t="str">
        <f t="shared" si="0"/>
        <v/>
      </c>
      <c r="AD9" s="6" t="str">
        <f t="shared" si="1"/>
        <v/>
      </c>
      <c r="AE9" s="6" t="str">
        <f t="shared" si="2"/>
        <v/>
      </c>
      <c r="AF9" s="6" t="str">
        <f t="shared" si="3"/>
        <v/>
      </c>
      <c r="AG9" s="6" t="str">
        <f t="shared" si="4"/>
        <v/>
      </c>
      <c r="AH9" s="6"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sheetProtection algorithmName="SHA-512" hashValue="/hHxPNyotdJQ+XDmjM8ogYr1FJsmCmaCnxLcnTKVcoCJfnABE98/3q59acBPiezRkT5CnUZfPEL2D/zhdL5hsw==" saltValue="BFQWT7KLJcfRJopG+WJc3g==" spinCount="100000" sheet="1" objects="1" scenarios="1"/>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R44"/>
  <sheetViews>
    <sheetView tabSelected="1" workbookViewId="0">
      <selection sqref="A1:N1"/>
    </sheetView>
  </sheetViews>
  <sheetFormatPr defaultColWidth="9.1796875" defaultRowHeight="14.5"/>
  <cols>
    <col min="1" max="1" width="5.453125" customWidth="1"/>
    <col min="2" max="2" width="8.1796875" customWidth="1"/>
    <col min="5" max="5" width="7.453125" customWidth="1"/>
    <col min="6" max="6" width="19.1796875" customWidth="1"/>
    <col min="7" max="7" width="24.453125" customWidth="1"/>
    <col min="8" max="8" width="17.26953125" customWidth="1"/>
    <col min="9" max="9" width="2.7265625" customWidth="1"/>
    <col min="11" max="11" width="23.54296875" customWidth="1"/>
    <col min="12" max="12" width="10.7265625" bestFit="1" customWidth="1"/>
  </cols>
  <sheetData>
    <row r="1" spans="1:18" ht="183" customHeight="1">
      <c r="A1" s="153" t="s">
        <v>10</v>
      </c>
      <c r="B1" s="154"/>
      <c r="C1" s="154"/>
      <c r="D1" s="154"/>
      <c r="E1" s="154"/>
      <c r="F1" s="154"/>
      <c r="G1" s="154"/>
      <c r="H1" s="154"/>
      <c r="I1" s="154"/>
      <c r="J1" s="154"/>
      <c r="K1" s="154"/>
      <c r="L1" s="154"/>
      <c r="M1" s="154"/>
      <c r="N1" s="154"/>
    </row>
    <row r="2" spans="1:18">
      <c r="A2" s="63" t="s">
        <v>11</v>
      </c>
      <c r="B2" s="64" t="s">
        <v>12</v>
      </c>
      <c r="C2" s="65" t="s">
        <v>13</v>
      </c>
      <c r="D2" s="66" t="s">
        <v>14</v>
      </c>
      <c r="E2" s="65" t="s">
        <v>15</v>
      </c>
      <c r="F2" s="67" t="s">
        <v>16</v>
      </c>
      <c r="G2" s="68" t="s">
        <v>17</v>
      </c>
      <c r="H2" s="65" t="s">
        <v>18</v>
      </c>
      <c r="I2" s="69"/>
      <c r="K2" s="152" t="s">
        <v>19</v>
      </c>
      <c r="L2" s="152"/>
      <c r="M2" s="152"/>
    </row>
    <row r="3" spans="1:18">
      <c r="A3" s="58">
        <v>1</v>
      </c>
      <c r="B3" s="59">
        <f>AVERAGE(DT!A4:A1004)</f>
        <v>1.4</v>
      </c>
      <c r="C3" s="59">
        <f>VAR(DT!A4:A1004)</f>
        <v>1.2999999999999998</v>
      </c>
      <c r="D3" s="59">
        <f>SQRT(C3)</f>
        <v>1.1401754250991378</v>
      </c>
      <c r="E3" s="60">
        <f>COUNTA(Data!A4:A1000)</f>
        <v>5</v>
      </c>
      <c r="F3" s="61" t="str">
        <f>VLOOKUP(Read_First!B5,Items!A1:BA50,2,FALSE)</f>
        <v>menyusahkan</v>
      </c>
      <c r="G3" s="61" t="str">
        <f>VLOOKUP(Read_First!B5,Items!A1:BA50,3,FALSE)</f>
        <v>menyenangkan</v>
      </c>
      <c r="H3" s="62" t="str">
        <f>VLOOKUP(Read_First!B5,Items!A1:BI50,54,FALSE)</f>
        <v>Daya tarik</v>
      </c>
      <c r="I3" s="122"/>
      <c r="K3" s="9" t="str">
        <f>VLOOKUP(Read_First!B5,Items!A1:BI50,54,FALSE)</f>
        <v>Daya tarik</v>
      </c>
      <c r="L3" s="10">
        <f>AVERAGE(DT!AC4:AC1004)</f>
        <v>0.59999999999999987</v>
      </c>
      <c r="M3" s="6">
        <f>VAR(DT!AC4:AC1004)</f>
        <v>0.23055555555555574</v>
      </c>
      <c r="R3" s="5"/>
    </row>
    <row r="4" spans="1:18">
      <c r="A4" s="2">
        <v>2</v>
      </c>
      <c r="B4" s="3">
        <f>AVERAGE(DT!B4:B1004)</f>
        <v>2</v>
      </c>
      <c r="C4" s="3">
        <f>VAR(DT!B4:B1004)</f>
        <v>1</v>
      </c>
      <c r="D4" s="3">
        <f t="shared" ref="D4:D28" si="0">SQRT(C4)</f>
        <v>1</v>
      </c>
      <c r="E4" s="4">
        <f>COUNTA(Data!B4:B1000)</f>
        <v>5</v>
      </c>
      <c r="F4" s="18" t="str">
        <f>VLOOKUP(Read_First!B5,Items!A1:BA50,4,FALSE)</f>
        <v>tak dapat dipahami</v>
      </c>
      <c r="G4" s="18" t="str">
        <f>VLOOKUP(Read_First!B5,Items!A1:BA50,5,FALSE)</f>
        <v>dapat dipahami</v>
      </c>
      <c r="H4" s="23" t="str">
        <f>VLOOKUP(Read_First!B5,Items!A1:BI50,55,FALSE)</f>
        <v>Kejelasan</v>
      </c>
      <c r="I4" s="8"/>
      <c r="K4" s="9" t="str">
        <f>VLOOKUP(Read_First!B5,Items!A1:BI50,55,FALSE)</f>
        <v>Kejelasan</v>
      </c>
      <c r="L4" s="10">
        <f>AVERAGE(DT!AD4:AD1004)</f>
        <v>0.95</v>
      </c>
      <c r="M4" s="6">
        <f>VAR(DT!AD4:AD1004)</f>
        <v>0.29374999999999996</v>
      </c>
    </row>
    <row r="5" spans="1:18">
      <c r="A5" s="2">
        <v>3</v>
      </c>
      <c r="B5" s="3">
        <f>AVERAGE(DT!C4:C1004)</f>
        <v>2.4</v>
      </c>
      <c r="C5" s="3">
        <f>VAR(DT!C4:C1004)</f>
        <v>0.79999999999999982</v>
      </c>
      <c r="D5" s="3">
        <f t="shared" si="0"/>
        <v>0.89442719099991574</v>
      </c>
      <c r="E5" s="4">
        <f>COUNTA(Data!C4:C1000)</f>
        <v>5</v>
      </c>
      <c r="F5" s="18" t="str">
        <f>VLOOKUP(Read_First!B5,Items!A1:BA50,6,FALSE)</f>
        <v>kreatif</v>
      </c>
      <c r="G5" s="18" t="str">
        <f>VLOOKUP(Read_First!B5,Items!A1:BA50,7,FALSE)</f>
        <v>monoton</v>
      </c>
      <c r="H5" s="23" t="str">
        <f>VLOOKUP(Read_First!B5,Items!A1:BI50,59,FALSE)</f>
        <v>Kebaruan</v>
      </c>
      <c r="I5" s="124"/>
      <c r="K5" s="9" t="str">
        <f>VLOOKUP(Read_First!B5,Items!A1:BI50,56,FALSE)</f>
        <v>Efisiensi</v>
      </c>
      <c r="L5" s="10">
        <f>AVERAGE(DT!AE4:AE1004)</f>
        <v>0</v>
      </c>
      <c r="M5" s="6">
        <f>VAR(DT!AE4:AE1004)</f>
        <v>0.15625</v>
      </c>
    </row>
    <row r="6" spans="1:18">
      <c r="A6" s="2">
        <v>4</v>
      </c>
      <c r="B6" s="3">
        <f>AVERAGE(DT!D4:D1004)</f>
        <v>1.8</v>
      </c>
      <c r="C6" s="3">
        <f>VAR(DT!D4:D1004)</f>
        <v>0.70000000000000018</v>
      </c>
      <c r="D6" s="3">
        <f t="shared" si="0"/>
        <v>0.83666002653407567</v>
      </c>
      <c r="E6" s="4">
        <f>COUNTA(Data!D4:D1000)</f>
        <v>5</v>
      </c>
      <c r="F6" s="18" t="str">
        <f>VLOOKUP(Read_First!B5,Items!A1:BA50,8,FALSE)</f>
        <v>mudah dipelajari</v>
      </c>
      <c r="G6" s="18" t="str">
        <f>VLOOKUP(Read_First!B5,Items!A1:BA50,9,FALSE)</f>
        <v>sulit dipelajari</v>
      </c>
      <c r="H6" s="23" t="str">
        <f>VLOOKUP(Read_First!B5,Items!A1:BI50,55,FALSE)</f>
        <v>Kejelasan</v>
      </c>
      <c r="I6" s="8"/>
      <c r="K6" s="11" t="str">
        <f>VLOOKUP(Read_First!B5,Items!A1:BI50,57,FALSE)</f>
        <v>Ketepatan</v>
      </c>
      <c r="L6" s="10">
        <f>AVERAGE(DT!AF4:AF1004)</f>
        <v>0.35</v>
      </c>
      <c r="M6" s="6">
        <f>VAR(DT!AF4:AF1004)</f>
        <v>0.14374999999999999</v>
      </c>
    </row>
    <row r="7" spans="1:18">
      <c r="A7" s="2">
        <v>5</v>
      </c>
      <c r="B7" s="3">
        <f>AVERAGE(DT!E4:E1004)</f>
        <v>1.4</v>
      </c>
      <c r="C7" s="3">
        <f>VAR(DT!E4:E1004)</f>
        <v>1.2999999999999998</v>
      </c>
      <c r="D7" s="3">
        <f t="shared" si="0"/>
        <v>1.1401754250991378</v>
      </c>
      <c r="E7" s="4">
        <f>COUNTA(Data!E4:E1000)</f>
        <v>5</v>
      </c>
      <c r="F7" s="18" t="str">
        <f>VLOOKUP(Read_First!B5,Items!A1:BA50,10,FALSE)</f>
        <v>bermanfaat</v>
      </c>
      <c r="G7" s="18" t="str">
        <f>VLOOKUP(Read_First!B5,Items!A1:BA50,11,FALSE)</f>
        <v>kurang bermanfaat</v>
      </c>
      <c r="H7" s="24" t="str">
        <f>VLOOKUP(Read_First!B5,Items!A1:BI50,58,FALSE)</f>
        <v>Stimulasi</v>
      </c>
      <c r="I7" s="125"/>
      <c r="K7" s="11" t="str">
        <f>VLOOKUP(Read_First!B5,Items!A1:BI50,58,FALSE)</f>
        <v>Stimulasi</v>
      </c>
      <c r="L7" s="10">
        <f>AVERAGE(DT!AG4:AG1004)</f>
        <v>-0.05</v>
      </c>
      <c r="M7" s="6">
        <f>VAR(DT!AG4:AG1004)</f>
        <v>0.10625</v>
      </c>
    </row>
    <row r="8" spans="1:18">
      <c r="A8" s="2">
        <v>6</v>
      </c>
      <c r="B8" s="3">
        <f>AVERAGE(DT!F4:F1004)</f>
        <v>-1.6</v>
      </c>
      <c r="C8" s="3">
        <f>VAR(DT!F4:F1004)</f>
        <v>0.79999999999999982</v>
      </c>
      <c r="D8" s="3">
        <f t="shared" si="0"/>
        <v>0.89442719099991574</v>
      </c>
      <c r="E8" s="4">
        <f>COUNTA(Data!F4:F1000)</f>
        <v>5</v>
      </c>
      <c r="F8" s="18" t="str">
        <f>VLOOKUP(Read_First!B5,Items!A1:BA50,12,FALSE)</f>
        <v>membosankan</v>
      </c>
      <c r="G8" s="18" t="str">
        <f>VLOOKUP(Read_First!B5,Items!A1:BA50,13,FALSE)</f>
        <v>mengasyikkan</v>
      </c>
      <c r="H8" s="24" t="str">
        <f>VLOOKUP(Read_First!B5,Items!A1:BI50,58,FALSE)</f>
        <v>Stimulasi</v>
      </c>
      <c r="I8" s="125"/>
      <c r="K8" s="9" t="str">
        <f>VLOOKUP(Read_First!B5,Items!A1:BI50,59,FALSE)</f>
        <v>Kebaruan</v>
      </c>
      <c r="L8" s="10">
        <f>AVERAGE(DT!AH4:AH1004)</f>
        <v>0.75</v>
      </c>
      <c r="M8" s="6">
        <f>VAR(DT!AH4:AH1004)</f>
        <v>0.21875</v>
      </c>
    </row>
    <row r="9" spans="1:18">
      <c r="A9" s="2">
        <v>7</v>
      </c>
      <c r="B9" s="3">
        <f>AVERAGE(DT!G4:G1004)</f>
        <v>-2.6</v>
      </c>
      <c r="C9" s="3">
        <f>VAR(DT!G4:G1004)</f>
        <v>0.80000000000000071</v>
      </c>
      <c r="D9" s="3">
        <f t="shared" si="0"/>
        <v>0.8944271909999163</v>
      </c>
      <c r="E9" s="4">
        <f>COUNTA(Data!G4:G1000)</f>
        <v>5</v>
      </c>
      <c r="F9" s="18" t="str">
        <f>VLOOKUP(Read_First!B5,Items!A1:BA50,14,FALSE)</f>
        <v>tidak menarik</v>
      </c>
      <c r="G9" s="18" t="str">
        <f>VLOOKUP(Read_First!B5,Items!A1:BA50,15,FALSE)</f>
        <v>menarik</v>
      </c>
      <c r="H9" s="24" t="str">
        <f>VLOOKUP(Read_First!B5,Items!A1:BI50,58,FALSE)</f>
        <v>Stimulasi</v>
      </c>
      <c r="I9" s="125"/>
    </row>
    <row r="10" spans="1:18">
      <c r="A10" s="2">
        <v>8</v>
      </c>
      <c r="B10" s="3">
        <f>AVERAGE(DT!H4:H1004)</f>
        <v>1.2</v>
      </c>
      <c r="C10" s="3">
        <f>VAR(DT!H4:H1004)</f>
        <v>1.2</v>
      </c>
      <c r="D10" s="3">
        <f t="shared" si="0"/>
        <v>1.0954451150103321</v>
      </c>
      <c r="E10" s="4">
        <f>COUNTA(Data!H4:H1000)</f>
        <v>5</v>
      </c>
      <c r="F10" s="18" t="str">
        <f>VLOOKUP(Read_First!B5,Items!A1:BA50,16,FALSE)</f>
        <v>tak dapat diprediksi</v>
      </c>
      <c r="G10" s="18" t="str">
        <f>VLOOKUP(Read_First!B5,Items!A1:BA50,17,FALSE)</f>
        <v>dapat diprediksi</v>
      </c>
      <c r="H10" s="23" t="str">
        <f>VLOOKUP(Read_First!B5,Items!A1:BI50,57,FALSE)</f>
        <v>Ketepatan</v>
      </c>
      <c r="I10" s="127"/>
    </row>
    <row r="11" spans="1:18">
      <c r="A11" s="2">
        <v>9</v>
      </c>
      <c r="B11" s="3">
        <f>AVERAGE(DT!I4:I1004)</f>
        <v>1.8</v>
      </c>
      <c r="C11" s="3">
        <f>VAR(DT!I4:I1004)</f>
        <v>0.70000000000000018</v>
      </c>
      <c r="D11" s="3">
        <f t="shared" si="0"/>
        <v>0.83666002653407567</v>
      </c>
      <c r="E11" s="4">
        <f>COUNTA(Data!I4:I1000)</f>
        <v>5</v>
      </c>
      <c r="F11" s="18" t="str">
        <f>VLOOKUP(Read_First!B5,Items!A1:BA50,18,FALSE)</f>
        <v>cepat</v>
      </c>
      <c r="G11" s="18" t="str">
        <f>VLOOKUP(Read_First!B5,Items!A1:BA50,19,FALSE)</f>
        <v>lambat</v>
      </c>
      <c r="H11" s="23" t="str">
        <f>VLOOKUP(Read_First!B5,Items!A1:BI50,56,FALSE)</f>
        <v>Efisiensi</v>
      </c>
      <c r="I11" s="126"/>
    </row>
    <row r="12" spans="1:18">
      <c r="A12" s="2">
        <v>10</v>
      </c>
      <c r="B12" s="3">
        <f>AVERAGE(DT!J4:J1004)</f>
        <v>2</v>
      </c>
      <c r="C12" s="3">
        <f>VAR(DT!J4:J1004)</f>
        <v>0.5</v>
      </c>
      <c r="D12" s="3">
        <f t="shared" si="0"/>
        <v>0.70710678118654757</v>
      </c>
      <c r="E12" s="4">
        <f>COUNTA(Data!J4:J1000)</f>
        <v>5</v>
      </c>
      <c r="F12" s="18" t="str">
        <f>VLOOKUP(Read_First!B5,Items!A1:BA50,20,FALSE)</f>
        <v>berdaya cipta</v>
      </c>
      <c r="G12" s="18" t="str">
        <f>VLOOKUP(Read_First!B5,Items!A1:BA50,21,FALSE)</f>
        <v>konvensional</v>
      </c>
      <c r="H12" s="23" t="str">
        <f>VLOOKUP(Read_First!B5,Items!A1:BI50,59,FALSE)</f>
        <v>Kebaruan</v>
      </c>
      <c r="I12" s="124"/>
    </row>
    <row r="13" spans="1:18">
      <c r="A13" s="2">
        <v>11</v>
      </c>
      <c r="B13" s="3">
        <f>AVERAGE(DT!K4:K1004)</f>
        <v>-3</v>
      </c>
      <c r="C13" s="3">
        <f>VAR(DT!K4:K1004)</f>
        <v>0</v>
      </c>
      <c r="D13" s="3">
        <f t="shared" si="0"/>
        <v>0</v>
      </c>
      <c r="E13" s="4">
        <f>COUNTA(Data!K4:K1000)</f>
        <v>5</v>
      </c>
      <c r="F13" s="18" t="str">
        <f>VLOOKUP(Read_First!B5,Items!A1:BA50,22,FALSE)</f>
        <v>menghalangi</v>
      </c>
      <c r="G13" s="18" t="str">
        <f>VLOOKUP(Read_First!B5,Items!A1:BA50,23,FALSE)</f>
        <v>mendukung</v>
      </c>
      <c r="H13" s="23" t="str">
        <f>VLOOKUP(Read_First!B5,Items!A1:BI50,57,FALSE)</f>
        <v>Ketepatan</v>
      </c>
      <c r="I13" s="127"/>
    </row>
    <row r="14" spans="1:18">
      <c r="A14" s="2">
        <v>12</v>
      </c>
      <c r="B14" s="3">
        <f>AVERAGE(DT!L4:L1004)</f>
        <v>1.8</v>
      </c>
      <c r="C14" s="3">
        <f>VAR(DT!L4:L1004)</f>
        <v>1.2000000000000002</v>
      </c>
      <c r="D14" s="3">
        <f t="shared" si="0"/>
        <v>1.0954451150103324</v>
      </c>
      <c r="E14" s="4">
        <f>COUNTA(Data!L4:L1000)</f>
        <v>5</v>
      </c>
      <c r="F14" s="18" t="str">
        <f>VLOOKUP(Read_First!B5,Items!A1:BA50,24,FALSE)</f>
        <v>baik</v>
      </c>
      <c r="G14" s="18" t="str">
        <f>VLOOKUP(Read_First!B5,Items!A1:BA50,25,FALSE)</f>
        <v>buruk</v>
      </c>
      <c r="H14" s="23" t="str">
        <f>VLOOKUP(Read_First!B5,Items!A1:BI50,54,FALSE)</f>
        <v>Daya tarik</v>
      </c>
      <c r="I14" s="123"/>
    </row>
    <row r="15" spans="1:18">
      <c r="A15" s="2">
        <v>13</v>
      </c>
      <c r="B15" s="3">
        <f>AVERAGE(DT!M4:M1004)</f>
        <v>-1.6</v>
      </c>
      <c r="C15" s="3">
        <f>VAR(DT!M4:M1004)</f>
        <v>0.79999999999999982</v>
      </c>
      <c r="D15" s="3">
        <f t="shared" si="0"/>
        <v>0.89442719099991574</v>
      </c>
      <c r="E15" s="4">
        <f>COUNTA(Data!M4:M1000)</f>
        <v>5</v>
      </c>
      <c r="F15" s="18" t="str">
        <f>VLOOKUP(Read_First!B5,Items!A1:BA50,26,FALSE)</f>
        <v>rumit</v>
      </c>
      <c r="G15" s="18" t="str">
        <f>VLOOKUP(Read_First!B5,Items!A1:BA50,27,FALSE)</f>
        <v>sederhana</v>
      </c>
      <c r="H15" s="23" t="str">
        <f>VLOOKUP(Read_First!B5,Items!A1:BI50,55,FALSE)</f>
        <v>Kejelasan</v>
      </c>
      <c r="I15" s="8"/>
    </row>
    <row r="16" spans="1:18">
      <c r="A16" s="2">
        <v>14</v>
      </c>
      <c r="B16" s="3">
        <f>AVERAGE(DT!N4:N1004)</f>
        <v>-1.4</v>
      </c>
      <c r="C16" s="3">
        <f>VAR(DT!N4:N1004)</f>
        <v>1.2999999999999998</v>
      </c>
      <c r="D16" s="3">
        <f t="shared" si="0"/>
        <v>1.1401754250991378</v>
      </c>
      <c r="E16" s="4">
        <f>COUNTA(Data!N4:N1000)</f>
        <v>5</v>
      </c>
      <c r="F16" s="18" t="str">
        <f>VLOOKUP(Read_First!B5,Items!A1:BA50,28,FALSE)</f>
        <v>tidak disukai</v>
      </c>
      <c r="G16" s="18" t="str">
        <f>VLOOKUP(Read_First!B5,Items!A1:BA50,29,FALSE)</f>
        <v>menggembirakan</v>
      </c>
      <c r="H16" s="23" t="str">
        <f>VLOOKUP(Read_First!B5,Items!A1:BI50,54,FALSE)</f>
        <v>Daya tarik</v>
      </c>
      <c r="I16" s="123"/>
    </row>
    <row r="17" spans="1:9">
      <c r="A17" s="2">
        <v>15</v>
      </c>
      <c r="B17" s="3">
        <f>AVERAGE(DT!O4:O1004)</f>
        <v>1.2</v>
      </c>
      <c r="C17" s="3">
        <f>VAR(DT!O4:O1004)</f>
        <v>1.7</v>
      </c>
      <c r="D17" s="3">
        <f t="shared" si="0"/>
        <v>1.3038404810405297</v>
      </c>
      <c r="E17" s="4">
        <f>COUNTA(Data!O4:O1000)</f>
        <v>5</v>
      </c>
      <c r="F17" s="18" t="str">
        <f>VLOOKUP(Read_First!B5,Items!A1:BA50,30,FALSE)</f>
        <v>lazim</v>
      </c>
      <c r="G17" s="18" t="str">
        <f>VLOOKUP(Read_First!B5,Items!A1:BA50,31,FALSE)</f>
        <v>terdepan</v>
      </c>
      <c r="H17" s="23" t="str">
        <f>VLOOKUP(Read_First!B5,Items!A1:BI50,59,FALSE)</f>
        <v>Kebaruan</v>
      </c>
      <c r="I17" s="124"/>
    </row>
    <row r="18" spans="1:9">
      <c r="A18" s="2">
        <v>16</v>
      </c>
      <c r="B18" s="3">
        <f>AVERAGE(DT!P4:P1004)</f>
        <v>-1.6</v>
      </c>
      <c r="C18" s="3">
        <f>VAR(DT!P4:P1004)</f>
        <v>0.79999999999999982</v>
      </c>
      <c r="D18" s="3">
        <f t="shared" si="0"/>
        <v>0.89442719099991574</v>
      </c>
      <c r="E18" s="4">
        <f>COUNTA(Data!P4:P1000)</f>
        <v>5</v>
      </c>
      <c r="F18" s="18" t="str">
        <f>VLOOKUP(Read_First!B5,Items!A1:BA50,32,FALSE)</f>
        <v>tidak nyaman</v>
      </c>
      <c r="G18" s="18" t="str">
        <f>VLOOKUP(Read_First!B5,Items!A1:BA50,33,FALSE)</f>
        <v>nyaman</v>
      </c>
      <c r="H18" s="23" t="str">
        <f>VLOOKUP(Read_First!B5,Items!A1:BI50,54,FALSE)</f>
        <v>Daya tarik</v>
      </c>
      <c r="I18" s="123"/>
    </row>
    <row r="19" spans="1:9">
      <c r="A19" s="2">
        <v>17</v>
      </c>
      <c r="B19" s="3">
        <f>AVERAGE(DT!Q4:Q1004)</f>
        <v>1</v>
      </c>
      <c r="C19" s="3">
        <f>VAR(DT!Q4:Q1004)</f>
        <v>0.5</v>
      </c>
      <c r="D19" s="3">
        <f t="shared" si="0"/>
        <v>0.70710678118654757</v>
      </c>
      <c r="E19" s="4">
        <f>COUNTA(Data!Q4:Q1000)</f>
        <v>5</v>
      </c>
      <c r="F19" s="18" t="str">
        <f>VLOOKUP(Read_First!B5,Items!A1:BA50,34,FALSE)</f>
        <v>aman</v>
      </c>
      <c r="G19" s="18" t="str">
        <f>VLOOKUP(Read_First!B5,Items!A1:BA50,35,FALSE)</f>
        <v>tidak aman</v>
      </c>
      <c r="H19" s="23" t="str">
        <f>VLOOKUP(Read_First!B5,Items!A1:BI50,57,FALSE)</f>
        <v>Ketepatan</v>
      </c>
      <c r="I19" s="127"/>
    </row>
    <row r="20" spans="1:9">
      <c r="A20" s="2">
        <v>18</v>
      </c>
      <c r="B20" s="3">
        <f>AVERAGE(DT!R4:R1004)</f>
        <v>2.6</v>
      </c>
      <c r="C20" s="3">
        <f>VAR(DT!R4:R1004)</f>
        <v>0.30000000000000071</v>
      </c>
      <c r="D20" s="3">
        <f t="shared" si="0"/>
        <v>0.54772255750516674</v>
      </c>
      <c r="E20" s="4">
        <f>COUNTA(Data!R4:R1000)</f>
        <v>5</v>
      </c>
      <c r="F20" s="18" t="str">
        <f>VLOOKUP(Read_First!B5,Items!A1:BA50,36,FALSE)</f>
        <v>memotivasi</v>
      </c>
      <c r="G20" s="18" t="str">
        <f>VLOOKUP(Read_First!B5,Items!A1:BA50,37,FALSE)</f>
        <v>tidak memotivasi</v>
      </c>
      <c r="H20" s="24" t="str">
        <f>VLOOKUP(Read_First!B5,Items!A1:BI50,58,FALSE)</f>
        <v>Stimulasi</v>
      </c>
      <c r="I20" s="125"/>
    </row>
    <row r="21" spans="1:9">
      <c r="A21" s="2">
        <v>19</v>
      </c>
      <c r="B21" s="3">
        <f>AVERAGE(DT!S4:S1004)</f>
        <v>2.2000000000000002</v>
      </c>
      <c r="C21" s="3">
        <f>VAR(DT!S4:S1004)</f>
        <v>1.2000000000000002</v>
      </c>
      <c r="D21" s="3">
        <f t="shared" si="0"/>
        <v>1.0954451150103324</v>
      </c>
      <c r="E21" s="4">
        <f>COUNTA(Data!S4:S1000)</f>
        <v>5</v>
      </c>
      <c r="F21" s="18" t="str">
        <f>VLOOKUP(Read_First!B5,Items!A1:BA50,38,FALSE)</f>
        <v>memenuhi ekspektasi</v>
      </c>
      <c r="G21" s="18" t="str">
        <f>VLOOKUP(Read_First!B5,Items!A1:BA50,39,FALSE)</f>
        <v>tidak memenuhi ekspektasi</v>
      </c>
      <c r="H21" s="23" t="str">
        <f>VLOOKUP(Read_First!B5,Items!A1:BI50,57,FALSE)</f>
        <v>Ketepatan</v>
      </c>
      <c r="I21" s="127"/>
    </row>
    <row r="22" spans="1:9">
      <c r="A22" s="2">
        <v>20</v>
      </c>
      <c r="B22" s="3">
        <f>AVERAGE(DT!T4:T1004)</f>
        <v>-2</v>
      </c>
      <c r="C22" s="3">
        <f>VAR(DT!T4:T1004)</f>
        <v>0.5</v>
      </c>
      <c r="D22" s="3">
        <f t="shared" si="0"/>
        <v>0.70710678118654757</v>
      </c>
      <c r="E22" s="4">
        <f>COUNTA(Data!T4:T1000)</f>
        <v>5</v>
      </c>
      <c r="F22" s="18" t="str">
        <f>VLOOKUP(Read_First!B5,Items!A1:BA50,40,FALSE)</f>
        <v>tidak efisien</v>
      </c>
      <c r="G22" s="18" t="str">
        <f>VLOOKUP(Read_First!B5,Items!A1:BA50,41,FALSE)</f>
        <v>efisien</v>
      </c>
      <c r="H22" s="23" t="str">
        <f>VLOOKUP(Read_First!B5,Items!A1:BI50,56,FALSE)</f>
        <v>Efisiensi</v>
      </c>
      <c r="I22" s="126"/>
    </row>
    <row r="23" spans="1:9">
      <c r="A23" s="2">
        <v>21</v>
      </c>
      <c r="B23" s="3">
        <f>AVERAGE(DT!U4:U1004)</f>
        <v>1.6</v>
      </c>
      <c r="C23" s="3">
        <f>VAR(DT!U4:U1004)</f>
        <v>0.79999999999999982</v>
      </c>
      <c r="D23" s="3">
        <f t="shared" si="0"/>
        <v>0.89442719099991574</v>
      </c>
      <c r="E23" s="4">
        <f>COUNTA(Data!U4:U1000)</f>
        <v>5</v>
      </c>
      <c r="F23" s="18" t="str">
        <f>VLOOKUP(Read_First!B5,Items!A1:BA50,42,FALSE)</f>
        <v>jelas</v>
      </c>
      <c r="G23" s="18" t="str">
        <f>VLOOKUP(Read_First!B5,Items!A1:BA50,43,FALSE)</f>
        <v>membingungkan</v>
      </c>
      <c r="H23" s="23" t="str">
        <f>VLOOKUP(Read_First!B5,Items!A1:BI50,55,FALSE)</f>
        <v>Kejelasan</v>
      </c>
      <c r="I23" s="8"/>
    </row>
    <row r="24" spans="1:9">
      <c r="A24" s="2">
        <v>22</v>
      </c>
      <c r="B24" s="3">
        <f>AVERAGE(DT!V4:V1004)</f>
        <v>-1.8</v>
      </c>
      <c r="C24" s="3">
        <f>VAR(DT!V4:V1004)</f>
        <v>0.70000000000000018</v>
      </c>
      <c r="D24" s="3">
        <f t="shared" si="0"/>
        <v>0.83666002653407567</v>
      </c>
      <c r="E24" s="4">
        <f>COUNTA(Data!V4:V1000)</f>
        <v>5</v>
      </c>
      <c r="F24" s="18" t="str">
        <f>VLOOKUP(Read_First!B5,Items!A1:BA50,44,FALSE)</f>
        <v>tidak praktis</v>
      </c>
      <c r="G24" s="18" t="str">
        <f>VLOOKUP(Read_First!B5,Items!A1:BA50,45,FALSE)</f>
        <v>praktis</v>
      </c>
      <c r="H24" s="23" t="str">
        <f>VLOOKUP(Read_First!B5,Items!A1:BI50,56,FALSE)</f>
        <v>Efisiensi</v>
      </c>
      <c r="I24" s="126"/>
    </row>
    <row r="25" spans="1:9">
      <c r="A25" s="2">
        <v>23</v>
      </c>
      <c r="B25" s="3">
        <f>AVERAGE(DT!W4:W1004)</f>
        <v>2</v>
      </c>
      <c r="C25" s="3">
        <f>VAR(DT!W4:W1004)</f>
        <v>0.5</v>
      </c>
      <c r="D25" s="3">
        <f t="shared" si="0"/>
        <v>0.70710678118654757</v>
      </c>
      <c r="E25" s="4">
        <f>COUNTA(Data!W4:W1000)</f>
        <v>5</v>
      </c>
      <c r="F25" s="18" t="str">
        <f>VLOOKUP(Read_First!B5,Items!A1:BA50,46,FALSE)</f>
        <v>terorganisasi</v>
      </c>
      <c r="G25" s="18" t="str">
        <f>VLOOKUP(Read_First!B5,Items!A1:BA50,47,FALSE)</f>
        <v>berantakan</v>
      </c>
      <c r="H25" s="23" t="str">
        <f>VLOOKUP(Read_First!B5,Items!A1:BI50,56,FALSE)</f>
        <v>Efisiensi</v>
      </c>
      <c r="I25" s="126"/>
    </row>
    <row r="26" spans="1:9">
      <c r="A26" s="2">
        <v>24</v>
      </c>
      <c r="B26" s="3">
        <f>AVERAGE(DT!X4:X1004)</f>
        <v>1.4</v>
      </c>
      <c r="C26" s="3">
        <f>VAR(DT!X4:X1004)</f>
        <v>1.7999999999999998</v>
      </c>
      <c r="D26" s="3">
        <f t="shared" si="0"/>
        <v>1.3416407864998738</v>
      </c>
      <c r="E26" s="4">
        <f>COUNTA(Data!X4:X1000)</f>
        <v>5</v>
      </c>
      <c r="F26" s="18" t="str">
        <f>VLOOKUP(Read_First!B5,Items!A1:BA50,48,FALSE)</f>
        <v>atraktif</v>
      </c>
      <c r="G26" s="18" t="str">
        <f>VLOOKUP(Read_First!B5,Items!A1:BA50,49,FALSE)</f>
        <v>tidak atraktif</v>
      </c>
      <c r="H26" s="23" t="str">
        <f>VLOOKUP(Read_First!B5,Items!A1:BI50,54,FALSE)</f>
        <v>Daya tarik</v>
      </c>
      <c r="I26" s="123"/>
    </row>
    <row r="27" spans="1:9">
      <c r="A27" s="2">
        <v>25</v>
      </c>
      <c r="B27" s="3">
        <f>AVERAGE(DT!Y4:Y1004)</f>
        <v>2</v>
      </c>
      <c r="C27" s="3">
        <f>VAR(DT!Y4:Y1004)</f>
        <v>1</v>
      </c>
      <c r="D27" s="3">
        <f t="shared" si="0"/>
        <v>1</v>
      </c>
      <c r="E27" s="4">
        <f>COUNTA(Data!Y4:Y1000)</f>
        <v>5</v>
      </c>
      <c r="F27" s="18" t="str">
        <f>VLOOKUP(Read_First!B5,Items!A1:BA50,50,FALSE)</f>
        <v>ramah pengguna</v>
      </c>
      <c r="G27" s="18" t="str">
        <f>VLOOKUP(Read_First!B5,Items!A1:BA50,51,FALSE)</f>
        <v>tidak ramah pengguna</v>
      </c>
      <c r="H27" s="23" t="str">
        <f>VLOOKUP(Read_First!B5,Items!A1:BI50,54,FALSE)</f>
        <v>Daya tarik</v>
      </c>
      <c r="I27" s="123"/>
    </row>
    <row r="28" spans="1:9">
      <c r="A28" s="2">
        <v>26</v>
      </c>
      <c r="B28" s="3">
        <f>AVERAGE(DT!Z4:Z1004)</f>
        <v>-2.6</v>
      </c>
      <c r="C28" s="3">
        <f>VAR(DT!Z4:Z1004)</f>
        <v>0.30000000000000071</v>
      </c>
      <c r="D28" s="3">
        <f t="shared" si="0"/>
        <v>0.54772255750516674</v>
      </c>
      <c r="E28" s="4">
        <f>COUNTA(Data!Z4:Z1000)</f>
        <v>5</v>
      </c>
      <c r="F28" s="18" t="str">
        <f>VLOOKUP(Read_First!B5,Items!A1:BA50,52,FALSE)</f>
        <v>konservatif</v>
      </c>
      <c r="G28" s="18" t="str">
        <f>VLOOKUP(Read_First!B5,Items!A1:BA50,53,FALSE)</f>
        <v>inovatif</v>
      </c>
      <c r="H28" s="23" t="str">
        <f>VLOOKUP(Read_First!B5,Items!A1:BI50,59,FALSE)</f>
        <v>Kebaruan</v>
      </c>
      <c r="I28" s="124"/>
    </row>
    <row r="39" spans="11:15">
      <c r="K39" s="152" t="s">
        <v>20</v>
      </c>
      <c r="L39" s="152"/>
    </row>
    <row r="40" spans="11:15">
      <c r="K40" s="35" t="str">
        <f>VLOOKUP(Read_First!B5,Items!A1:BI50,54,FALSE)</f>
        <v>Daya tarik</v>
      </c>
      <c r="L40" s="36">
        <f>AVERAGE(DT!AC4:AC1004)</f>
        <v>0.59999999999999987</v>
      </c>
    </row>
    <row r="41" spans="11:15">
      <c r="K41" s="1" t="str">
        <f>VLOOKUP(Read_First!B5,Items!A1:BI50,60,FALSE)</f>
        <v>Kualitas Pragmatis</v>
      </c>
      <c r="L41" s="37">
        <f>(L4+L5+L6)/3</f>
        <v>0.43333333333333329</v>
      </c>
    </row>
    <row r="42" spans="11:15">
      <c r="K42" s="1" t="str">
        <f>VLOOKUP(Read_First!B5,Items!A1:BI50,61,FALSE)</f>
        <v>Kualitas Hedonis</v>
      </c>
      <c r="L42" s="37">
        <f>(L7+L8)/2</f>
        <v>0.35</v>
      </c>
    </row>
    <row r="44" spans="11:15" ht="102.75" customHeight="1">
      <c r="K44" s="141" t="s">
        <v>21</v>
      </c>
      <c r="L44" s="141"/>
      <c r="M44" s="141"/>
      <c r="N44" s="141"/>
      <c r="O44" s="141"/>
    </row>
  </sheetData>
  <sheetProtection algorithmName="SHA-512" hashValue="8ZADKIDGHkPKgcAEOFMbYqS0hU6KIPMTKb1xBzlpLcTN0kWDDuhDVfbeezJtMBBuTELW9v8mGL9kexyHSnRAkQ==" saltValue="TejRjZli6Jmgd90rftL36g==" spinCount="100000" sheet="1" objects="1" scenarios="1"/>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796875" defaultRowHeight="14.5"/>
  <cols>
    <col min="5" max="5" width="12.7265625" customWidth="1"/>
    <col min="9" max="9" width="18.7265625" customWidth="1"/>
    <col min="13" max="13" width="11.81640625" customWidth="1"/>
    <col min="15" max="15" width="9.54296875" customWidth="1"/>
  </cols>
  <sheetData>
    <row r="1" spans="1:15" ht="100.9" customHeight="1">
      <c r="A1" s="158" t="s">
        <v>22</v>
      </c>
      <c r="B1" s="159"/>
      <c r="C1" s="159"/>
      <c r="D1" s="159"/>
      <c r="E1" s="159"/>
      <c r="F1" s="159"/>
      <c r="G1" s="159"/>
      <c r="H1" s="159"/>
      <c r="I1" s="159"/>
      <c r="J1" s="159"/>
      <c r="K1" s="159"/>
      <c r="L1" s="159"/>
      <c r="M1" s="159"/>
      <c r="N1" s="159"/>
      <c r="O1" s="159"/>
    </row>
    <row r="3" spans="1:15">
      <c r="A3" s="155" t="s">
        <v>23</v>
      </c>
      <c r="B3" s="155"/>
      <c r="C3" s="155"/>
      <c r="D3" s="155"/>
      <c r="E3" s="155"/>
      <c r="F3" s="155"/>
      <c r="G3" s="155"/>
      <c r="I3" s="155" t="s">
        <v>24</v>
      </c>
      <c r="J3" s="155"/>
      <c r="K3" s="155"/>
      <c r="L3" s="155"/>
      <c r="M3" s="155"/>
      <c r="N3" s="155"/>
      <c r="O3" s="155"/>
    </row>
    <row r="4" spans="1:15">
      <c r="A4" s="102" t="s">
        <v>11</v>
      </c>
      <c r="B4" s="103" t="s">
        <v>12</v>
      </c>
      <c r="C4" s="103" t="s">
        <v>14</v>
      </c>
      <c r="D4" s="104" t="s">
        <v>25</v>
      </c>
      <c r="E4" s="103" t="s">
        <v>26</v>
      </c>
      <c r="F4" s="156" t="s">
        <v>27</v>
      </c>
      <c r="G4" s="157"/>
      <c r="I4" s="105" t="s">
        <v>18</v>
      </c>
      <c r="J4" s="104" t="s">
        <v>12</v>
      </c>
      <c r="K4" s="104" t="s">
        <v>14</v>
      </c>
      <c r="L4" s="104" t="s">
        <v>25</v>
      </c>
      <c r="M4" s="106" t="s">
        <v>26</v>
      </c>
      <c r="N4" s="156" t="s">
        <v>27</v>
      </c>
      <c r="O4" s="157"/>
    </row>
    <row r="5" spans="1:15">
      <c r="A5" s="72">
        <v>1</v>
      </c>
      <c r="B5" s="71">
        <f>Results!B3</f>
        <v>1.4</v>
      </c>
      <c r="C5" s="71">
        <f>Results!D3</f>
        <v>1.1401754250991378</v>
      </c>
      <c r="D5" s="60">
        <f>Results!E3</f>
        <v>5</v>
      </c>
      <c r="E5" s="71">
        <f t="shared" ref="E5:E24" si="0">CONFIDENCE(0.05, C5, D5)</f>
        <v>0.99938946031087994</v>
      </c>
      <c r="F5" s="71">
        <f t="shared" ref="F5:F24" si="1">B5-E5</f>
        <v>0.40061053968911997</v>
      </c>
      <c r="G5" s="71">
        <f t="shared" ref="G5:G24" si="2">B5+E5</f>
        <v>2.3993894603108799</v>
      </c>
      <c r="I5" s="73" t="str">
        <f>VLOOKUP(Read_First!B5,Items!A1:BI50,54,FALSE)</f>
        <v>Daya tarik</v>
      </c>
      <c r="J5" s="71">
        <f>AVERAGE(DT!AC4:AC1004)</f>
        <v>0.59999999999999987</v>
      </c>
      <c r="K5" s="71">
        <f>STDEV(DT!AC4:AC1004)</f>
        <v>0.48016200969626466</v>
      </c>
      <c r="L5" s="60">
        <f>MAX(D5:D24)</f>
        <v>5</v>
      </c>
      <c r="M5" s="71">
        <f>CONFIDENCE(0.05, K5, L5)</f>
        <v>0.42087282462732695</v>
      </c>
      <c r="N5" s="71">
        <f t="shared" ref="N5:N10" si="3">J5-M5</f>
        <v>0.17912717537267292</v>
      </c>
      <c r="O5" s="71">
        <f t="shared" ref="O5:O10" si="4">J5+M5</f>
        <v>1.0208728246273269</v>
      </c>
    </row>
    <row r="6" spans="1:15">
      <c r="A6" s="12">
        <v>2</v>
      </c>
      <c r="B6" s="10">
        <f>Results!B4</f>
        <v>2</v>
      </c>
      <c r="C6" s="10">
        <f>Results!D4</f>
        <v>1</v>
      </c>
      <c r="D6" s="4">
        <f>Results!E4</f>
        <v>5</v>
      </c>
      <c r="E6" s="10">
        <f t="shared" si="0"/>
        <v>0.8765225405765813</v>
      </c>
      <c r="F6" s="10">
        <f t="shared" si="1"/>
        <v>1.1234774594234187</v>
      </c>
      <c r="G6" s="10">
        <f t="shared" si="2"/>
        <v>2.8765225405765813</v>
      </c>
      <c r="I6" s="9" t="str">
        <f>VLOOKUP(Read_First!B5,Items!A1:BI50,55,FALSE)</f>
        <v>Kejelasan</v>
      </c>
      <c r="J6" s="10">
        <f>AVERAGE(DT!AD4:AD1004)</f>
        <v>0.95</v>
      </c>
      <c r="K6" s="10">
        <f>STDEV(DT!AD4:AD1004)</f>
        <v>0.54198708471696999</v>
      </c>
      <c r="L6" s="4">
        <f>L5</f>
        <v>5</v>
      </c>
      <c r="M6" s="10">
        <f t="shared" ref="M6:M10" si="5">CONFIDENCE(0.05, K6, L6)</f>
        <v>0.47506389645581332</v>
      </c>
      <c r="N6" s="10">
        <f t="shared" si="3"/>
        <v>0.47493610354418664</v>
      </c>
      <c r="O6" s="10">
        <f t="shared" si="4"/>
        <v>1.4250638964558133</v>
      </c>
    </row>
    <row r="7" spans="1:15">
      <c r="A7" s="12">
        <v>3</v>
      </c>
      <c r="B7" s="10">
        <f>Results!B5</f>
        <v>2.4</v>
      </c>
      <c r="C7" s="10">
        <f>Results!D5</f>
        <v>0.89442719099991574</v>
      </c>
      <c r="D7" s="4">
        <f>Results!E5</f>
        <v>5</v>
      </c>
      <c r="E7" s="10">
        <f t="shared" si="0"/>
        <v>0.78398559381602129</v>
      </c>
      <c r="F7" s="10">
        <f t="shared" si="1"/>
        <v>1.6160144061839787</v>
      </c>
      <c r="G7" s="10">
        <f t="shared" si="2"/>
        <v>3.1839855938160211</v>
      </c>
      <c r="I7" s="9" t="str">
        <f>VLOOKUP(Read_First!B5,Items!A1:BI50,56,FALSE)</f>
        <v>Efisiensi</v>
      </c>
      <c r="J7" s="10">
        <f>AVERAGE(DT!AE4:AE1004)</f>
        <v>0</v>
      </c>
      <c r="K7" s="10">
        <f>STDEV(DT!AE4:AE1004)</f>
        <v>0.39528470752104744</v>
      </c>
      <c r="L7" s="4">
        <f>L6</f>
        <v>5</v>
      </c>
      <c r="M7" s="10">
        <f t="shared" si="5"/>
        <v>0.34647595608741938</v>
      </c>
      <c r="N7" s="10">
        <f t="shared" si="3"/>
        <v>-0.34647595608741938</v>
      </c>
      <c r="O7" s="10">
        <f t="shared" si="4"/>
        <v>0.34647595608741938</v>
      </c>
    </row>
    <row r="8" spans="1:15">
      <c r="A8" s="12">
        <v>4</v>
      </c>
      <c r="B8" s="10">
        <f>Results!B6</f>
        <v>1.8</v>
      </c>
      <c r="C8" s="10">
        <f>Results!D6</f>
        <v>0.83666002653407567</v>
      </c>
      <c r="D8" s="4">
        <f>Results!E6</f>
        <v>5</v>
      </c>
      <c r="E8" s="10">
        <f t="shared" si="0"/>
        <v>0.7333513720565179</v>
      </c>
      <c r="F8" s="10">
        <f t="shared" si="1"/>
        <v>1.0666486279434821</v>
      </c>
      <c r="G8" s="10">
        <f t="shared" si="2"/>
        <v>2.5333513720565177</v>
      </c>
      <c r="I8" s="11" t="str">
        <f>VLOOKUP(Read_First!B5,Items!A1:BI50,57,FALSE)</f>
        <v>Ketepatan</v>
      </c>
      <c r="J8" s="10">
        <f>AVERAGE(DT!AF4:AF1004)</f>
        <v>0.35</v>
      </c>
      <c r="K8" s="10">
        <f>STDEV(DT!AF4:AF1004)</f>
        <v>0.3791437722025775</v>
      </c>
      <c r="L8" s="4">
        <f>L7</f>
        <v>5</v>
      </c>
      <c r="M8" s="10">
        <f t="shared" si="5"/>
        <v>0.33232806245479179</v>
      </c>
      <c r="N8" s="10">
        <f t="shared" si="3"/>
        <v>1.7671937545208183E-2</v>
      </c>
      <c r="O8" s="10">
        <f t="shared" si="4"/>
        <v>0.68232806245479183</v>
      </c>
    </row>
    <row r="9" spans="1:15">
      <c r="A9" s="12">
        <v>5</v>
      </c>
      <c r="B9" s="10">
        <f>Results!B7</f>
        <v>1.4</v>
      </c>
      <c r="C9" s="10">
        <f>Results!D7</f>
        <v>1.1401754250991378</v>
      </c>
      <c r="D9" s="4">
        <f>Results!E7</f>
        <v>5</v>
      </c>
      <c r="E9" s="10">
        <f t="shared" si="0"/>
        <v>0.99938946031087994</v>
      </c>
      <c r="F9" s="10">
        <f t="shared" si="1"/>
        <v>0.40061053968911997</v>
      </c>
      <c r="G9" s="10">
        <f t="shared" si="2"/>
        <v>2.3993894603108799</v>
      </c>
      <c r="I9" s="11" t="str">
        <f>VLOOKUP(Read_First!B5,Items!A1:BI50,58,FALSE)</f>
        <v>Stimulasi</v>
      </c>
      <c r="J9" s="10">
        <f>AVERAGE(DT!AG4:AG1004)</f>
        <v>-0.05</v>
      </c>
      <c r="K9" s="10">
        <f>STDEV(DT!AG4:AG1004)</f>
        <v>0.32596012026013244</v>
      </c>
      <c r="L9" s="4">
        <f>L8</f>
        <v>5</v>
      </c>
      <c r="M9" s="10">
        <f t="shared" si="5"/>
        <v>0.28571139273705926</v>
      </c>
      <c r="N9" s="10">
        <f t="shared" si="3"/>
        <v>-0.33571139273705924</v>
      </c>
      <c r="O9" s="10">
        <f t="shared" si="4"/>
        <v>0.23571139273705927</v>
      </c>
    </row>
    <row r="10" spans="1:15">
      <c r="A10" s="12">
        <v>6</v>
      </c>
      <c r="B10" s="10">
        <f>Results!B8</f>
        <v>-1.6</v>
      </c>
      <c r="C10" s="10">
        <f>Results!D8</f>
        <v>0.89442719099991574</v>
      </c>
      <c r="D10" s="4">
        <f>Results!E8</f>
        <v>5</v>
      </c>
      <c r="E10" s="10">
        <f t="shared" si="0"/>
        <v>0.78398559381602129</v>
      </c>
      <c r="F10" s="10">
        <f t="shared" si="1"/>
        <v>-2.3839855938160213</v>
      </c>
      <c r="G10" s="10">
        <f t="shared" si="2"/>
        <v>-0.8160144061839788</v>
      </c>
      <c r="I10" s="9" t="str">
        <f>VLOOKUP(Read_First!B5,Items!A1:BI50,59,FALSE)</f>
        <v>Kebaruan</v>
      </c>
      <c r="J10" s="10">
        <f>AVERAGE(DT!AH4:AH1004)</f>
        <v>0.75</v>
      </c>
      <c r="K10" s="10">
        <f>STDEV(DT!AH4:AH1004)</f>
        <v>0.46770717334674267</v>
      </c>
      <c r="L10" s="4">
        <f>L9</f>
        <v>5</v>
      </c>
      <c r="M10" s="10">
        <f t="shared" si="5"/>
        <v>0.40995587982777837</v>
      </c>
      <c r="N10" s="10">
        <f t="shared" si="3"/>
        <v>0.34004412017222163</v>
      </c>
      <c r="O10" s="10">
        <f t="shared" si="4"/>
        <v>1.1599558798277783</v>
      </c>
    </row>
    <row r="11" spans="1:15">
      <c r="A11" s="12">
        <v>7</v>
      </c>
      <c r="B11" s="10">
        <f>Results!B9</f>
        <v>-2.6</v>
      </c>
      <c r="C11" s="10">
        <f>Results!D9</f>
        <v>0.8944271909999163</v>
      </c>
      <c r="D11" s="4">
        <f>Results!E9</f>
        <v>5</v>
      </c>
      <c r="E11" s="10">
        <f t="shared" si="0"/>
        <v>0.78398559381602184</v>
      </c>
      <c r="F11" s="10">
        <f t="shared" si="1"/>
        <v>-3.3839855938160222</v>
      </c>
      <c r="G11" s="10">
        <f t="shared" si="2"/>
        <v>-1.8160144061839782</v>
      </c>
    </row>
    <row r="12" spans="1:15">
      <c r="A12" s="12">
        <v>8</v>
      </c>
      <c r="B12" s="10">
        <f>Results!B10</f>
        <v>1.2</v>
      </c>
      <c r="C12" s="10">
        <f>Results!D10</f>
        <v>1.0954451150103321</v>
      </c>
      <c r="D12" s="4">
        <f>Results!E10</f>
        <v>5</v>
      </c>
      <c r="E12" s="10">
        <f t="shared" si="0"/>
        <v>0.96018233527106156</v>
      </c>
      <c r="F12" s="10">
        <f t="shared" si="1"/>
        <v>0.2398176647289384</v>
      </c>
      <c r="G12" s="10">
        <f t="shared" si="2"/>
        <v>2.1601823352710614</v>
      </c>
    </row>
    <row r="13" spans="1:15">
      <c r="A13" s="12">
        <v>9</v>
      </c>
      <c r="B13" s="10">
        <f>Results!B11</f>
        <v>1.8</v>
      </c>
      <c r="C13" s="10">
        <f>Results!D11</f>
        <v>0.83666002653407567</v>
      </c>
      <c r="D13" s="4">
        <f>Results!E11</f>
        <v>5</v>
      </c>
      <c r="E13" s="10">
        <f t="shared" si="0"/>
        <v>0.7333513720565179</v>
      </c>
      <c r="F13" s="10">
        <f t="shared" si="1"/>
        <v>1.0666486279434821</v>
      </c>
      <c r="G13" s="10">
        <f t="shared" si="2"/>
        <v>2.5333513720565177</v>
      </c>
    </row>
    <row r="14" spans="1:15">
      <c r="A14" s="12">
        <v>10</v>
      </c>
      <c r="B14" s="10">
        <f>Results!B12</f>
        <v>2</v>
      </c>
      <c r="C14" s="10">
        <f>Results!D12</f>
        <v>0.70710678118654757</v>
      </c>
      <c r="D14" s="4">
        <f>Results!E12</f>
        <v>5</v>
      </c>
      <c r="E14" s="10">
        <f t="shared" si="0"/>
        <v>0.61979503230456146</v>
      </c>
      <c r="F14" s="10">
        <f t="shared" si="1"/>
        <v>1.3802049676954384</v>
      </c>
      <c r="G14" s="10">
        <f t="shared" si="2"/>
        <v>2.6197950323045616</v>
      </c>
    </row>
    <row r="15" spans="1:15">
      <c r="A15" s="12">
        <v>11</v>
      </c>
      <c r="B15" s="10">
        <f>Results!B13</f>
        <v>-3</v>
      </c>
      <c r="C15" s="10">
        <f>Results!D13</f>
        <v>0</v>
      </c>
      <c r="D15" s="4">
        <f>Results!E13</f>
        <v>5</v>
      </c>
      <c r="E15" s="10" t="e">
        <f t="shared" si="0"/>
        <v>#NUM!</v>
      </c>
      <c r="F15" s="10" t="e">
        <f t="shared" si="1"/>
        <v>#NUM!</v>
      </c>
      <c r="G15" s="10" t="e">
        <f t="shared" si="2"/>
        <v>#NUM!</v>
      </c>
      <c r="J15" s="70"/>
    </row>
    <row r="16" spans="1:15">
      <c r="A16" s="12">
        <v>12</v>
      </c>
      <c r="B16" s="10">
        <f>Results!B14</f>
        <v>1.8</v>
      </c>
      <c r="C16" s="10">
        <f>Results!D14</f>
        <v>1.0954451150103324</v>
      </c>
      <c r="D16" s="4">
        <f>Results!E14</f>
        <v>5</v>
      </c>
      <c r="E16" s="10">
        <f t="shared" si="0"/>
        <v>0.96018233527106178</v>
      </c>
      <c r="F16" s="10">
        <f t="shared" si="1"/>
        <v>0.83981766472893826</v>
      </c>
      <c r="G16" s="10">
        <f t="shared" si="2"/>
        <v>2.7601823352710619</v>
      </c>
    </row>
    <row r="17" spans="1:7">
      <c r="A17" s="12">
        <v>13</v>
      </c>
      <c r="B17" s="10">
        <f>Results!B15</f>
        <v>-1.6</v>
      </c>
      <c r="C17" s="10">
        <f>Results!D15</f>
        <v>0.89442719099991574</v>
      </c>
      <c r="D17" s="4">
        <f>Results!E15</f>
        <v>5</v>
      </c>
      <c r="E17" s="10">
        <f t="shared" si="0"/>
        <v>0.78398559381602129</v>
      </c>
      <c r="F17" s="10">
        <f t="shared" si="1"/>
        <v>-2.3839855938160213</v>
      </c>
      <c r="G17" s="10">
        <f t="shared" si="2"/>
        <v>-0.8160144061839788</v>
      </c>
    </row>
    <row r="18" spans="1:7">
      <c r="A18" s="12">
        <v>14</v>
      </c>
      <c r="B18" s="10">
        <f>Results!B16</f>
        <v>-1.4</v>
      </c>
      <c r="C18" s="10">
        <f>Results!D16</f>
        <v>1.1401754250991378</v>
      </c>
      <c r="D18" s="4">
        <f>Results!E16</f>
        <v>5</v>
      </c>
      <c r="E18" s="10">
        <f t="shared" si="0"/>
        <v>0.99938946031087994</v>
      </c>
      <c r="F18" s="10">
        <f t="shared" si="1"/>
        <v>-2.3993894603108799</v>
      </c>
      <c r="G18" s="10">
        <f t="shared" si="2"/>
        <v>-0.40061053968911997</v>
      </c>
    </row>
    <row r="19" spans="1:7">
      <c r="A19" s="12">
        <v>15</v>
      </c>
      <c r="B19" s="10">
        <f>Results!B17</f>
        <v>1.2</v>
      </c>
      <c r="C19" s="10">
        <f>Results!D17</f>
        <v>1.3038404810405297</v>
      </c>
      <c r="D19" s="4">
        <f>Results!E17</f>
        <v>5</v>
      </c>
      <c r="E19" s="10">
        <f t="shared" si="0"/>
        <v>1.142845570948237</v>
      </c>
      <c r="F19" s="10">
        <f t="shared" si="1"/>
        <v>5.7154429051762934E-2</v>
      </c>
      <c r="G19" s="10">
        <f t="shared" si="2"/>
        <v>2.3428455709482368</v>
      </c>
    </row>
    <row r="20" spans="1:7">
      <c r="A20" s="12">
        <v>16</v>
      </c>
      <c r="B20" s="10">
        <f>Results!B18</f>
        <v>-1.6</v>
      </c>
      <c r="C20" s="10">
        <f>Results!D18</f>
        <v>0.89442719099991574</v>
      </c>
      <c r="D20" s="4">
        <f>Results!E18</f>
        <v>5</v>
      </c>
      <c r="E20" s="10">
        <f t="shared" si="0"/>
        <v>0.78398559381602129</v>
      </c>
      <c r="F20" s="10">
        <f t="shared" si="1"/>
        <v>-2.3839855938160213</v>
      </c>
      <c r="G20" s="10">
        <f t="shared" si="2"/>
        <v>-0.8160144061839788</v>
      </c>
    </row>
    <row r="21" spans="1:7">
      <c r="A21" s="12">
        <v>17</v>
      </c>
      <c r="B21" s="10">
        <f>Results!B19</f>
        <v>1</v>
      </c>
      <c r="C21" s="10">
        <f>Results!D19</f>
        <v>0.70710678118654757</v>
      </c>
      <c r="D21" s="4">
        <f>Results!E19</f>
        <v>5</v>
      </c>
      <c r="E21" s="10">
        <f t="shared" si="0"/>
        <v>0.61979503230456146</v>
      </c>
      <c r="F21" s="10">
        <f t="shared" si="1"/>
        <v>0.38020496769543854</v>
      </c>
      <c r="G21" s="10">
        <f t="shared" si="2"/>
        <v>1.6197950323045616</v>
      </c>
    </row>
    <row r="22" spans="1:7">
      <c r="A22" s="12">
        <v>18</v>
      </c>
      <c r="B22" s="10">
        <f>Results!B20</f>
        <v>2.6</v>
      </c>
      <c r="C22" s="10">
        <f>Results!D20</f>
        <v>0.54772255750516674</v>
      </c>
      <c r="D22" s="4">
        <f>Results!E20</f>
        <v>5</v>
      </c>
      <c r="E22" s="10">
        <f t="shared" si="0"/>
        <v>0.48009116763553139</v>
      </c>
      <c r="F22" s="10">
        <f t="shared" si="1"/>
        <v>2.1199088323644686</v>
      </c>
      <c r="G22" s="10">
        <f t="shared" si="2"/>
        <v>3.0800911676355316</v>
      </c>
    </row>
    <row r="23" spans="1:7">
      <c r="A23" s="12">
        <v>19</v>
      </c>
      <c r="B23" s="10">
        <f>Results!B21</f>
        <v>2.2000000000000002</v>
      </c>
      <c r="C23" s="10">
        <f>Results!D21</f>
        <v>1.0954451150103324</v>
      </c>
      <c r="D23" s="4">
        <f>Results!E21</f>
        <v>5</v>
      </c>
      <c r="E23" s="10">
        <f t="shared" si="0"/>
        <v>0.96018233527106178</v>
      </c>
      <c r="F23" s="10">
        <f t="shared" si="1"/>
        <v>1.2398176647289385</v>
      </c>
      <c r="G23" s="10">
        <f t="shared" si="2"/>
        <v>3.1601823352710618</v>
      </c>
    </row>
    <row r="24" spans="1:7">
      <c r="A24" s="12">
        <v>20</v>
      </c>
      <c r="B24" s="10">
        <f>Results!B22</f>
        <v>-2</v>
      </c>
      <c r="C24" s="10">
        <f>Results!D22</f>
        <v>0.70710678118654757</v>
      </c>
      <c r="D24" s="4">
        <f>Results!E22</f>
        <v>5</v>
      </c>
      <c r="E24" s="10">
        <f t="shared" si="0"/>
        <v>0.61979503230456146</v>
      </c>
      <c r="F24" s="10">
        <f t="shared" si="1"/>
        <v>-2.6197950323045616</v>
      </c>
      <c r="G24" s="10">
        <f t="shared" si="2"/>
        <v>-1.3802049676954384</v>
      </c>
    </row>
    <row r="25" spans="1:7">
      <c r="A25" s="12">
        <v>21</v>
      </c>
      <c r="B25" s="10">
        <f>Results!B23</f>
        <v>1.6</v>
      </c>
      <c r="C25" s="10">
        <f>Results!D23</f>
        <v>0.89442719099991574</v>
      </c>
      <c r="D25" s="4">
        <f>Results!E23</f>
        <v>5</v>
      </c>
      <c r="E25" s="10">
        <f t="shared" ref="E25:E30" si="6">CONFIDENCE(0.05, C25, D25)</f>
        <v>0.78398559381602129</v>
      </c>
      <c r="F25" s="10">
        <f t="shared" ref="F25:F30" si="7">B25-E25</f>
        <v>0.8160144061839788</v>
      </c>
      <c r="G25" s="10">
        <f t="shared" ref="G25:G30" si="8">B25+E25</f>
        <v>2.3839855938160213</v>
      </c>
    </row>
    <row r="26" spans="1:7">
      <c r="A26" s="12">
        <v>22</v>
      </c>
      <c r="B26" s="10">
        <f>Results!B24</f>
        <v>-1.8</v>
      </c>
      <c r="C26" s="10">
        <f>Results!D24</f>
        <v>0.83666002653407567</v>
      </c>
      <c r="D26" s="4">
        <f>Results!E24</f>
        <v>5</v>
      </c>
      <c r="E26" s="10">
        <f t="shared" si="6"/>
        <v>0.7333513720565179</v>
      </c>
      <c r="F26" s="10">
        <f t="shared" si="7"/>
        <v>-2.5333513720565177</v>
      </c>
      <c r="G26" s="10">
        <f t="shared" si="8"/>
        <v>-1.0666486279434821</v>
      </c>
    </row>
    <row r="27" spans="1:7">
      <c r="A27" s="12">
        <v>23</v>
      </c>
      <c r="B27" s="10">
        <f>Results!B25</f>
        <v>2</v>
      </c>
      <c r="C27" s="10">
        <f>Results!D25</f>
        <v>0.70710678118654757</v>
      </c>
      <c r="D27" s="4">
        <f>Results!E25</f>
        <v>5</v>
      </c>
      <c r="E27" s="10">
        <f t="shared" si="6"/>
        <v>0.61979503230456146</v>
      </c>
      <c r="F27" s="10">
        <f t="shared" si="7"/>
        <v>1.3802049676954384</v>
      </c>
      <c r="G27" s="10">
        <f t="shared" si="8"/>
        <v>2.6197950323045616</v>
      </c>
    </row>
    <row r="28" spans="1:7">
      <c r="A28" s="12">
        <v>24</v>
      </c>
      <c r="B28" s="10">
        <f>Results!B26</f>
        <v>1.4</v>
      </c>
      <c r="C28" s="10">
        <f>Results!D26</f>
        <v>1.3416407864998738</v>
      </c>
      <c r="D28" s="4">
        <f>Results!E26</f>
        <v>5</v>
      </c>
      <c r="E28" s="10">
        <f t="shared" si="6"/>
        <v>1.1759783907240322</v>
      </c>
      <c r="F28" s="10">
        <f t="shared" si="7"/>
        <v>0.2240216092759677</v>
      </c>
      <c r="G28" s="10">
        <f t="shared" si="8"/>
        <v>2.5759783907240319</v>
      </c>
    </row>
    <row r="29" spans="1:7">
      <c r="A29" s="12">
        <v>25</v>
      </c>
      <c r="B29" s="10">
        <f>Results!B27</f>
        <v>2</v>
      </c>
      <c r="C29" s="10">
        <f>Results!D27</f>
        <v>1</v>
      </c>
      <c r="D29" s="4">
        <f>Results!E27</f>
        <v>5</v>
      </c>
      <c r="E29" s="10">
        <f t="shared" si="6"/>
        <v>0.8765225405765813</v>
      </c>
      <c r="F29" s="10">
        <f t="shared" si="7"/>
        <v>1.1234774594234187</v>
      </c>
      <c r="G29" s="10">
        <f t="shared" si="8"/>
        <v>2.8765225405765813</v>
      </c>
    </row>
    <row r="30" spans="1:7">
      <c r="A30" s="12">
        <v>26</v>
      </c>
      <c r="B30" s="10">
        <f>Results!B28</f>
        <v>-2.6</v>
      </c>
      <c r="C30" s="10">
        <f>Results!D28</f>
        <v>0.54772255750516674</v>
      </c>
      <c r="D30" s="4">
        <f>Results!E28</f>
        <v>5</v>
      </c>
      <c r="E30" s="10">
        <f t="shared" si="6"/>
        <v>0.48009116763553139</v>
      </c>
      <c r="F30" s="10">
        <f t="shared" si="7"/>
        <v>-3.0800911676355316</v>
      </c>
      <c r="G30" s="10">
        <f t="shared" si="8"/>
        <v>-2.1199088323644686</v>
      </c>
    </row>
  </sheetData>
  <sheetProtection algorithmName="SHA-512" hashValue="OzZgUeKAJXA7BRkQvIGqgaiyyd0UAx+eFnPoZihYUrGc+BZtxPnx6oCmEVHvTB1sEOfII/cm0jUAp8z1QbeNbQ==" saltValue="GhlgOsZGkb99jpe1edwEKg==" spinCount="100000" sheet="1" objects="1" scenarios="1"/>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7" workbookViewId="0">
      <selection activeCell="M21" sqref="M21"/>
    </sheetView>
  </sheetViews>
  <sheetFormatPr defaultColWidth="8.81640625" defaultRowHeight="14.5"/>
  <cols>
    <col min="2" max="2" width="39.81640625" customWidth="1"/>
    <col min="3" max="3" width="8.81640625" customWidth="1"/>
    <col min="10" max="10" width="18" customWidth="1"/>
    <col min="11" max="11" width="5.26953125" customWidth="1"/>
  </cols>
  <sheetData>
    <row r="1" spans="1:11" ht="82.15" customHeight="1">
      <c r="A1" s="160" t="s">
        <v>28</v>
      </c>
      <c r="B1" s="154"/>
      <c r="C1" s="154"/>
      <c r="D1" s="154"/>
      <c r="E1" s="154"/>
      <c r="F1" s="154"/>
      <c r="G1" s="154"/>
      <c r="H1" s="154"/>
      <c r="I1" s="154"/>
      <c r="J1" s="154"/>
      <c r="K1" s="154"/>
    </row>
    <row r="2" spans="1:11">
      <c r="A2" s="74" t="s">
        <v>29</v>
      </c>
      <c r="B2" s="75" t="s">
        <v>11</v>
      </c>
      <c r="C2" s="76">
        <v>1</v>
      </c>
      <c r="D2" s="78">
        <v>2</v>
      </c>
      <c r="E2" s="78">
        <v>3</v>
      </c>
      <c r="F2" s="78">
        <v>4</v>
      </c>
      <c r="G2" s="78">
        <v>5</v>
      </c>
      <c r="H2" s="78">
        <v>6</v>
      </c>
      <c r="I2" s="78">
        <v>7</v>
      </c>
      <c r="J2" s="57" t="s">
        <v>18</v>
      </c>
    </row>
    <row r="3" spans="1:11">
      <c r="A3" s="2">
        <v>1</v>
      </c>
      <c r="B3" s="1" t="str">
        <f>Results!F3&amp;"/"&amp;Results!G3</f>
        <v>menyusahkan/menyenangkan</v>
      </c>
      <c r="C3" s="1">
        <f>COUNTIF(DT!A4:A1004,"-3")</f>
        <v>0</v>
      </c>
      <c r="D3" s="1">
        <f>COUNTIF(DT!A4:A1004,"-2")</f>
        <v>0</v>
      </c>
      <c r="E3" s="1">
        <f>COUNTIF(DT!A4:A1004,"-1")</f>
        <v>0</v>
      </c>
      <c r="F3" s="1">
        <f>COUNTIF(DT!A4:A1004,"0")</f>
        <v>1</v>
      </c>
      <c r="G3" s="1">
        <f>COUNTIF(DT!A4:A1004,"1")</f>
        <v>2</v>
      </c>
      <c r="H3" s="1">
        <f>COUNTIF(DT!A4:A1004,"2")</f>
        <v>1</v>
      </c>
      <c r="I3" s="1">
        <f>COUNTIF(DT!A4:A1004,"3")</f>
        <v>1</v>
      </c>
      <c r="J3" s="23" t="str">
        <f>Results!H3</f>
        <v>Daya tarik</v>
      </c>
    </row>
    <row r="4" spans="1:11">
      <c r="A4" s="2">
        <v>2</v>
      </c>
      <c r="B4" s="1" t="str">
        <f>Results!F4&amp;"/"&amp;Results!G4</f>
        <v>tak dapat dipahami/dapat dipahami</v>
      </c>
      <c r="C4" s="1">
        <f>COUNTIF(DT!B4:B1004,"-3")</f>
        <v>0</v>
      </c>
      <c r="D4" s="1">
        <f>COUNTIF(DT!B4:B1004,"-2")</f>
        <v>0</v>
      </c>
      <c r="E4" s="1">
        <f>COUNTIF(DT!B4:B1004,"-1")</f>
        <v>0</v>
      </c>
      <c r="F4" s="1">
        <f>COUNTIF(DT!B4:B1004,"0")</f>
        <v>0</v>
      </c>
      <c r="G4" s="1">
        <f>COUNTIF(DT!B4:B1004,"1")</f>
        <v>2</v>
      </c>
      <c r="H4" s="1">
        <f>COUNTIF(DT!B4:B1004,"2")</f>
        <v>1</v>
      </c>
      <c r="I4" s="1">
        <f>COUNTIF(DT!B4:B1004,"3")</f>
        <v>2</v>
      </c>
      <c r="J4" s="23" t="str">
        <f>Results!H4</f>
        <v>Kejelasan</v>
      </c>
    </row>
    <row r="5" spans="1:11">
      <c r="A5" s="2">
        <v>3</v>
      </c>
      <c r="B5" s="1" t="str">
        <f>Results!F5&amp;"/"&amp;Results!G5</f>
        <v>kreatif/monoton</v>
      </c>
      <c r="C5" s="1">
        <f>COUNTIF(DT!C4:C1004,"-3")</f>
        <v>0</v>
      </c>
      <c r="D5" s="1">
        <f>COUNTIF(DT!C4:C1004,"-2")</f>
        <v>0</v>
      </c>
      <c r="E5" s="1">
        <f>COUNTIF(DT!C4:C1004,"-1")</f>
        <v>0</v>
      </c>
      <c r="F5" s="1">
        <f>COUNTIF(DT!C4:C1004,"0")</f>
        <v>0</v>
      </c>
      <c r="G5" s="1">
        <f>COUNTIF(DT!C4:C1004,"1")</f>
        <v>1</v>
      </c>
      <c r="H5" s="1">
        <f>COUNTIF(DT!C4:C1004,"2")</f>
        <v>1</v>
      </c>
      <c r="I5" s="1">
        <f>COUNTIF(DT!C4:C1004,"3")</f>
        <v>3</v>
      </c>
      <c r="J5" s="23" t="str">
        <f>Results!H5</f>
        <v>Kebaruan</v>
      </c>
    </row>
    <row r="6" spans="1:11">
      <c r="A6" s="2">
        <v>4</v>
      </c>
      <c r="B6" s="1" t="str">
        <f>Results!F6&amp;"/"&amp;Results!G6</f>
        <v>mudah dipelajari/sulit dipelajari</v>
      </c>
      <c r="C6" s="1">
        <f>COUNTIF(DT!D4:D1004,"-3")</f>
        <v>0</v>
      </c>
      <c r="D6" s="1">
        <f>COUNTIF(DT!D4:D1004,"-2")</f>
        <v>0</v>
      </c>
      <c r="E6" s="1">
        <f>COUNTIF(DT!D4:D1004,"-1")</f>
        <v>0</v>
      </c>
      <c r="F6" s="1">
        <f>COUNTIF(DT!D4:D1004,"0")</f>
        <v>0</v>
      </c>
      <c r="G6" s="1">
        <f>COUNTIF(DT!D4:D1004,"1")</f>
        <v>2</v>
      </c>
      <c r="H6" s="1">
        <f>COUNTIF(DT!D4:D1004,"2")</f>
        <v>2</v>
      </c>
      <c r="I6" s="1">
        <f>COUNTIF(DT!D4:D1004,"3")</f>
        <v>1</v>
      </c>
      <c r="J6" s="23" t="str">
        <f>Results!H6</f>
        <v>Kejelasan</v>
      </c>
    </row>
    <row r="7" spans="1:11">
      <c r="A7" s="2">
        <v>5</v>
      </c>
      <c r="B7" s="1" t="str">
        <f>Results!F7&amp;"/"&amp;Results!G7</f>
        <v>bermanfaat/kurang bermanfaat</v>
      </c>
      <c r="C7" s="1">
        <f>COUNTIF(DT!E4:E1004,"-3")</f>
        <v>0</v>
      </c>
      <c r="D7" s="1">
        <f>COUNTIF(DT!E4:E1004,"-2")</f>
        <v>0</v>
      </c>
      <c r="E7" s="1">
        <f>COUNTIF(DT!E4:E1004,"-1")</f>
        <v>0</v>
      </c>
      <c r="F7" s="1">
        <f>COUNTIF(DT!E4:E1004,"0")</f>
        <v>1</v>
      </c>
      <c r="G7" s="1">
        <f>COUNTIF(DT!E4:E1004,"1")</f>
        <v>2</v>
      </c>
      <c r="H7" s="1">
        <f>COUNTIF(DT!E4:E1004,"2")</f>
        <v>1</v>
      </c>
      <c r="I7" s="1">
        <f>COUNTIF(DT!E4:E1004,"3")</f>
        <v>1</v>
      </c>
      <c r="J7" s="24" t="str">
        <f>Results!H7</f>
        <v>Stimulasi</v>
      </c>
    </row>
    <row r="8" spans="1:11">
      <c r="A8" s="2">
        <v>6</v>
      </c>
      <c r="B8" s="1" t="str">
        <f>Results!F8&amp;"/"&amp;Results!G8</f>
        <v>membosankan/mengasyikkan</v>
      </c>
      <c r="C8" s="1">
        <f>COUNTIF(DT!F4:F1004,"-3")</f>
        <v>1</v>
      </c>
      <c r="D8" s="1">
        <f>COUNTIF(DT!F4:F1004,"-2")</f>
        <v>1</v>
      </c>
      <c r="E8" s="1">
        <f>COUNTIF(DT!F4:F1004,"-1")</f>
        <v>3</v>
      </c>
      <c r="F8" s="1">
        <f>COUNTIF(DT!F4:F1004,"0")</f>
        <v>0</v>
      </c>
      <c r="G8" s="1">
        <f>COUNTIF(DT!F4:F1004,"1")</f>
        <v>0</v>
      </c>
      <c r="H8" s="1">
        <f>COUNTIF(DT!F4:F1004,"2")</f>
        <v>0</v>
      </c>
      <c r="I8" s="1">
        <f>COUNTIF(DT!F4:F1004,"3")</f>
        <v>0</v>
      </c>
      <c r="J8" s="24" t="str">
        <f>Results!H8</f>
        <v>Stimulasi</v>
      </c>
    </row>
    <row r="9" spans="1:11">
      <c r="A9" s="2">
        <v>7</v>
      </c>
      <c r="B9" s="1" t="str">
        <f>Results!F9&amp;"/"&amp;Results!G9</f>
        <v>tidak menarik/menarik</v>
      </c>
      <c r="C9" s="1">
        <f>COUNTIF(DT!G4:G1004,"-3")</f>
        <v>4</v>
      </c>
      <c r="D9" s="1">
        <f>COUNTIF(DT!G4:G1004,"-2")</f>
        <v>0</v>
      </c>
      <c r="E9" s="1">
        <f>COUNTIF(DT!G4:G1004,"-1")</f>
        <v>1</v>
      </c>
      <c r="F9" s="1">
        <f>COUNTIF(DT!G4:G1004,"0")</f>
        <v>0</v>
      </c>
      <c r="G9" s="1">
        <f>COUNTIF(DT!G4:G1004,"1")</f>
        <v>0</v>
      </c>
      <c r="H9" s="1">
        <f>COUNTIF(DT!G4:G1004,"2")</f>
        <v>0</v>
      </c>
      <c r="I9" s="1">
        <f>COUNTIF(DT!G4:G1004,"3")</f>
        <v>0</v>
      </c>
      <c r="J9" s="24" t="str">
        <f>Results!H9</f>
        <v>Stimulasi</v>
      </c>
    </row>
    <row r="10" spans="1:11">
      <c r="A10" s="2">
        <v>8</v>
      </c>
      <c r="B10" s="1" t="str">
        <f>Results!F10&amp;"/"&amp;Results!G10</f>
        <v>tak dapat diprediksi/dapat diprediksi</v>
      </c>
      <c r="C10" s="1">
        <f>COUNTIF(DT!H4:H1004,"-3")</f>
        <v>0</v>
      </c>
      <c r="D10" s="1">
        <f>COUNTIF(DT!H4:H1004,"-2")</f>
        <v>0</v>
      </c>
      <c r="E10" s="1">
        <f>COUNTIF(DT!H4:H1004,"-1")</f>
        <v>0</v>
      </c>
      <c r="F10" s="1">
        <f>COUNTIF(DT!H4:H1004,"0")</f>
        <v>2</v>
      </c>
      <c r="G10" s="1">
        <f>COUNTIF(DT!H4:H1004,"1")</f>
        <v>0</v>
      </c>
      <c r="H10" s="1">
        <f>COUNTIF(DT!H4:H1004,"2")</f>
        <v>3</v>
      </c>
      <c r="I10" s="1">
        <f>COUNTIF(DT!H4:H1004,"3")</f>
        <v>0</v>
      </c>
      <c r="J10" s="23" t="str">
        <f>Results!H10</f>
        <v>Ketepatan</v>
      </c>
    </row>
    <row r="11" spans="1:11">
      <c r="A11" s="2">
        <v>9</v>
      </c>
      <c r="B11" s="1" t="str">
        <f>Results!F11&amp;"/"&amp;Results!G11</f>
        <v>cepat/lambat</v>
      </c>
      <c r="C11" s="1">
        <f>COUNTIF(DT!I4:I1004,"-3")</f>
        <v>0</v>
      </c>
      <c r="D11" s="1">
        <f>COUNTIF(DT!I4:I1004,"-2")</f>
        <v>0</v>
      </c>
      <c r="E11" s="1">
        <f>COUNTIF(DT!I4:I1004,"-1")</f>
        <v>0</v>
      </c>
      <c r="F11" s="1">
        <f>COUNTIF(DT!I4:I1004,"0")</f>
        <v>0</v>
      </c>
      <c r="G11" s="1">
        <f>COUNTIF(DT!I4:I1004,"1")</f>
        <v>2</v>
      </c>
      <c r="H11" s="1">
        <f>COUNTIF(DT!I4:I1004,"2")</f>
        <v>2</v>
      </c>
      <c r="I11" s="1">
        <f>COUNTIF(DT!I4:I1004,"3")</f>
        <v>1</v>
      </c>
      <c r="J11" s="23" t="str">
        <f>Results!H11</f>
        <v>Efisiensi</v>
      </c>
    </row>
    <row r="12" spans="1:11">
      <c r="A12" s="2">
        <v>10</v>
      </c>
      <c r="B12" s="1" t="str">
        <f>Results!F12&amp;"/"&amp;Results!G12</f>
        <v>berdaya cipta/konvensional</v>
      </c>
      <c r="C12" s="1">
        <f>COUNTIF(DT!J4:J1004,"-3")</f>
        <v>0</v>
      </c>
      <c r="D12" s="1">
        <f>COUNTIF(DT!J4:J1004,"-2")</f>
        <v>0</v>
      </c>
      <c r="E12" s="1">
        <f>COUNTIF(DT!J4:J1004,"-1")</f>
        <v>0</v>
      </c>
      <c r="F12" s="1">
        <f>COUNTIF(DT!J4:J1004,"0")</f>
        <v>0</v>
      </c>
      <c r="G12" s="1">
        <f>COUNTIF(DT!J4:J1004,"1")</f>
        <v>1</v>
      </c>
      <c r="H12" s="1">
        <f>COUNTIF(DT!J4:J1004,"2")</f>
        <v>3</v>
      </c>
      <c r="I12" s="1">
        <f>COUNTIF(DT!J4:J1004,"3")</f>
        <v>1</v>
      </c>
      <c r="J12" s="23" t="str">
        <f>Results!H12</f>
        <v>Kebaruan</v>
      </c>
    </row>
    <row r="13" spans="1:11">
      <c r="A13" s="2">
        <v>11</v>
      </c>
      <c r="B13" s="1" t="str">
        <f>Results!F13&amp;"/"&amp;Results!G13</f>
        <v>menghalangi/mendukung</v>
      </c>
      <c r="C13" s="1">
        <f>COUNTIF(DT!K4:K1004,"-3")</f>
        <v>5</v>
      </c>
      <c r="D13" s="1">
        <f>COUNTIF(DT!K4:K1004,"-2")</f>
        <v>0</v>
      </c>
      <c r="E13" s="1">
        <f>COUNTIF(DT!K4:K1004,"-1")</f>
        <v>0</v>
      </c>
      <c r="F13" s="1">
        <f>COUNTIF(DT!K4:K1004,"0")</f>
        <v>0</v>
      </c>
      <c r="G13" s="1">
        <f>COUNTIF(DT!K4:K1004,"1")</f>
        <v>0</v>
      </c>
      <c r="H13" s="1">
        <f>COUNTIF(DT!K4:K1004,"2")</f>
        <v>0</v>
      </c>
      <c r="I13" s="1">
        <f>COUNTIF(DT!K4:K1004,"3")</f>
        <v>0</v>
      </c>
      <c r="J13" s="23" t="str">
        <f>Results!H13</f>
        <v>Ketepatan</v>
      </c>
    </row>
    <row r="14" spans="1:11">
      <c r="A14" s="2">
        <v>12</v>
      </c>
      <c r="B14" s="1" t="str">
        <f>Results!F14&amp;"/"&amp;Results!G14</f>
        <v>baik/buruk</v>
      </c>
      <c r="C14" s="1">
        <f>COUNTIF(DT!L4:L1004,"-3")</f>
        <v>0</v>
      </c>
      <c r="D14" s="1">
        <f>COUNTIF(DT!L4:L1004,"-2")</f>
        <v>0</v>
      </c>
      <c r="E14" s="1">
        <f>COUNTIF(DT!L4:L1004,"-1")</f>
        <v>0</v>
      </c>
      <c r="F14" s="1">
        <f>COUNTIF(DT!L4:L1004,"0")</f>
        <v>1</v>
      </c>
      <c r="G14" s="1">
        <f>COUNTIF(DT!L4:L1004,"1")</f>
        <v>0</v>
      </c>
      <c r="H14" s="1">
        <f>COUNTIF(DT!L4:L1004,"2")</f>
        <v>3</v>
      </c>
      <c r="I14" s="1">
        <f>COUNTIF(DT!L4:L1004,"3")</f>
        <v>1</v>
      </c>
      <c r="J14" s="23" t="str">
        <f>Results!H14</f>
        <v>Daya tarik</v>
      </c>
    </row>
    <row r="15" spans="1:11">
      <c r="A15" s="2">
        <v>13</v>
      </c>
      <c r="B15" s="1" t="str">
        <f>Results!F15&amp;"/"&amp;Results!G15</f>
        <v>rumit/sederhana</v>
      </c>
      <c r="C15" s="1">
        <f>COUNTIF(DT!M4:M1004,"-3")</f>
        <v>1</v>
      </c>
      <c r="D15" s="1">
        <f>COUNTIF(DT!M4:M1004,"-2")</f>
        <v>1</v>
      </c>
      <c r="E15" s="1">
        <f>COUNTIF(DT!M4:M1004,"-1")</f>
        <v>3</v>
      </c>
      <c r="F15" s="1">
        <f>COUNTIF(DT!M4:M1004,"0")</f>
        <v>0</v>
      </c>
      <c r="G15" s="1">
        <f>COUNTIF(DT!M4:M1004,"1")</f>
        <v>0</v>
      </c>
      <c r="H15" s="1">
        <f>COUNTIF(DT!M4:M1004,"2")</f>
        <v>0</v>
      </c>
      <c r="I15" s="1">
        <f>COUNTIF(DT!M4:M1004,"3")</f>
        <v>0</v>
      </c>
      <c r="J15" s="23" t="str">
        <f>Results!H15</f>
        <v>Kejelasan</v>
      </c>
    </row>
    <row r="16" spans="1:11">
      <c r="A16" s="2">
        <v>14</v>
      </c>
      <c r="B16" s="1" t="str">
        <f>Results!F16&amp;"/"&amp;Results!G16</f>
        <v>tidak disukai/menggembirakan</v>
      </c>
      <c r="C16" s="1">
        <f>COUNTIF(DT!N4:N1004,"-3")</f>
        <v>1</v>
      </c>
      <c r="D16" s="1">
        <f>COUNTIF(DT!N4:N1004,"-2")</f>
        <v>1</v>
      </c>
      <c r="E16" s="1">
        <f>COUNTIF(DT!N4:N1004,"-1")</f>
        <v>2</v>
      </c>
      <c r="F16" s="1">
        <f>COUNTIF(DT!N4:N1004,"0")</f>
        <v>1</v>
      </c>
      <c r="G16" s="1">
        <f>COUNTIF(DT!N4:N1004,"1")</f>
        <v>0</v>
      </c>
      <c r="H16" s="1">
        <f>COUNTIF(DT!N4:N1004,"2")</f>
        <v>0</v>
      </c>
      <c r="I16" s="1">
        <f>COUNTIF(DT!N4:N1004,"3")</f>
        <v>0</v>
      </c>
      <c r="J16" s="23" t="str">
        <f>Results!H16</f>
        <v>Daya tarik</v>
      </c>
    </row>
    <row r="17" spans="1:10">
      <c r="A17" s="2">
        <v>15</v>
      </c>
      <c r="B17" s="1" t="str">
        <f>Results!F17&amp;"/"&amp;Results!G17</f>
        <v>lazim/terdepan</v>
      </c>
      <c r="C17" s="1">
        <f>COUNTIF(DT!O4:O1004,"-3")</f>
        <v>0</v>
      </c>
      <c r="D17" s="1">
        <f>COUNTIF(DT!O4:O1004,"-2")</f>
        <v>0</v>
      </c>
      <c r="E17" s="1">
        <f>COUNTIF(DT!O4:O1004,"-1")</f>
        <v>0</v>
      </c>
      <c r="F17" s="1">
        <f>COUNTIF(DT!O4:O1004,"0")</f>
        <v>2</v>
      </c>
      <c r="G17" s="1">
        <f>COUNTIF(DT!O4:O1004,"1")</f>
        <v>1</v>
      </c>
      <c r="H17" s="1">
        <f>COUNTIF(DT!O4:O1004,"2")</f>
        <v>1</v>
      </c>
      <c r="I17" s="1">
        <f>COUNTIF(DT!O4:O1004,"3")</f>
        <v>1</v>
      </c>
      <c r="J17" s="23" t="str">
        <f>Results!H17</f>
        <v>Kebaruan</v>
      </c>
    </row>
    <row r="18" spans="1:10">
      <c r="A18" s="2">
        <v>16</v>
      </c>
      <c r="B18" s="1" t="str">
        <f>Results!F18&amp;"/"&amp;Results!G18</f>
        <v>tidak nyaman/nyaman</v>
      </c>
      <c r="C18" s="1">
        <f>COUNTIF(DT!P4:P1004,"-3")</f>
        <v>1</v>
      </c>
      <c r="D18" s="1">
        <f>COUNTIF(DT!P4:P1004,"-2")</f>
        <v>1</v>
      </c>
      <c r="E18" s="1">
        <f>COUNTIF(DT!P4:P1004,"-1")</f>
        <v>3</v>
      </c>
      <c r="F18" s="1">
        <f>COUNTIF(DT!P4:P1004,"0")</f>
        <v>0</v>
      </c>
      <c r="G18" s="1">
        <f>COUNTIF(DT!P4:P1004,"1")</f>
        <v>0</v>
      </c>
      <c r="H18" s="1">
        <f>COUNTIF(DT!P4:P1004,"2")</f>
        <v>0</v>
      </c>
      <c r="I18" s="1">
        <f>COUNTIF(DT!P4:P1004,"3")</f>
        <v>0</v>
      </c>
      <c r="J18" s="23" t="str">
        <f>Results!H18</f>
        <v>Daya tarik</v>
      </c>
    </row>
    <row r="19" spans="1:10">
      <c r="A19" s="2">
        <v>17</v>
      </c>
      <c r="B19" s="1" t="str">
        <f>Results!F19&amp;"/"&amp;Results!G19</f>
        <v>aman/tidak aman</v>
      </c>
      <c r="C19" s="1">
        <f>COUNTIF(DT!Q4:Q1004,"-3")</f>
        <v>0</v>
      </c>
      <c r="D19" s="1">
        <f>COUNTIF(DT!Q4:Q1004,"-2")</f>
        <v>0</v>
      </c>
      <c r="E19" s="1">
        <f>COUNTIF(DT!Q4:Q1004,"-1")</f>
        <v>0</v>
      </c>
      <c r="F19" s="1">
        <f>COUNTIF(DT!Q4:Q1004,"0")</f>
        <v>1</v>
      </c>
      <c r="G19" s="1">
        <f>COUNTIF(DT!Q4:Q1004,"1")</f>
        <v>3</v>
      </c>
      <c r="H19" s="1">
        <f>COUNTIF(DT!Q4:Q1004,"2")</f>
        <v>1</v>
      </c>
      <c r="I19" s="1">
        <f>COUNTIF(DT!Q4:Q1004,"3")</f>
        <v>0</v>
      </c>
      <c r="J19" s="23" t="str">
        <f>Results!H19</f>
        <v>Ketepatan</v>
      </c>
    </row>
    <row r="20" spans="1:10">
      <c r="A20" s="2">
        <v>18</v>
      </c>
      <c r="B20" s="1" t="str">
        <f>Results!F20&amp;"/"&amp;Results!G20</f>
        <v>memotivasi/tidak memotivasi</v>
      </c>
      <c r="C20" s="1">
        <f>COUNTIF(DT!R4:R1004,"-3")</f>
        <v>0</v>
      </c>
      <c r="D20" s="1">
        <f>COUNTIF(DT!R4:R1004,"-2")</f>
        <v>0</v>
      </c>
      <c r="E20" s="1">
        <f>COUNTIF(DT!R4:R1004,"-1")</f>
        <v>0</v>
      </c>
      <c r="F20" s="1">
        <f>COUNTIF(DT!R4:R1004,"0")</f>
        <v>0</v>
      </c>
      <c r="G20" s="1">
        <f>COUNTIF(DT!R4:R1004,"1")</f>
        <v>0</v>
      </c>
      <c r="H20" s="1">
        <f>COUNTIF(DT!R4:R1004,"2")</f>
        <v>2</v>
      </c>
      <c r="I20" s="1">
        <f>COUNTIF(DT!R4:R1004,"3")</f>
        <v>3</v>
      </c>
      <c r="J20" s="24" t="str">
        <f>Results!H20</f>
        <v>Stimulasi</v>
      </c>
    </row>
    <row r="21" spans="1:10">
      <c r="A21" s="2">
        <v>19</v>
      </c>
      <c r="B21" s="1" t="str">
        <f>Results!F21&amp;"/"&amp;Results!G21</f>
        <v>memenuhi ekspektasi/tidak memenuhi ekspektasi</v>
      </c>
      <c r="C21" s="1">
        <f>COUNTIF(DT!S4:S1004,"-3")</f>
        <v>0</v>
      </c>
      <c r="D21" s="1">
        <f>COUNTIF(DT!S4:S1004,"-2")</f>
        <v>0</v>
      </c>
      <c r="E21" s="1">
        <f>COUNTIF(DT!S4:S1004,"-1")</f>
        <v>0</v>
      </c>
      <c r="F21" s="1">
        <f>COUNTIF(DT!S4:S1004,"0")</f>
        <v>0</v>
      </c>
      <c r="G21" s="1">
        <f>COUNTIF(DT!S4:S1004,"1")</f>
        <v>2</v>
      </c>
      <c r="H21" s="1">
        <f>COUNTIF(DT!S4:S1004,"2")</f>
        <v>0</v>
      </c>
      <c r="I21" s="1">
        <f>COUNTIF(DT!S4:S1004,"3")</f>
        <v>3</v>
      </c>
      <c r="J21" s="23" t="str">
        <f>Results!H21</f>
        <v>Ketepatan</v>
      </c>
    </row>
    <row r="22" spans="1:10">
      <c r="A22" s="2">
        <v>20</v>
      </c>
      <c r="B22" s="1" t="str">
        <f>Results!F22&amp;"/"&amp;Results!G22</f>
        <v>tidak efisien/efisien</v>
      </c>
      <c r="C22" s="1">
        <f>COUNTIF(DT!T4:T1004,"-3")</f>
        <v>1</v>
      </c>
      <c r="D22" s="1">
        <f>COUNTIF(DT!T4:T1004,"-2")</f>
        <v>3</v>
      </c>
      <c r="E22" s="1">
        <f>COUNTIF(DT!T4:T1004,"-1")</f>
        <v>1</v>
      </c>
      <c r="F22" s="1">
        <f>COUNTIF(DT!T4:T1004,"0")</f>
        <v>0</v>
      </c>
      <c r="G22" s="1">
        <f>COUNTIF(DT!T4:T1004,"1")</f>
        <v>0</v>
      </c>
      <c r="H22" s="1">
        <f>COUNTIF(DT!T4:T1004,"2")</f>
        <v>0</v>
      </c>
      <c r="I22" s="1">
        <f>COUNTIF(DT!T4:T1004,"3")</f>
        <v>0</v>
      </c>
      <c r="J22" s="23" t="str">
        <f>Results!H22</f>
        <v>Efisiensi</v>
      </c>
    </row>
    <row r="23" spans="1:10">
      <c r="A23" s="2">
        <v>21</v>
      </c>
      <c r="B23" s="1" t="str">
        <f>Results!F23&amp;"/"&amp;Results!G23</f>
        <v>jelas/membingungkan</v>
      </c>
      <c r="C23" s="1">
        <f>COUNTIF(DT!U4:U1004,"-3")</f>
        <v>0</v>
      </c>
      <c r="D23" s="1">
        <f>COUNTIF(DT!U4:U1004,"-2")</f>
        <v>0</v>
      </c>
      <c r="E23" s="1">
        <f>COUNTIF(DT!U4:U1004,"-1")</f>
        <v>0</v>
      </c>
      <c r="F23" s="1">
        <f>COUNTIF(DT!U4:U1004,"0")</f>
        <v>0</v>
      </c>
      <c r="G23" s="1">
        <f>COUNTIF(DT!U4:U1004,"1")</f>
        <v>3</v>
      </c>
      <c r="H23" s="1">
        <f>COUNTIF(DT!U4:U1004,"2")</f>
        <v>1</v>
      </c>
      <c r="I23" s="1">
        <f>COUNTIF(DT!U4:U1004,"3")</f>
        <v>1</v>
      </c>
      <c r="J23" s="23" t="str">
        <f>Results!H23</f>
        <v>Kejelasan</v>
      </c>
    </row>
    <row r="24" spans="1:10">
      <c r="A24" s="2">
        <v>22</v>
      </c>
      <c r="B24" s="1" t="str">
        <f>Results!F24&amp;"/"&amp;Results!G24</f>
        <v>tidak praktis/praktis</v>
      </c>
      <c r="C24" s="1">
        <f>COUNTIF(DT!V4:V1004,"-3")</f>
        <v>1</v>
      </c>
      <c r="D24" s="1">
        <f>COUNTIF(DT!V4:V1004,"-2")</f>
        <v>2</v>
      </c>
      <c r="E24" s="1">
        <f>COUNTIF(DT!V4:V1004,"-1")</f>
        <v>2</v>
      </c>
      <c r="F24" s="1">
        <f>COUNTIF(DT!V4:V1004,"0")</f>
        <v>0</v>
      </c>
      <c r="G24" s="1">
        <f>COUNTIF(DT!V4:V1004,"1")</f>
        <v>0</v>
      </c>
      <c r="H24" s="1">
        <f>COUNTIF(DT!V4:V1004,"2")</f>
        <v>0</v>
      </c>
      <c r="I24" s="1">
        <f>COUNTIF(DT!V4:V1004,"3")</f>
        <v>0</v>
      </c>
      <c r="J24" s="23" t="str">
        <f>Results!H24</f>
        <v>Efisiensi</v>
      </c>
    </row>
    <row r="25" spans="1:10">
      <c r="A25" s="2">
        <v>23</v>
      </c>
      <c r="B25" s="1" t="str">
        <f>Results!F25&amp;"/"&amp;Results!G25</f>
        <v>terorganisasi/berantakan</v>
      </c>
      <c r="C25" s="1">
        <f>COUNTIF(DT!W4:W1004,"-3")</f>
        <v>0</v>
      </c>
      <c r="D25" s="1">
        <f>COUNTIF(DT!W4:W1004,"-2")</f>
        <v>0</v>
      </c>
      <c r="E25" s="1">
        <f>COUNTIF(DT!W4:W1004,"-1")</f>
        <v>0</v>
      </c>
      <c r="F25" s="1">
        <f>COUNTIF(DT!W4:W1004,"0")</f>
        <v>0</v>
      </c>
      <c r="G25" s="1">
        <f>COUNTIF(DT!W4:W1004,"1")</f>
        <v>1</v>
      </c>
      <c r="H25" s="1">
        <f>COUNTIF(DT!W4:W1004,"2")</f>
        <v>3</v>
      </c>
      <c r="I25" s="1">
        <f>COUNTIF(DT!W4:W1004,"3")</f>
        <v>1</v>
      </c>
      <c r="J25" s="23" t="str">
        <f>Results!H25</f>
        <v>Efisiensi</v>
      </c>
    </row>
    <row r="26" spans="1:10">
      <c r="A26" s="2">
        <v>24</v>
      </c>
      <c r="B26" s="1" t="str">
        <f>Results!F26&amp;"/"&amp;Results!G26</f>
        <v>atraktif/tidak atraktif</v>
      </c>
      <c r="C26" s="1">
        <f>COUNTIF(DT!X4:X1004,"-3")</f>
        <v>0</v>
      </c>
      <c r="D26" s="1">
        <f>COUNTIF(DT!X4:X1004,"-2")</f>
        <v>0</v>
      </c>
      <c r="E26" s="1">
        <f>COUNTIF(DT!X4:X1004,"-1")</f>
        <v>0</v>
      </c>
      <c r="F26" s="1">
        <f>COUNTIF(DT!X4:X1004,"0")</f>
        <v>2</v>
      </c>
      <c r="G26" s="1">
        <f>COUNTIF(DT!X4:X1004,"1")</f>
        <v>0</v>
      </c>
      <c r="H26" s="1">
        <f>COUNTIF(DT!X4:X1004,"2")</f>
        <v>2</v>
      </c>
      <c r="I26" s="1">
        <f>COUNTIF(DT!X4:X1004,"3")</f>
        <v>1</v>
      </c>
      <c r="J26" s="23" t="str">
        <f>Results!H26</f>
        <v>Daya tarik</v>
      </c>
    </row>
    <row r="27" spans="1:10">
      <c r="A27" s="2">
        <v>25</v>
      </c>
      <c r="B27" s="1" t="str">
        <f>Results!F27&amp;"/"&amp;Results!G27</f>
        <v>ramah pengguna/tidak ramah pengguna</v>
      </c>
      <c r="C27" s="1">
        <f>COUNTIF(DT!Y4:Y1004,"-3")</f>
        <v>0</v>
      </c>
      <c r="D27" s="1">
        <f>COUNTIF(DT!Y4:Y1004,"-2")</f>
        <v>0</v>
      </c>
      <c r="E27" s="1">
        <f>COUNTIF(DT!Y4:Y1004,"-1")</f>
        <v>0</v>
      </c>
      <c r="F27" s="1">
        <f>COUNTIF(DT!Y4:Y1004,"0")</f>
        <v>0</v>
      </c>
      <c r="G27" s="1">
        <f>COUNTIF(DT!Y4:Y1004,"1")</f>
        <v>2</v>
      </c>
      <c r="H27" s="1">
        <f>COUNTIF(DT!Y4:Y1004,"2")</f>
        <v>1</v>
      </c>
      <c r="I27" s="1">
        <f>COUNTIF(DT!Y4:Y1004,"3")</f>
        <v>2</v>
      </c>
      <c r="J27" s="23" t="str">
        <f>Results!H27</f>
        <v>Daya tarik</v>
      </c>
    </row>
    <row r="28" spans="1:10">
      <c r="A28" s="2">
        <v>26</v>
      </c>
      <c r="B28" s="1" t="str">
        <f>Results!F28&amp;"/"&amp;Results!G28</f>
        <v>konservatif/inovatif</v>
      </c>
      <c r="C28" s="1">
        <f>COUNTIF(DT!Z4:Z1004,"-3")</f>
        <v>3</v>
      </c>
      <c r="D28" s="1">
        <f>COUNTIF(DT!Z4:Z1004,"-2")</f>
        <v>2</v>
      </c>
      <c r="E28" s="1">
        <f>COUNTIF(DT!Z4:Z1004,"-1")</f>
        <v>0</v>
      </c>
      <c r="F28" s="1">
        <f>COUNTIF(DT!Z4:Z1004,"0")</f>
        <v>0</v>
      </c>
      <c r="G28" s="1">
        <f>COUNTIF(DT!Z4:Z1004,"1")</f>
        <v>0</v>
      </c>
      <c r="H28" s="1">
        <f>COUNTIF(DT!Z4:Z1004,"2")</f>
        <v>0</v>
      </c>
      <c r="I28" s="1">
        <f>COUNTIF(DT!Z4:Z1004,"3")</f>
        <v>0</v>
      </c>
      <c r="J28" s="23" t="str">
        <f>Results!H28</f>
        <v>Kebaruan</v>
      </c>
    </row>
  </sheetData>
  <sheetProtection algorithmName="SHA-512" hashValue="6w8a6O5b+fSlapnQ9OZNFPDdcxhbKc7FbzKFGYWg0HcgyGHHmWMF9Vgrk0YukkD/O3EArkYcBZuDtN5uBYRJxQ==" saltValue="jNIZQ3bKG5PrXJBNzFTsBA==" spinCount="100000" sheet="1" objects="1" scenarios="1"/>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796875" defaultRowHeight="14.5"/>
  <cols>
    <col min="1" max="1" width="8.81640625" customWidth="1"/>
    <col min="2" max="2" width="11" customWidth="1"/>
    <col min="3" max="3" width="5.1796875" customWidth="1"/>
    <col min="4" max="4" width="9.1796875" customWidth="1"/>
    <col min="5" max="5" width="10.81640625" customWidth="1"/>
    <col min="6" max="6" width="4.81640625" customWidth="1"/>
    <col min="7" max="7" width="9.1796875" customWidth="1"/>
    <col min="8" max="8" width="11.1796875" customWidth="1"/>
    <col min="9" max="9" width="4.81640625" customWidth="1"/>
    <col min="10" max="10" width="8.54296875" customWidth="1"/>
    <col min="11" max="11" width="10.7265625" customWidth="1"/>
    <col min="12" max="12" width="5.54296875" customWidth="1"/>
    <col min="13" max="13" width="9" customWidth="1"/>
    <col min="14" max="14" width="10.7265625" customWidth="1"/>
    <col min="15" max="15" width="5.1796875" customWidth="1"/>
    <col min="16" max="16" width="9.7265625" customWidth="1"/>
    <col min="17" max="17" width="10.7265625" customWidth="1"/>
  </cols>
  <sheetData>
    <row r="1" spans="1:18" ht="55.15" customHeight="1">
      <c r="A1" s="141" t="s">
        <v>30</v>
      </c>
      <c r="B1" s="166"/>
      <c r="C1" s="166"/>
      <c r="D1" s="166"/>
      <c r="E1" s="166"/>
      <c r="F1" s="166"/>
      <c r="G1" s="166"/>
      <c r="H1" s="166"/>
      <c r="I1" s="166"/>
      <c r="J1" s="166"/>
      <c r="K1" s="166"/>
      <c r="L1" s="166"/>
      <c r="M1" s="166"/>
      <c r="N1" s="166"/>
      <c r="O1" s="166"/>
      <c r="P1" s="166"/>
      <c r="Q1" s="166"/>
      <c r="R1" s="166"/>
    </row>
    <row r="2" spans="1:18" ht="18.649999999999999" customHeight="1">
      <c r="A2" s="43"/>
      <c r="B2" s="44"/>
      <c r="C2" s="44"/>
      <c r="D2" s="44"/>
      <c r="E2" s="44"/>
      <c r="F2" s="44"/>
      <c r="G2" s="44"/>
      <c r="H2" s="44"/>
      <c r="I2" s="44"/>
      <c r="J2" s="44"/>
      <c r="K2" s="44"/>
      <c r="L2" s="44"/>
      <c r="M2" s="44"/>
      <c r="N2" s="44"/>
      <c r="O2" s="44"/>
      <c r="P2" s="44"/>
      <c r="Q2" s="44"/>
      <c r="R2" s="44"/>
    </row>
    <row r="3" spans="1:18" ht="172.9" customHeight="1">
      <c r="A3" s="167" t="s">
        <v>31</v>
      </c>
      <c r="B3" s="160"/>
      <c r="C3" s="160"/>
      <c r="D3" s="160"/>
      <c r="E3" s="160"/>
      <c r="F3" s="160"/>
      <c r="G3" s="160"/>
      <c r="H3" s="160"/>
      <c r="I3" s="160"/>
      <c r="J3" s="160"/>
      <c r="K3" s="160"/>
      <c r="L3" s="160"/>
      <c r="M3" s="160"/>
      <c r="N3" s="160"/>
      <c r="O3" s="160"/>
      <c r="P3" s="160"/>
      <c r="Q3" s="160"/>
      <c r="R3" s="44"/>
    </row>
    <row r="5" spans="1:18">
      <c r="A5" s="145" t="str">
        <f>VLOOKUP(Read_First!B5,Items!A1:BI50,54,FALSE)</f>
        <v>Daya tarik</v>
      </c>
      <c r="B5" s="145"/>
      <c r="D5" s="149" t="str">
        <f>VLOOKUP(Read_First!B5,Items!A1:BI50,55,FALSE)</f>
        <v>Kejelasan</v>
      </c>
      <c r="E5" s="149"/>
      <c r="G5" s="149" t="str">
        <f>VLOOKUP(Read_First!B5,Items!A1:BI50,56,FALSE)</f>
        <v>Efisiensi</v>
      </c>
      <c r="H5" s="149"/>
      <c r="J5" s="149" t="str">
        <f>VLOOKUP(Read_First!B5,Items!A1:BI50,57,FALSE)</f>
        <v>Ketepatan</v>
      </c>
      <c r="K5" s="149"/>
      <c r="M5" s="149" t="str">
        <f>VLOOKUP(Read_First!B5,Items!A1:BI50,58,FALSE)</f>
        <v>Stimulasi</v>
      </c>
      <c r="N5" s="149"/>
      <c r="P5" s="149" t="str">
        <f>VLOOKUP(Read_First!B5,Items!A1:BI50,59,FALSE)</f>
        <v>Kebaruan</v>
      </c>
      <c r="Q5" s="149"/>
    </row>
    <row r="6" spans="1:18">
      <c r="A6" s="107" t="s">
        <v>7</v>
      </c>
      <c r="B6" s="108" t="s">
        <v>32</v>
      </c>
      <c r="D6" s="107" t="s">
        <v>7</v>
      </c>
      <c r="E6" s="109" t="s">
        <v>32</v>
      </c>
      <c r="G6" s="103" t="s">
        <v>7</v>
      </c>
      <c r="H6" s="109" t="s">
        <v>32</v>
      </c>
      <c r="J6" s="105" t="s">
        <v>7</v>
      </c>
      <c r="K6" s="109" t="s">
        <v>32</v>
      </c>
      <c r="M6" s="107" t="s">
        <v>7</v>
      </c>
      <c r="N6" s="109" t="s">
        <v>32</v>
      </c>
      <c r="P6" s="107" t="s">
        <v>7</v>
      </c>
      <c r="Q6" s="109" t="s">
        <v>32</v>
      </c>
    </row>
    <row r="7" spans="1:18">
      <c r="A7" s="80" t="s">
        <v>33</v>
      </c>
      <c r="B7" s="81">
        <f>CORREL(DT!A4:A1004,DT!L4:L1004)</f>
        <v>8.0064076902543566E-2</v>
      </c>
      <c r="D7" s="80" t="s">
        <v>34</v>
      </c>
      <c r="E7" s="81">
        <f>CORREL(DT!B4:B1004,DT!D4:D1004)</f>
        <v>-0.59761430466719689</v>
      </c>
      <c r="G7" s="80" t="s">
        <v>35</v>
      </c>
      <c r="H7" s="81">
        <f>CORREL(DT!I4:I1004,DT!T4:T1004)</f>
        <v>0.42257712736425823</v>
      </c>
      <c r="J7" s="80" t="s">
        <v>36</v>
      </c>
      <c r="K7" s="81" t="e">
        <f>CORREL(DT!H4:H1004,DT!K4:K1004)</f>
        <v>#DIV/0!</v>
      </c>
      <c r="M7" s="80" t="s">
        <v>37</v>
      </c>
      <c r="N7" s="81">
        <f>CORREL(DT!E4:E1004,DT!F4:F1004)</f>
        <v>-0.44126130406091402</v>
      </c>
      <c r="P7" s="80" t="s">
        <v>38</v>
      </c>
      <c r="Q7" s="81">
        <f>CORREL(DT!C4:C1004,DT!J4:J1004)</f>
        <v>0.79056941504209477</v>
      </c>
    </row>
    <row r="8" spans="1:18">
      <c r="A8" s="32" t="s">
        <v>39</v>
      </c>
      <c r="B8" s="33">
        <f>CORREL(DT!A4:A1004,DT!N4:N1004)</f>
        <v>-0.80769230769230771</v>
      </c>
      <c r="D8" s="32" t="s">
        <v>40</v>
      </c>
      <c r="E8" s="33">
        <f>CORREL(DT!B4:B1004,DT!M4:M1004)</f>
        <v>-0.27950849718747373</v>
      </c>
      <c r="G8" s="32" t="s">
        <v>41</v>
      </c>
      <c r="H8" s="33">
        <f>CORREL(DT!I4:I1004,DT!V4:V1004)</f>
        <v>7.1428571428571355E-2</v>
      </c>
      <c r="J8" s="32" t="s">
        <v>42</v>
      </c>
      <c r="K8" s="33">
        <f>CORREL(DT!H4:H1004,DT!Q4:Q1004)</f>
        <v>-0.64549722436790269</v>
      </c>
      <c r="M8" s="32" t="s">
        <v>43</v>
      </c>
      <c r="N8" s="33">
        <f>CORREL(DT!E4:E1004,DT!G4:G1004)</f>
        <v>-0.19611613513818402</v>
      </c>
      <c r="P8" s="32" t="s">
        <v>44</v>
      </c>
      <c r="Q8" s="33">
        <f>CORREL(DT!C4:C1004,DT!O4:O1004)</f>
        <v>0.34299717028501764</v>
      </c>
    </row>
    <row r="9" spans="1:18">
      <c r="A9" s="32" t="s">
        <v>45</v>
      </c>
      <c r="B9" s="33">
        <f>CORREL(DT!A4:A1004,DT!P4:P1004)</f>
        <v>-0.44126130406091402</v>
      </c>
      <c r="D9" s="32" t="s">
        <v>46</v>
      </c>
      <c r="E9" s="33">
        <f>CORREL(DT!B4:B1004,DT!U4:U1004)</f>
        <v>0.27950849718747373</v>
      </c>
      <c r="G9" s="32" t="s">
        <v>47</v>
      </c>
      <c r="H9" s="33">
        <f>CORREL(DT!I4:I1004,DT!W4:W1004)</f>
        <v>0.42257712736425823</v>
      </c>
      <c r="J9" s="32" t="s">
        <v>48</v>
      </c>
      <c r="K9" s="33">
        <f>CORREL(DT!H4:H1004,DT!S4:S1004)</f>
        <v>0.16666666666666666</v>
      </c>
      <c r="M9" s="32" t="s">
        <v>49</v>
      </c>
      <c r="N9" s="33">
        <f>CORREL(DT!E4:E1004,DT!R4:R1004)</f>
        <v>-0.48038446141526142</v>
      </c>
      <c r="P9" s="32" t="s">
        <v>50</v>
      </c>
      <c r="Q9" s="33">
        <f>CORREL(DT!C4:C1004,DT!Z4:Z1004)</f>
        <v>-0.40824829046386302</v>
      </c>
    </row>
    <row r="10" spans="1:18">
      <c r="A10" s="32" t="s">
        <v>51</v>
      </c>
      <c r="B10" s="33">
        <f>CORREL(DT!A4:A1004,DT!X4:X1004)</f>
        <v>-0.13074409009212265</v>
      </c>
      <c r="D10" s="32" t="s">
        <v>52</v>
      </c>
      <c r="E10" s="33">
        <f>CORREL(DT!D4:D1004,DT!M4:M1004)</f>
        <v>0.46770717334674261</v>
      </c>
      <c r="G10" s="32" t="s">
        <v>53</v>
      </c>
      <c r="H10" s="33">
        <f>CORREL(DT!T4:T1004,DT!V4:V1004)</f>
        <v>-0.84515425472851646</v>
      </c>
      <c r="J10" s="32" t="s">
        <v>54</v>
      </c>
      <c r="K10" s="33" t="e">
        <f>CORREL(DT!K4:K1004,DT!Q4:Q1004)</f>
        <v>#DIV/0!</v>
      </c>
      <c r="M10" s="32" t="s">
        <v>55</v>
      </c>
      <c r="N10" s="33">
        <f>CORREL(DT!F4:F1004,DT!G4:G1004)</f>
        <v>0.37499999999999989</v>
      </c>
      <c r="P10" s="32" t="s">
        <v>56</v>
      </c>
      <c r="Q10" s="33">
        <f>CORREL(DT!J4:J1004,DT!O4:O1004)</f>
        <v>-0.2711630722733202</v>
      </c>
    </row>
    <row r="11" spans="1:18">
      <c r="A11" s="32" t="s">
        <v>57</v>
      </c>
      <c r="B11" s="33">
        <f>CORREL(DT!A4:A1004,DT!Y4:Y1004)</f>
        <v>0.4385290096535146</v>
      </c>
      <c r="D11" s="32" t="s">
        <v>58</v>
      </c>
      <c r="E11" s="33">
        <f>CORREL(DT!D4:D1004,DT!U4:U1004)</f>
        <v>0.53452248382484868</v>
      </c>
      <c r="G11" s="32" t="s">
        <v>59</v>
      </c>
      <c r="H11" s="33">
        <f>CORREL(DT!T4:T1004,DT!W4:W1004)</f>
        <v>0.5</v>
      </c>
      <c r="J11" s="32" t="s">
        <v>60</v>
      </c>
      <c r="K11" s="33" t="e">
        <f>CORREL(DT!K4:K1004,DT!S4:S1004)</f>
        <v>#DIV/0!</v>
      </c>
      <c r="M11" s="32" t="s">
        <v>61</v>
      </c>
      <c r="N11" s="33">
        <f>CORREL(DT!F4:F1004,DT!R4:R1004)</f>
        <v>0.40824829046386302</v>
      </c>
      <c r="P11" s="32" t="s">
        <v>62</v>
      </c>
      <c r="Q11" s="33">
        <f>CORREL(DT!J4:J1004,DT!Z4:Z1004)</f>
        <v>0</v>
      </c>
    </row>
    <row r="12" spans="1:18">
      <c r="A12" s="32" t="s">
        <v>63</v>
      </c>
      <c r="B12" s="33">
        <f>CORREL(DT!L4:L1004,DT!N4:N1004)</f>
        <v>0.32025630761017426</v>
      </c>
      <c r="D12" s="32" t="s">
        <v>64</v>
      </c>
      <c r="E12" s="33">
        <f>CORREL(DT!M4:M1004,DT!U4:U1004)</f>
        <v>0.56249999999999989</v>
      </c>
      <c r="G12" s="32" t="s">
        <v>65</v>
      </c>
      <c r="H12" s="33">
        <f>CORREL(DT!V4:V1004,DT!W4:W1004)</f>
        <v>-0.42257712736425823</v>
      </c>
      <c r="J12" s="32" t="s">
        <v>66</v>
      </c>
      <c r="K12" s="33">
        <f>CORREL(DT!Q4:Q1004,DT!S4:S1004)</f>
        <v>0</v>
      </c>
      <c r="M12" s="32" t="s">
        <v>67</v>
      </c>
      <c r="N12" s="33">
        <f>CORREL(DT!G4:G1004,DT!R4:R1004)</f>
        <v>-0.61237243569579447</v>
      </c>
      <c r="P12" s="32" t="s">
        <v>68</v>
      </c>
      <c r="Q12" s="33">
        <f>CORREL(DT!O4:O1004,DT!Z4:Z1004)</f>
        <v>-0.4900980294098034</v>
      </c>
    </row>
    <row r="13" spans="1:18">
      <c r="A13" s="32" t="s">
        <v>69</v>
      </c>
      <c r="B13" s="33">
        <f>CORREL(DT!L4:L1004,DT!P4:P1004)</f>
        <v>-0.15309310892394865</v>
      </c>
      <c r="D13" s="34" t="s">
        <v>70</v>
      </c>
      <c r="E13" s="33">
        <f>AVERAGE(E7:E12)</f>
        <v>0.16118589208406572</v>
      </c>
      <c r="G13" s="34" t="s">
        <v>70</v>
      </c>
      <c r="H13" s="33">
        <f>AVERAGE(H7:H12)</f>
        <v>2.480857401071886E-2</v>
      </c>
      <c r="J13" s="34" t="s">
        <v>70</v>
      </c>
      <c r="K13" s="33" t="e">
        <f>AVERAGE(K7:K12)</f>
        <v>#DIV/0!</v>
      </c>
      <c r="M13" s="34" t="s">
        <v>70</v>
      </c>
      <c r="N13" s="33">
        <f>AVERAGE(N7:N12)</f>
        <v>-0.15781434097438185</v>
      </c>
      <c r="P13" s="34" t="s">
        <v>70</v>
      </c>
      <c r="Q13" s="33">
        <f>AVERAGE(Q7:Q12)</f>
        <v>-5.9904678033123699E-3</v>
      </c>
    </row>
    <row r="14" spans="1:18">
      <c r="A14" s="32" t="s">
        <v>71</v>
      </c>
      <c r="B14" s="33">
        <f>CORREL(DT!L4:L1004,DT!X4:X1004)</f>
        <v>0.74845519918374881</v>
      </c>
      <c r="C14" s="7"/>
      <c r="D14" s="45" t="s">
        <v>72</v>
      </c>
      <c r="E14" s="46">
        <f>(4*E13)/(1+(3*E13))</f>
        <v>0.43459285652111029</v>
      </c>
      <c r="F14" s="47"/>
      <c r="G14" s="45" t="s">
        <v>72</v>
      </c>
      <c r="H14" s="46">
        <f>(4*H13)/(1+(3*H13))</f>
        <v>9.2360313056527379E-2</v>
      </c>
      <c r="I14" s="47"/>
      <c r="J14" s="45" t="s">
        <v>72</v>
      </c>
      <c r="K14" s="46" t="e">
        <f>(4*K13)/(1+(3*K13))</f>
        <v>#DIV/0!</v>
      </c>
      <c r="L14" s="47"/>
      <c r="M14" s="45" t="s">
        <v>72</v>
      </c>
      <c r="N14" s="46">
        <f>(4*N13)/(1+(3*N13))</f>
        <v>-1.1988396154237859</v>
      </c>
      <c r="P14" s="45" t="s">
        <v>72</v>
      </c>
      <c r="Q14" s="46">
        <f>(4*Q13)/(1+(3*Q13))</f>
        <v>-2.440038029081153E-2</v>
      </c>
    </row>
    <row r="15" spans="1:18">
      <c r="A15" s="32" t="s">
        <v>73</v>
      </c>
      <c r="B15" s="33">
        <f>CORREL(DT!L4:L1004,DT!Y4:Y1004)</f>
        <v>0.22821773229381923</v>
      </c>
      <c r="D15" s="161" t="s">
        <v>74</v>
      </c>
      <c r="E15" s="37">
        <f>1-EXP(LN(1-E14)+1.96*SQRT(8/(3*(Results!E3-2))))</f>
        <v>-2.5883644799540355</v>
      </c>
      <c r="G15" s="161" t="s">
        <v>74</v>
      </c>
      <c r="H15" s="37">
        <f>1-EXP(LN(1-H14)+1.96*SQRT(8/(3*(Results!E3-2))))</f>
        <v>-4.7603481858841441</v>
      </c>
      <c r="J15" s="161" t="s">
        <v>74</v>
      </c>
      <c r="K15" s="37" t="e">
        <f>1-EXP(LN(1-K14)+1.96*SQRT(8/(3*(Results!E3-2))))</f>
        <v>#DIV/0!</v>
      </c>
      <c r="M15" s="161" t="s">
        <v>74</v>
      </c>
      <c r="N15" s="37">
        <f>1-EXP(LN(1-N14)+1.96*SQRT(8/(3*(Results!E3-2))))</f>
        <v>-12.954966901469827</v>
      </c>
      <c r="P15" s="161" t="s">
        <v>74</v>
      </c>
      <c r="Q15" s="37">
        <f>1-EXP(LN(1-Q14)+1.96*SQRT(8/(3*(Results!E3-2))))</f>
        <v>-5.5013715873297961</v>
      </c>
    </row>
    <row r="16" spans="1:18">
      <c r="A16" s="32" t="s">
        <v>75</v>
      </c>
      <c r="B16" s="33">
        <f>CORREL(DT!N4:N1004,DT!P4:P1004)</f>
        <v>0.44126130406091402</v>
      </c>
      <c r="D16" s="162"/>
      <c r="E16" s="37">
        <f>1-EXP(LN(1-E14)-1.96*SQRT(8/(3*(Results!E3-2))))</f>
        <v>0.91091060016817116</v>
      </c>
      <c r="G16" s="162"/>
      <c r="H16" s="37">
        <f>1-EXP(LN(1-H14)-1.96*SQRT(8/(3*(Results!E3-2))))</f>
        <v>0.85698611008730197</v>
      </c>
      <c r="J16" s="162"/>
      <c r="K16" s="37" t="e">
        <f>1-EXP(LN(1-K14)-1.96*SQRT(8/(3*(Results!E3-2))))</f>
        <v>#DIV/0!</v>
      </c>
      <c r="M16" s="162"/>
      <c r="N16" s="37">
        <f>1-EXP(LN(1-N14)-1.96*SQRT(8/(3*(Results!E3-2))))</f>
        <v>0.65353585655242363</v>
      </c>
      <c r="P16" s="162"/>
      <c r="Q16" s="37">
        <f>1-EXP(LN(1-Q14)-1.96*SQRT(8/(3*(Results!E3-2))))</f>
        <v>0.8385885001274076</v>
      </c>
    </row>
    <row r="17" spans="1:18">
      <c r="A17" s="32" t="s">
        <v>76</v>
      </c>
      <c r="B17" s="33">
        <f>CORREL(DT!N4:N1004,DT!X4:X1004)</f>
        <v>0.13074409009212265</v>
      </c>
    </row>
    <row r="18" spans="1:18">
      <c r="A18" s="32" t="s">
        <v>77</v>
      </c>
      <c r="B18" s="33">
        <f>CORREL(DT!N4:N1004,DT!Y4:Y1004)</f>
        <v>-0.65779351448027179</v>
      </c>
    </row>
    <row r="19" spans="1:18">
      <c r="A19" s="32" t="s">
        <v>78</v>
      </c>
      <c r="B19" s="33">
        <f>CORREL(DT!P4:P1004,DT!X4:X1004)</f>
        <v>-0.37499999999999989</v>
      </c>
    </row>
    <row r="20" spans="1:18">
      <c r="A20" s="32" t="s">
        <v>79</v>
      </c>
      <c r="B20" s="33">
        <f>CORREL(DT!P4:P1004,DT!Y4:Y1004)</f>
        <v>-0.27950849718747373</v>
      </c>
    </row>
    <row r="21" spans="1:18">
      <c r="A21" s="32" t="s">
        <v>80</v>
      </c>
      <c r="B21" s="33">
        <f>CORREL(DT!X4:X1004,DT!Y4:Y1004)</f>
        <v>0.55901699437494734</v>
      </c>
    </row>
    <row r="22" spans="1:18">
      <c r="A22" s="34" t="s">
        <v>70</v>
      </c>
      <c r="B22" s="33">
        <f>AVERAGE(B7:B21)</f>
        <v>6.7634594489830819E-3</v>
      </c>
    </row>
    <row r="23" spans="1:18">
      <c r="A23" s="45" t="s">
        <v>72</v>
      </c>
      <c r="B23" s="46">
        <f>(6*B22)/(1+(5*B22))</f>
        <v>3.9253315650690596E-2</v>
      </c>
    </row>
    <row r="24" spans="1:18">
      <c r="A24" s="161" t="s">
        <v>74</v>
      </c>
      <c r="B24" s="37">
        <f>1-EXP(LN(1-B23)+1.96*SQRT(12/(5*(Results!E3-2))))</f>
        <v>-4.5457551301863885</v>
      </c>
    </row>
    <row r="25" spans="1:18">
      <c r="A25" s="162"/>
      <c r="B25" s="37">
        <f>1-EXP(LN(1-B23)-1.96*SQRT(12/(5*(Results!E3-2))))</f>
        <v>0.83356023303950511</v>
      </c>
    </row>
    <row r="27" spans="1:18" ht="66.650000000000006" customHeight="1">
      <c r="A27" s="163" t="s">
        <v>81</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Daya tarik</v>
      </c>
      <c r="B29" s="165"/>
      <c r="D29" s="165" t="str">
        <f>VLOOKUP(Read_First!B5,Items!A1:BI50,55,FALSE)</f>
        <v>Kejelasan</v>
      </c>
      <c r="E29" s="165"/>
      <c r="G29" s="165" t="str">
        <f>VLOOKUP(Read_First!B5,Items!A1:BI50,56,FALSE)</f>
        <v>Efisiensi</v>
      </c>
      <c r="H29" s="165"/>
      <c r="J29" s="165" t="str">
        <f>VLOOKUP(Read_First!B5,Items!A1:BI50,57,FALSE)</f>
        <v>Ketepatan</v>
      </c>
      <c r="K29" s="165"/>
      <c r="M29" s="165" t="e">
        <f>VLOOKUP(Read_First!B5,Items!A1:BI5,58,FALSE)</f>
        <v>#N/A</v>
      </c>
      <c r="N29" s="165"/>
      <c r="P29" s="165" t="str">
        <f>VLOOKUP(Read_First!B5,Items!A1:BI55,59,FALSE)</f>
        <v>Kebaruan</v>
      </c>
      <c r="Q29" s="165"/>
    </row>
    <row r="30" spans="1:18">
      <c r="A30" s="42" t="s">
        <v>82</v>
      </c>
      <c r="B30" s="42">
        <f>1-((Results!C3+Results!C14+Results!C16+Results!C18+Results!C26+Results!C27)/(36*(Results!M3)))</f>
        <v>0.10843373493975972</v>
      </c>
      <c r="D30" s="42" t="s">
        <v>82</v>
      </c>
      <c r="E30" s="42">
        <f>1-((Results!C4+Results!C6+Results!C15+Results!C23)/(16*(Results!M4)))</f>
        <v>0.2978723404255319</v>
      </c>
      <c r="G30" s="42" t="s">
        <v>82</v>
      </c>
      <c r="H30" s="42">
        <f>1-((Results!C11+Results!C22+Results!C24+Results!C25)/(16*(Results!M5)))</f>
        <v>3.9999999999999813E-2</v>
      </c>
      <c r="J30" s="42" t="s">
        <v>82</v>
      </c>
      <c r="K30" s="42">
        <f>1-((Results!C10+Results!C13+Results!C19+Results!C21)/(16*(Results!M6)))</f>
        <v>-0.26086956521739157</v>
      </c>
      <c r="M30" s="42" t="s">
        <v>82</v>
      </c>
      <c r="N30" s="42">
        <f>1-((Results!C7+Results!C8+Results!C9+Results!C20)/(16*(Results!M7)))</f>
        <v>-0.88235294117647123</v>
      </c>
      <c r="P30" s="42" t="s">
        <v>82</v>
      </c>
      <c r="Q30" s="42">
        <f>1-((Results!C5+Results!C12+Results!C17+Results!C28)/(16*(Results!M8)))</f>
        <v>5.714285714285694E-2</v>
      </c>
    </row>
    <row r="32" spans="1:18">
      <c r="A32" s="83" t="s">
        <v>7</v>
      </c>
      <c r="B32" s="57" t="s">
        <v>83</v>
      </c>
      <c r="D32" s="83" t="s">
        <v>7</v>
      </c>
      <c r="E32" s="57" t="s">
        <v>83</v>
      </c>
      <c r="G32" s="83" t="s">
        <v>7</v>
      </c>
      <c r="H32" s="57" t="s">
        <v>83</v>
      </c>
      <c r="J32" s="83" t="s">
        <v>7</v>
      </c>
      <c r="K32" s="57" t="s">
        <v>83</v>
      </c>
      <c r="M32" s="83" t="s">
        <v>7</v>
      </c>
      <c r="N32" s="57" t="s">
        <v>83</v>
      </c>
      <c r="P32" s="79" t="s">
        <v>7</v>
      </c>
      <c r="Q32" s="82" t="s">
        <v>83</v>
      </c>
    </row>
    <row r="33" spans="1:17">
      <c r="A33" s="32" t="s">
        <v>33</v>
      </c>
      <c r="B33" s="33">
        <f>COVAR(DT!A4:A1004,DT!L4:L1004)^2</f>
        <v>6.4000000000000003E-3</v>
      </c>
      <c r="D33" s="32" t="s">
        <v>34</v>
      </c>
      <c r="E33" s="33">
        <f>_xlfn.COVARIANCE.S(DT!B4:B1004,DT!D4:D1004)^2</f>
        <v>0.25</v>
      </c>
      <c r="G33" s="32" t="s">
        <v>35</v>
      </c>
      <c r="H33" s="33">
        <f>COVAR(DT!I4:I1004,DT!T4:T1004)^2</f>
        <v>4.0000000000000008E-2</v>
      </c>
      <c r="J33" s="32" t="s">
        <v>36</v>
      </c>
      <c r="K33" s="33">
        <f>COVAR(DT!H4:H1004,DT!K4:K1004)^2</f>
        <v>0</v>
      </c>
      <c r="M33" s="32" t="s">
        <v>37</v>
      </c>
      <c r="N33" s="33">
        <f>COVAR(DT!E4:E1004,DT!F4:F1004)^2</f>
        <v>0.12959999999999999</v>
      </c>
      <c r="P33" s="32" t="s">
        <v>38</v>
      </c>
      <c r="Q33" s="33">
        <f>COVAR(DT!C4:C1004,DT!J4:J1004)^2</f>
        <v>0.16000000000000003</v>
      </c>
    </row>
    <row r="34" spans="1:17">
      <c r="A34" s="32" t="s">
        <v>39</v>
      </c>
      <c r="B34" s="33">
        <f>COVAR(DT!A4:A1004,DT!N4:N1004)^2</f>
        <v>0.70560000000000012</v>
      </c>
      <c r="D34" s="32" t="s">
        <v>40</v>
      </c>
      <c r="E34" s="33">
        <f>_xlfn.COVARIANCE.S(DT!B4:B1004,DT!M4:M1004)^2</f>
        <v>6.25E-2</v>
      </c>
      <c r="G34" s="32" t="s">
        <v>41</v>
      </c>
      <c r="H34" s="33">
        <f>COVAR(DT!I4:I1004,DT!V4:V1004)^2</f>
        <v>1.5999999999999968E-3</v>
      </c>
      <c r="J34" s="32" t="s">
        <v>42</v>
      </c>
      <c r="K34" s="33">
        <f>COVAR(DT!H4:H1004,DT!Q4:Q1004)^2</f>
        <v>0.16000000000000003</v>
      </c>
      <c r="M34" s="32" t="s">
        <v>43</v>
      </c>
      <c r="N34" s="33">
        <f>COVAR(DT!E4:E1004,DT!G4:G1004)^2</f>
        <v>2.5600000000000001E-2</v>
      </c>
      <c r="P34" s="32" t="s">
        <v>44</v>
      </c>
      <c r="Q34" s="33">
        <f>COVAR(DT!C4:C1004,DT!O4:O1004)^2</f>
        <v>0.1024</v>
      </c>
    </row>
    <row r="35" spans="1:17">
      <c r="A35" s="32" t="s">
        <v>45</v>
      </c>
      <c r="B35" s="33">
        <f>COVAR(DT!A4:A1004,DT!P4:P1004)^2</f>
        <v>0.12959999999999999</v>
      </c>
      <c r="D35" s="32" t="s">
        <v>46</v>
      </c>
      <c r="E35" s="33">
        <f>_xlfn.COVARIANCE.S(DT!B4:B1004,DT!U4:U1004)^2</f>
        <v>6.25E-2</v>
      </c>
      <c r="G35" s="32" t="s">
        <v>47</v>
      </c>
      <c r="H35" s="33">
        <f>COVAR(DT!I4:I1004,DT!W4:W1004)^2</f>
        <v>4.0000000000000008E-2</v>
      </c>
      <c r="J35" s="32" t="s">
        <v>48</v>
      </c>
      <c r="K35" s="33">
        <f>COVAR(DT!H4:H1004,DT!S4:S1004)^2</f>
        <v>2.5600000000000001E-2</v>
      </c>
      <c r="M35" s="32" t="s">
        <v>49</v>
      </c>
      <c r="N35" s="33">
        <f>COVAR(DT!E4:E1004,DT!R4:R1004)^2</f>
        <v>5.7599999999999998E-2</v>
      </c>
      <c r="P35" s="32" t="s">
        <v>50</v>
      </c>
      <c r="Q35" s="33">
        <f>COVAR(DT!C4:C1004,DT!Z4:Z1004)^2</f>
        <v>2.5600000000000001E-2</v>
      </c>
    </row>
    <row r="36" spans="1:17">
      <c r="A36" s="32" t="s">
        <v>51</v>
      </c>
      <c r="B36" s="33">
        <f>COVAR(DT!A4:A1004,DT!X4:X1004)^2</f>
        <v>2.5600000000000001E-2</v>
      </c>
      <c r="D36" s="32" t="s">
        <v>52</v>
      </c>
      <c r="E36" s="33">
        <f>_xlfn.COVARIANCE.S(DT!D4:D1004,DT!M4:M1004)^2</f>
        <v>0.12249999999999998</v>
      </c>
      <c r="G36" s="32" t="s">
        <v>53</v>
      </c>
      <c r="H36" s="33">
        <f>COVAR(DT!T4:T1004,DT!V4:V1004)^2</f>
        <v>0.16000000000000003</v>
      </c>
      <c r="J36" s="32" t="s">
        <v>54</v>
      </c>
      <c r="K36" s="33">
        <f>COVAR(DT!K4:K1004,DT!Q4:Q1004)^2</f>
        <v>0</v>
      </c>
      <c r="M36" s="32" t="s">
        <v>55</v>
      </c>
      <c r="N36" s="33">
        <f>COVAR(DT!F4:F1004,DT!G4:G1004)^2</f>
        <v>5.7599999999999998E-2</v>
      </c>
      <c r="P36" s="32" t="s">
        <v>56</v>
      </c>
      <c r="Q36" s="33">
        <f>COVAR(DT!J4:J1004,DT!O4:O1004)^2</f>
        <v>4.0000000000000008E-2</v>
      </c>
    </row>
    <row r="37" spans="1:17">
      <c r="A37" s="32" t="s">
        <v>57</v>
      </c>
      <c r="B37" s="33">
        <f>COVAR(DT!A4:A1004,DT!Y4:Y1004)^2</f>
        <v>0.16000000000000003</v>
      </c>
      <c r="D37" s="32" t="s">
        <v>58</v>
      </c>
      <c r="E37" s="33">
        <f>_xlfn.COVARIANCE.S(DT!D4:D1004,DT!U4:U1004)^2</f>
        <v>0.15999999999999992</v>
      </c>
      <c r="G37" s="32" t="s">
        <v>59</v>
      </c>
      <c r="H37" s="33">
        <f>COVAR(DT!T4:T1004,DT!W4:W1004)^2</f>
        <v>4.0000000000000008E-2</v>
      </c>
      <c r="J37" s="32" t="s">
        <v>60</v>
      </c>
      <c r="K37" s="33">
        <f>COVAR(DT!K4:K1004,DT!S4:S1004)^2</f>
        <v>0</v>
      </c>
      <c r="M37" s="32" t="s">
        <v>61</v>
      </c>
      <c r="N37" s="33">
        <f>COVAR(DT!F4:F1004,DT!R4:R1004)^2</f>
        <v>2.5600000000000001E-2</v>
      </c>
      <c r="P37" s="32" t="s">
        <v>62</v>
      </c>
      <c r="Q37" s="33">
        <f>COVAR(DT!J4:J1004,DT!Z4:Z1004)^2</f>
        <v>0</v>
      </c>
    </row>
    <row r="38" spans="1:17">
      <c r="A38" s="32" t="s">
        <v>63</v>
      </c>
      <c r="B38" s="33">
        <f>COVAR(DT!L4:L1004,DT!N4:N1004)^2</f>
        <v>0.1024</v>
      </c>
      <c r="D38" s="32" t="s">
        <v>64</v>
      </c>
      <c r="E38" s="33">
        <f>_xlfn.COVARIANCE.S(DT!M4:M1004,DT!U4:U1004)^2</f>
        <v>0.20250000000000001</v>
      </c>
      <c r="G38" s="32" t="s">
        <v>65</v>
      </c>
      <c r="H38" s="33">
        <f>COVAR(DT!V4:V1004,DT!W4:W1004)^2</f>
        <v>4.0000000000000008E-2</v>
      </c>
      <c r="J38" s="32" t="s">
        <v>66</v>
      </c>
      <c r="K38" s="33">
        <f>COVAR(DT!Q4:Q1004,DT!S4:S1004)^2</f>
        <v>0</v>
      </c>
      <c r="M38" s="32" t="s">
        <v>67</v>
      </c>
      <c r="N38" s="33">
        <f>COVAR(DT!G4:G1004,DT!R4:R1004)^2</f>
        <v>5.7599999999999998E-2</v>
      </c>
      <c r="P38" s="32" t="s">
        <v>68</v>
      </c>
      <c r="Q38" s="33">
        <f>COVAR(DT!O4:O1004,DT!Z4:Z1004)^2</f>
        <v>7.8400000000000011E-2</v>
      </c>
    </row>
    <row r="39" spans="1:17">
      <c r="A39" s="32" t="s">
        <v>69</v>
      </c>
      <c r="B39" s="33">
        <f>COVAR(DT!L4:L1004,DT!P4:P1004)^2</f>
        <v>1.4400000000000005E-2</v>
      </c>
      <c r="D39" s="32" t="s">
        <v>84</v>
      </c>
      <c r="E39" s="6">
        <f>SUM(E33:E38)</f>
        <v>0.86</v>
      </c>
      <c r="G39" s="32" t="s">
        <v>84</v>
      </c>
      <c r="H39" s="6">
        <f>SUM(H33:H38)</f>
        <v>0.32160000000000011</v>
      </c>
      <c r="J39" s="32" t="s">
        <v>84</v>
      </c>
      <c r="K39" s="6">
        <f>SUM(K33:K38)</f>
        <v>0.18560000000000004</v>
      </c>
      <c r="M39" s="32" t="s">
        <v>84</v>
      </c>
      <c r="N39" s="6">
        <f>SUM(N33:N38)</f>
        <v>0.35359999999999997</v>
      </c>
      <c r="P39" s="32" t="s">
        <v>84</v>
      </c>
      <c r="Q39" s="6">
        <f>SUM(Q33:Q38)</f>
        <v>0.40640000000000009</v>
      </c>
    </row>
    <row r="40" spans="1:17">
      <c r="A40" s="32" t="s">
        <v>71</v>
      </c>
      <c r="B40" s="33">
        <f>COVAR(DT!L4:L1004,DT!X4:X1004)^2</f>
        <v>0.7744000000000002</v>
      </c>
      <c r="D40" s="34" t="s">
        <v>85</v>
      </c>
      <c r="E40" s="41">
        <f>E30+SQRT((4/3)*2*E39)/(16*(Results!M4))</f>
        <v>0.62007990614469644</v>
      </c>
      <c r="G40" s="34" t="s">
        <v>85</v>
      </c>
      <c r="H40" s="41">
        <f>H30+SQRT((4/3)*2*H39)/(16*(Results!M5))</f>
        <v>0.41042678088928708</v>
      </c>
      <c r="J40" s="34" t="s">
        <v>85</v>
      </c>
      <c r="K40" s="41">
        <f>K30+SQRT((4/3)*2*K39)/(16*(Results!M6))</f>
        <v>4.50065149744443E-2</v>
      </c>
      <c r="M40" s="34" t="s">
        <v>85</v>
      </c>
      <c r="N40" s="41">
        <f>N30+SQRT((4/3)*2*N39)/(16*(Results!M7))</f>
        <v>-0.31114850334013799</v>
      </c>
      <c r="P40" s="34" t="s">
        <v>85</v>
      </c>
      <c r="Q40" s="41">
        <f>Q30+SQRT((4/3)*2*Q39)/(16*(Results!M8))</f>
        <v>0.3545786102238952</v>
      </c>
    </row>
    <row r="41" spans="1:17">
      <c r="A41" s="32" t="s">
        <v>73</v>
      </c>
      <c r="B41" s="33">
        <f>COVAR(DT!L4:L1004,DT!Y4:Y1004)^2</f>
        <v>4.0000000000000008E-2</v>
      </c>
    </row>
    <row r="42" spans="1:17">
      <c r="A42" s="32" t="s">
        <v>75</v>
      </c>
      <c r="B42" s="33">
        <f>COVAR(DT!N4:N1004,DT!P4:P1004)^2</f>
        <v>0.12959999999999999</v>
      </c>
    </row>
    <row r="43" spans="1:17">
      <c r="A43" s="32" t="s">
        <v>76</v>
      </c>
      <c r="B43" s="33">
        <f>COVAR(DT!N4:N1004,DT!X4:X1004)^2</f>
        <v>2.5600000000000001E-2</v>
      </c>
    </row>
    <row r="44" spans="1:17">
      <c r="A44" s="32" t="s">
        <v>77</v>
      </c>
      <c r="B44" s="33">
        <f>COVAR(DT!N4:N1004,DT!Y4:Y1004)^2</f>
        <v>0.36</v>
      </c>
    </row>
    <row r="45" spans="1:17">
      <c r="A45" s="32" t="s">
        <v>78</v>
      </c>
      <c r="B45" s="33">
        <f>COVAR(DT!P4:P1004,DT!X4:X1004)^2</f>
        <v>0.12959999999999999</v>
      </c>
    </row>
    <row r="46" spans="1:17">
      <c r="A46" s="32" t="s">
        <v>79</v>
      </c>
      <c r="B46" s="33">
        <f>COVAR(DT!P4:P1004,DT!Y4:Y1004)^2</f>
        <v>4.0000000000000008E-2</v>
      </c>
    </row>
    <row r="47" spans="1:17">
      <c r="A47" s="32" t="s">
        <v>80</v>
      </c>
      <c r="B47" s="33">
        <f>COVAR(DT!X4:X1004,DT!Y4:Y1004)^2</f>
        <v>0.36</v>
      </c>
    </row>
    <row r="48" spans="1:17">
      <c r="A48" s="32" t="s">
        <v>84</v>
      </c>
      <c r="B48" s="6">
        <f>SUM(B33:B47)</f>
        <v>3.0032000000000001</v>
      </c>
    </row>
    <row r="49" spans="1:2">
      <c r="A49" s="34" t="s">
        <v>85</v>
      </c>
      <c r="B49" s="41">
        <f>B30+SQRT((6/5)*2*B48)/(36*(Results!M3))</f>
        <v>0.43189304519114208</v>
      </c>
    </row>
  </sheetData>
  <sheetProtection algorithmName="SHA-512" hashValue="Ksam9mZoYM3IjcC4sDO5qMwzworqll0+k1MGED12uC4n1eI42QdmbHIlP/13gJB73Ro1DtCsngtAV/03VwcjUg==" saltValue="XoFiI3Xgm2mQLdIokoc5ww==" spinCount="100000" sheet="1" objects="1" scenarios="1"/>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J3" sqref="J3"/>
    </sheetView>
  </sheetViews>
  <sheetFormatPr defaultColWidth="9.1796875" defaultRowHeight="14.5"/>
  <cols>
    <col min="1" max="2" width="18.1796875" customWidth="1"/>
    <col min="3" max="3" width="26.81640625" customWidth="1"/>
    <col min="4" max="4" width="41.26953125" customWidth="1"/>
    <col min="5" max="5" width="20.1796875" customWidth="1"/>
    <col min="6" max="6" width="10.7265625" customWidth="1"/>
    <col min="7" max="8" width="15.7265625" customWidth="1"/>
  </cols>
  <sheetData>
    <row r="1" spans="1:8" ht="128.5" customHeight="1">
      <c r="A1" s="167" t="s">
        <v>86</v>
      </c>
      <c r="B1" s="168"/>
      <c r="C1" s="168"/>
      <c r="D1" s="168"/>
      <c r="E1" s="168"/>
      <c r="F1" s="168"/>
      <c r="G1" s="168"/>
      <c r="H1" s="168"/>
    </row>
    <row r="2" spans="1:8">
      <c r="A2" s="110" t="s">
        <v>18</v>
      </c>
      <c r="B2" s="111" t="s">
        <v>12</v>
      </c>
      <c r="C2" s="111" t="s">
        <v>87</v>
      </c>
      <c r="D2" s="111" t="s">
        <v>88</v>
      </c>
    </row>
    <row r="3" spans="1:8">
      <c r="A3" s="14" t="str">
        <f>VLOOKUP(Read_First!B5,Items!A1:BI50,54,FALSE)</f>
        <v>Daya tarik</v>
      </c>
      <c r="B3" s="50">
        <f>Results!L3</f>
        <v>0.59999999999999987</v>
      </c>
      <c r="C3" s="13" t="str">
        <f>IF(B3&gt;1.86,"Excellent",IF(B3&gt;1.6,"Good",IF(B3&gt;1.19,"Above average",IF(B3&gt;0.7,"Below average","Bad"))))</f>
        <v>Bad</v>
      </c>
      <c r="D3" t="str">
        <f>IF(B3&gt;1.83,"In the range of the 10% best results",IF(B3&gt;1.56,"10% of results better, 75% of results worse",IF(B3&gt;1.17,"25% of results better, 50% of results worse",IF(B3&gt;0.7,"50% of results better, 25% of results worse","In the range of the 25% worst results"))))</f>
        <v>In the range of the 25% worst results</v>
      </c>
    </row>
    <row r="4" spans="1:8">
      <c r="A4" s="14" t="str">
        <f>VLOOKUP(Read_First!B5,Items!A1:BI50,55,FALSE)</f>
        <v>Kejelasan</v>
      </c>
      <c r="B4" s="50">
        <f>Results!L4</f>
        <v>0.95</v>
      </c>
      <c r="C4" s="13" t="str">
        <f>IF(B4&gt;2.03,"Excellent",IF(B4&gt;1.77,"Good",IF(B4&gt;1.25,"Above Average",IF(B4&gt;0.75,"Below Average","Bad"))))</f>
        <v>Below Average</v>
      </c>
      <c r="D4" t="str">
        <f>IF(B4&gt;2,"In the range of the 10% best results",IF(B4&gt;1.73,"10% of results better, 75% of results worse",IF(B4&gt;1.25,"25% of results better, 50% of results worse",IF(B4&gt;0.71,"50% of results better, 25% of results worse","In the range of the 25% worst results"))))</f>
        <v>50% of results better, 25% of results worse</v>
      </c>
    </row>
    <row r="5" spans="1:8">
      <c r="A5" s="14" t="str">
        <f>VLOOKUP(Read_First!B5,Items!A1:BI50,56,FALSE)</f>
        <v>Efisiensi</v>
      </c>
      <c r="B5" s="50">
        <f>Results!L5</f>
        <v>0</v>
      </c>
      <c r="C5" s="13" t="str">
        <f>IF(B5&gt;1.9,"Excellent",IF(B5&gt;1.5,"Good",IF(B5&gt;1.06,"Above Average",IF(B5&gt;0.6,"Below Average","Bad"))))</f>
        <v>Bad</v>
      </c>
      <c r="D5" t="str">
        <f>IF(B5&gt;1.8,"In the range of the 10% best results",IF(B5&gt;1.48,"10% of results better, 75% of results worse",IF(B5&gt;1.05,"25% of results better, 50% of results worse",IF(B5&gt;0.57,"50% of results better, 25% of results worse","In the range of the 25% worst results"))))</f>
        <v>In the range of the 25% worst results</v>
      </c>
    </row>
    <row r="6" spans="1:8">
      <c r="A6" s="15" t="str">
        <f>VLOOKUP(Read_First!B5,Items!A1:BI50,57,FALSE)</f>
        <v>Ketepatan</v>
      </c>
      <c r="B6" s="50">
        <f>Results!L6</f>
        <v>0.35</v>
      </c>
      <c r="C6" s="13" t="str">
        <f>IF(B6&gt;1.7,"Excellent",IF(B6&gt;1.47,"Good",IF(B6&gt;1.15,"Above Average",IF(B6&gt;0.78,"Below Average","Bad"))))</f>
        <v>Bad</v>
      </c>
      <c r="D6"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spans="1:8">
      <c r="A7" s="15" t="str">
        <f>VLOOKUP(Read_First!B5,Items!A1:BI50,58,FALSE)</f>
        <v>Stimulasi</v>
      </c>
      <c r="B7" s="50">
        <f>Results!L7</f>
        <v>-0.05</v>
      </c>
      <c r="C7" s="13" t="str">
        <f>IF(B7&gt;1.7,"Excellent",IF(B7&gt;1.35,"Good",IF(B7&gt;1,"Above Average",IF(B7&gt;0.5,"Below Average","Bad"))))</f>
        <v>Bad</v>
      </c>
      <c r="D7" t="str">
        <f>IF(B7&gt;1.7,"In the range of the 10% best results",IF(B7&gt;1.34,"10% of results better, 75% of results worse",IF(B7&gt;1,"25% of results better, 50% of results worse",IF(B7&gt;0.5,"50% of results better, 25% of results worse","In the range of the 25% worst results"))))</f>
        <v>In the range of the 25% worst results</v>
      </c>
    </row>
    <row r="8" spans="1:8">
      <c r="A8" s="14" t="str">
        <f>VLOOKUP(Read_First!B5,Items!A1:BI50,59,FALSE)</f>
        <v>Kebaruan</v>
      </c>
      <c r="B8" s="50">
        <f>Results!L8</f>
        <v>0.75</v>
      </c>
      <c r="C8" s="13" t="str">
        <f>IF(B8&gt;1.61,"Excellent",IF(B8&gt;1.14,"Good",IF(B8&gt;0.75,"Above Average",IF(B8&gt;0.25,"Below Average","Bad"))))</f>
        <v>Below Average</v>
      </c>
      <c r="D8" t="str">
        <f>IF(B8&gt;1.61,"In the range of the 10% best results",IF(B8&gt;1.12,"10% of results better, 75% of results worse",IF(B8&gt;0.77,"25% of results better, 50% of results worse",IF(B8&gt;0.25,"50% of results better, 25% of results worse","In the range of the 25% worst results"))))</f>
        <v>50% of results better, 25% of results worse</v>
      </c>
    </row>
    <row r="26" spans="1:8">
      <c r="A26" s="169" t="s">
        <v>89</v>
      </c>
      <c r="B26" s="169"/>
      <c r="C26" s="169"/>
      <c r="D26" s="169"/>
      <c r="E26" s="169"/>
      <c r="F26" s="169"/>
      <c r="G26" s="169"/>
      <c r="H26" s="169"/>
    </row>
    <row r="27" spans="1:8" s="17" customFormat="1">
      <c r="A27" s="16" t="s">
        <v>18</v>
      </c>
      <c r="B27" s="16" t="s">
        <v>90</v>
      </c>
      <c r="C27" s="16" t="s">
        <v>91</v>
      </c>
      <c r="D27" s="16" t="s">
        <v>92</v>
      </c>
      <c r="E27" s="16" t="s">
        <v>93</v>
      </c>
      <c r="F27" s="16" t="s">
        <v>94</v>
      </c>
      <c r="G27" s="16" t="s">
        <v>95</v>
      </c>
      <c r="H27" s="16" t="s">
        <v>12</v>
      </c>
    </row>
    <row r="28" spans="1:8">
      <c r="A28" s="14" t="str">
        <f>VLOOKUP(Read_First!B5,Items!A1:BI50,54,FALSE)</f>
        <v>Daya tarik</v>
      </c>
      <c r="B28" s="27">
        <v>-1</v>
      </c>
      <c r="C28" s="28">
        <v>0.7</v>
      </c>
      <c r="D28" s="28">
        <v>0.49</v>
      </c>
      <c r="E28" s="28">
        <v>0.41</v>
      </c>
      <c r="F28" s="28">
        <v>0.26</v>
      </c>
      <c r="G28" s="28">
        <v>0.64</v>
      </c>
      <c r="H28" s="51">
        <f>Results!L3</f>
        <v>0.59999999999999987</v>
      </c>
    </row>
    <row r="29" spans="1:8">
      <c r="A29" s="14" t="str">
        <f>VLOOKUP(Read_First!B5,Items!A1:BI50,55,FALSE)</f>
        <v>Kejelasan</v>
      </c>
      <c r="B29" s="27">
        <v>-1</v>
      </c>
      <c r="C29" s="28">
        <v>0.75</v>
      </c>
      <c r="D29" s="28">
        <v>0.5</v>
      </c>
      <c r="E29" s="28">
        <v>0.52</v>
      </c>
      <c r="F29" s="28">
        <v>0.26</v>
      </c>
      <c r="G29" s="28">
        <v>0.47</v>
      </c>
      <c r="H29" s="51">
        <f>Results!L4</f>
        <v>0.95</v>
      </c>
    </row>
    <row r="30" spans="1:8">
      <c r="A30" s="14" t="str">
        <f>VLOOKUP(Read_First!B5,Items!A1:BI50,56,FALSE)</f>
        <v>Efisiensi</v>
      </c>
      <c r="B30" s="27">
        <v>-1</v>
      </c>
      <c r="C30" s="28">
        <v>0.6</v>
      </c>
      <c r="D30" s="28">
        <v>0.44</v>
      </c>
      <c r="E30" s="28">
        <v>0.44</v>
      </c>
      <c r="F30" s="28">
        <v>0.4</v>
      </c>
      <c r="G30" s="28">
        <v>0.6</v>
      </c>
      <c r="H30" s="51">
        <f>Results!L5</f>
        <v>0</v>
      </c>
    </row>
    <row r="31" spans="1:8">
      <c r="A31" s="15" t="str">
        <f>VLOOKUP(Read_First!B5,Items!A1:BI50,57,FALSE)</f>
        <v>Ketepatan</v>
      </c>
      <c r="B31" s="27">
        <v>-1</v>
      </c>
      <c r="C31" s="28">
        <v>0.78</v>
      </c>
      <c r="D31" s="28">
        <v>0.37</v>
      </c>
      <c r="E31" s="28">
        <v>0.33</v>
      </c>
      <c r="F31" s="28">
        <v>0.23</v>
      </c>
      <c r="G31" s="28">
        <v>0.8</v>
      </c>
      <c r="H31" s="51">
        <f>Results!L6</f>
        <v>0.35</v>
      </c>
    </row>
    <row r="32" spans="1:8">
      <c r="A32" s="15" t="str">
        <f>VLOOKUP(Read_First!B5,Items!A1:BI50,58,FALSE)</f>
        <v>Stimulasi</v>
      </c>
      <c r="B32" s="27">
        <v>-1</v>
      </c>
      <c r="C32" s="28">
        <v>0.5</v>
      </c>
      <c r="D32" s="28">
        <v>0.5</v>
      </c>
      <c r="E32" s="28">
        <v>0.35</v>
      </c>
      <c r="F32" s="28">
        <v>0.35</v>
      </c>
      <c r="G32" s="28">
        <v>0.8</v>
      </c>
      <c r="H32" s="51">
        <f>Results!L7</f>
        <v>-0.05</v>
      </c>
    </row>
    <row r="33" spans="1:8">
      <c r="A33" s="14" t="str">
        <f>VLOOKUP(Read_First!B5,Items!A1:BI50,59,FALSE)</f>
        <v>Kebaruan</v>
      </c>
      <c r="B33" s="27">
        <v>-1</v>
      </c>
      <c r="C33" s="28">
        <v>0.25</v>
      </c>
      <c r="D33" s="28">
        <v>0.5</v>
      </c>
      <c r="E33" s="28">
        <v>0.39</v>
      </c>
      <c r="F33" s="28">
        <v>0.47</v>
      </c>
      <c r="G33" s="28">
        <v>0.89</v>
      </c>
      <c r="H33" s="51">
        <f>Results!L8</f>
        <v>0.75</v>
      </c>
    </row>
  </sheetData>
  <sheetProtection algorithmName="SHA-512" hashValue="Ig6aRyTbz3bEv9T4b7pXcqahE6+IPSdpZmShYjO925OCPRoT7NVL0HY4SUmIAwvc6QJsE/1zSDfoPoMpjqGjFw==" saltValue="lGArxsYPzh4aUzUPC8Pamw==" spinCount="100000" sheet="1" objects="1" scenarios="1"/>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796875" defaultRowHeight="14.5"/>
  <cols>
    <col min="1" max="26" width="3.7265625" style="1" customWidth="1"/>
    <col min="29" max="35" width="13.7265625" style="1" customWidth="1"/>
  </cols>
  <sheetData>
    <row r="1" spans="1:35" ht="192.75" customHeight="1">
      <c r="A1" s="146" t="s">
        <v>96</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C1" s="29"/>
      <c r="AD1" s="30"/>
      <c r="AE1" s="30"/>
      <c r="AF1" s="30"/>
      <c r="AG1" s="30"/>
      <c r="AH1" s="31"/>
      <c r="AI1" s="1" t="s">
        <v>97</v>
      </c>
    </row>
    <row r="2" spans="1:35">
      <c r="A2" s="149" t="s">
        <v>7</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98</v>
      </c>
      <c r="AD2" s="145"/>
      <c r="AE2" s="145"/>
      <c r="AF2" s="145"/>
      <c r="AG2" s="145"/>
      <c r="AH2" s="145"/>
      <c r="AI2" s="145"/>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Daya tarik</v>
      </c>
      <c r="AD3" s="99" t="str">
        <f>VLOOKUP(Read_First!B5,Items!A1:BI50,55,FALSE)</f>
        <v>Kejelasan</v>
      </c>
      <c r="AE3" s="99" t="str">
        <f>VLOOKUP(Read_First!B5,Items!A1:BI50,56,FALSE)</f>
        <v>Efisiensi</v>
      </c>
      <c r="AF3" s="100" t="str">
        <f>VLOOKUP(Read_First!B5,Items!A1:BI50,57,FALSE)</f>
        <v>Ketepatan</v>
      </c>
      <c r="AG3" s="100" t="str">
        <f>VLOOKUP(Read_First!B5,Items!A1:BI50,58,FALSE)</f>
        <v>Stimulasi</v>
      </c>
      <c r="AH3" s="100" t="str">
        <f>VLOOKUP(Read_First!B5,Items!A1:BI50,59,FALSE)</f>
        <v>Kebaruan</v>
      </c>
      <c r="AI3" s="112" t="s">
        <v>99</v>
      </c>
    </row>
    <row r="4" spans="1:35">
      <c r="A4" s="55">
        <f>IF(Data!A4&gt;0,Data!A4-4,"")</f>
        <v>1</v>
      </c>
      <c r="B4" s="55">
        <f>IF(Data!B4&gt;0,Data!B4-4,"")</f>
        <v>2</v>
      </c>
      <c r="C4" s="55">
        <f>IF(Data!C4&gt;0,4-Data!C4,"")</f>
        <v>3</v>
      </c>
      <c r="D4" s="55">
        <f>IF(Data!D4&gt;0,4-Data!D4,"")</f>
        <v>1</v>
      </c>
      <c r="E4" s="55">
        <f>IF(Data!E4&gt;0,4-Data!E4,"")</f>
        <v>3</v>
      </c>
      <c r="F4" s="55">
        <f>IF(Data!F4&gt;0,Data!F4-4,"")</f>
        <v>-3</v>
      </c>
      <c r="G4" s="55">
        <f>IF(Data!G4&gt;0,Data!G4-4,"")</f>
        <v>-3</v>
      </c>
      <c r="H4" s="55">
        <f>IF(Data!H4&gt;0,Data!H4-4,"")</f>
        <v>0</v>
      </c>
      <c r="I4" s="55">
        <f>IF(Data!I4&gt;0,4-Data!I4,"")</f>
        <v>2</v>
      </c>
      <c r="J4" s="55">
        <f>IF(Data!J4&gt;0,4-Data!J4,"")</f>
        <v>2</v>
      </c>
      <c r="K4" s="55">
        <f>IF(Data!K4&gt;0,Data!K4-4,"")</f>
        <v>-3</v>
      </c>
      <c r="L4" s="55">
        <f>IF(Data!L4&gt;0,4-Data!L4,"")</f>
        <v>3</v>
      </c>
      <c r="M4" s="55">
        <f>IF(Data!M4&gt;0,Data!M4-4,"")</f>
        <v>-1</v>
      </c>
      <c r="N4" s="55">
        <f>IF(Data!N4&gt;0,Data!N4-4,"")</f>
        <v>-1</v>
      </c>
      <c r="O4" s="55">
        <f>IF(Data!O4&gt;0,Data!O4-4,"")</f>
        <v>2</v>
      </c>
      <c r="P4" s="55">
        <f>IF(Data!P4&gt;0,Data!P4-4,"")</f>
        <v>-1</v>
      </c>
      <c r="Q4" s="55">
        <f>IF(Data!Q4&gt;0,4-Data!Q4,"")</f>
        <v>2</v>
      </c>
      <c r="R4" s="1">
        <f>IF(Data!R4&gt;0,4-Data!R4,"")</f>
        <v>2</v>
      </c>
      <c r="S4" s="55">
        <f>IF(Data!S4&gt;0,4-Data!S4,"")</f>
        <v>3</v>
      </c>
      <c r="T4" s="55">
        <f>IF(Data!T4&gt;0,Data!T4-4,"")</f>
        <v>-1</v>
      </c>
      <c r="U4" s="55">
        <f>IF(Data!U4&gt;0,4-Data!U4,"")</f>
        <v>1</v>
      </c>
      <c r="V4" s="55">
        <f>IF(Data!V4&gt;0,Data!V4-4,"")</f>
        <v>-3</v>
      </c>
      <c r="W4" s="55">
        <f>IF(Data!W4&gt;0,4-Data!W4,"")</f>
        <v>3</v>
      </c>
      <c r="X4" s="55">
        <f>IF(Data!X4&gt;0,4-Data!X4,"")</f>
        <v>3</v>
      </c>
      <c r="Y4" s="55">
        <f>IF(Data!Y4&gt;0,4-Data!Y4,"")</f>
        <v>3</v>
      </c>
      <c r="Z4" s="55">
        <f>IF(Data!Z4&gt;0,Data!Z4-4,"")</f>
        <v>-3</v>
      </c>
      <c r="AC4" s="60">
        <f>IF((MAX(A4,L4,N4,P4,X4,Y4)-MIN(A4,L4,N4,P4,X4,Y4))&gt;3,1,"")</f>
        <v>1</v>
      </c>
      <c r="AD4" s="60" t="str">
        <f t="shared" ref="AD4" si="0">IF((MAX(B4,D4,M4,U4)-MIN(B4,D4,M4,U4))&gt;3,1,"")</f>
        <v/>
      </c>
      <c r="AE4" s="60">
        <f t="shared" ref="AE4" si="1">IF((MAX(I4,T4,V4,W4)-MIN(I4,T4,V4,W4))&gt;3,1,"")</f>
        <v>1</v>
      </c>
      <c r="AF4" s="60">
        <f t="shared" ref="AF4" si="2">IF((MAX(H4,K4,Q4,S4)-MIN(H4,K4,Q4,S4))&gt;3,1,"")</f>
        <v>1</v>
      </c>
      <c r="AG4" s="60">
        <f>IF((MAX(E4,F4,G4,R4)-MIN(E4,F4,G4,R4))&gt;3,1,"")</f>
        <v>1</v>
      </c>
      <c r="AH4" s="60">
        <f t="shared" ref="AH4" si="3">IF((MAX(C4,J4,O4,Z4)-MIN(C4,J4,O4,Z4))&gt;3,1,"")</f>
        <v>1</v>
      </c>
      <c r="AI4" s="58">
        <f>IF(COUNT(A4:Z4)&gt;0,IF(COUNT(AC4,AD4,AE4,AF4,AG4,AH4)&gt;0,SUM(AC4,AD4,AE4,AF4,AG4,AH4),0),"")</f>
        <v>5</v>
      </c>
    </row>
    <row r="5" spans="1:35">
      <c r="A5" s="1">
        <f>IF(Data!A5&gt;0,Data!A5-4,"")</f>
        <v>2</v>
      </c>
      <c r="B5" s="1">
        <f>IF(Data!B5&gt;0,Data!B5-4,"")</f>
        <v>3</v>
      </c>
      <c r="C5" s="1">
        <f>IF(Data!C5&gt;0,4-Data!C5,"")</f>
        <v>1</v>
      </c>
      <c r="D5" s="1">
        <f>IF(Data!D5&gt;0,4-Data!D5,"")</f>
        <v>1</v>
      </c>
      <c r="E5" s="1">
        <f>IF(Data!E5&gt;0,4-Data!E5,"")</f>
        <v>0</v>
      </c>
      <c r="F5" s="1">
        <f>IF(Data!F5&gt;0,Data!F5-4,"")</f>
        <v>-2</v>
      </c>
      <c r="G5" s="1">
        <f>IF(Data!G5&gt;0,Data!G5-4,"")</f>
        <v>-3</v>
      </c>
      <c r="H5" s="1">
        <f>IF(Data!H5&gt;0,Data!H5-4,"")</f>
        <v>2</v>
      </c>
      <c r="I5" s="1">
        <f>IF(Data!I5&gt;0,4-Data!I5,"")</f>
        <v>1</v>
      </c>
      <c r="J5" s="1">
        <f>IF(Data!J5&gt;0,4-Data!J5,"")</f>
        <v>1</v>
      </c>
      <c r="K5" s="1">
        <f>IF(Data!K5&gt;0,Data!K5-4,"")</f>
        <v>-3</v>
      </c>
      <c r="L5" s="1">
        <f>IF(Data!L5&gt;0,4-Data!L5,"")</f>
        <v>2</v>
      </c>
      <c r="M5" s="1">
        <f>IF(Data!M5&gt;0,Data!M5-4,"")</f>
        <v>-3</v>
      </c>
      <c r="N5" s="1">
        <f>IF(Data!N5&gt;0,Data!N5-4,"")</f>
        <v>-1</v>
      </c>
      <c r="O5" s="1">
        <f>IF(Data!O5&gt;0,Data!O5-4,"")</f>
        <v>1</v>
      </c>
      <c r="P5" s="1">
        <f>IF(Data!P5&gt;0,Data!P5-4,"")</f>
        <v>-1</v>
      </c>
      <c r="Q5" s="1">
        <f>IF(Data!Q5&gt;0,4-Data!Q5,"")</f>
        <v>1</v>
      </c>
      <c r="R5" s="1">
        <f>IF(Data!R5&gt;0,4-Data!R5,"")</f>
        <v>3</v>
      </c>
      <c r="S5" s="1">
        <f>IF(Data!S5&gt;0,4-Data!S5,"")</f>
        <v>1</v>
      </c>
      <c r="T5" s="1">
        <f>IF(Data!T5&gt;0,Data!T5-4,"")</f>
        <v>-3</v>
      </c>
      <c r="U5" s="1">
        <f>IF(Data!U5&gt;0,4-Data!U5,"")</f>
        <v>1</v>
      </c>
      <c r="V5" s="1">
        <f>IF(Data!V5&gt;0,Data!V5-4,"")</f>
        <v>-1</v>
      </c>
      <c r="W5" s="1">
        <f>IF(Data!W5&gt;0,4-Data!W5,"")</f>
        <v>2</v>
      </c>
      <c r="X5" s="1">
        <f>IF(Data!X5&gt;0,4-Data!X5,"")</f>
        <v>0</v>
      </c>
      <c r="Y5" s="1">
        <f>IF(Data!Y5&gt;0,4-Data!Y5,"")</f>
        <v>1</v>
      </c>
      <c r="Z5" s="1">
        <f>IF(Data!Z5&gt;0,Data!Z5-4,"")</f>
        <v>-2</v>
      </c>
      <c r="AC5" s="4" t="str">
        <f t="shared" ref="AC5:AC13" si="4">IF((MAX(A5,L5,N5,P5,X5,Y5)-MIN(A5,L5,N5,P5,X5,Y5))&gt;3,1,"")</f>
        <v/>
      </c>
      <c r="AD5" s="4">
        <f t="shared" ref="AD5:AD13" si="5">IF((MAX(B5,D5,M5,U5)-MIN(B5,D5,M5,U5))&gt;3,1,"")</f>
        <v>1</v>
      </c>
      <c r="AE5" s="4">
        <f t="shared" ref="AE5:AE13" si="6">IF((MAX(I5,T5,V5,W5)-MIN(I5,T5,V5,W5))&gt;3,1,"")</f>
        <v>1</v>
      </c>
      <c r="AF5" s="4">
        <f t="shared" ref="AF5:AF13" si="7">IF((MAX(H5,K5,Q5,S5)-MIN(H5,K5,Q5,S5))&gt;3,1,"")</f>
        <v>1</v>
      </c>
      <c r="AG5" s="4">
        <f t="shared" ref="AG5:AG68" si="8">IF((MAX(E5,F5,G5,R5)-MIN(E5,F5,G5,R5))&gt;3,1,"")</f>
        <v>1</v>
      </c>
      <c r="AH5" s="4" t="str">
        <f t="shared" ref="AH5:AH13" si="9">IF((MAX(C5,J5,O5,Z5)-MIN(C5,J5,O5,Z5))&gt;3,1,"")</f>
        <v/>
      </c>
      <c r="AI5" s="2">
        <f t="shared" ref="AI5:AI68" si="10">IF(COUNT(A5:Z5)&gt;0,IF(COUNT(AC5,AD5,AE5,AF5,AG5,AH5)&gt;0,SUM(AC5,AD5,AE5,AF5,AG5,AH5),0),"")</f>
        <v>4</v>
      </c>
    </row>
    <row r="6" spans="1:35">
      <c r="A6" s="1">
        <f>IF(Data!A6&gt;0,Data!A6-4,"")</f>
        <v>1</v>
      </c>
      <c r="B6" s="1">
        <f>IF(Data!B6&gt;0,Data!B6-4,"")</f>
        <v>1</v>
      </c>
      <c r="C6" s="1">
        <f>IF(Data!C6&gt;0,4-Data!C6,"")</f>
        <v>3</v>
      </c>
      <c r="D6" s="1">
        <f>IF(Data!D6&gt;0,4-Data!D6,"")</f>
        <v>3</v>
      </c>
      <c r="E6" s="1">
        <f>IF(Data!E6&gt;0,4-Data!E6,"")</f>
        <v>1</v>
      </c>
      <c r="F6" s="1">
        <f>IF(Data!F6&gt;0,Data!F6-4,"")</f>
        <v>-1</v>
      </c>
      <c r="G6" s="1">
        <f>IF(Data!G6&gt;0,Data!G6-4,"")</f>
        <v>-3</v>
      </c>
      <c r="H6" s="1">
        <f>IF(Data!H6&gt;0,Data!H6-4,"")</f>
        <v>0</v>
      </c>
      <c r="I6" s="1">
        <f>IF(Data!I6&gt;0,4-Data!I6,"")</f>
        <v>2</v>
      </c>
      <c r="J6" s="1">
        <f>IF(Data!J6&gt;0,4-Data!J6,"")</f>
        <v>3</v>
      </c>
      <c r="K6" s="1">
        <f>IF(Data!K6&gt;0,Data!K6-4,"")</f>
        <v>-3</v>
      </c>
      <c r="L6" s="1">
        <f>IF(Data!L6&gt;0,4-Data!L6,"")</f>
        <v>0</v>
      </c>
      <c r="M6" s="1">
        <f>IF(Data!M6&gt;0,Data!M6-4,"")</f>
        <v>-1</v>
      </c>
      <c r="N6" s="1">
        <f>IF(Data!N6&gt;0,Data!N6-4,"")</f>
        <v>-2</v>
      </c>
      <c r="O6" s="1">
        <f>IF(Data!O6&gt;0,Data!O6-4,"")</f>
        <v>0</v>
      </c>
      <c r="P6" s="1">
        <f>IF(Data!P6&gt;0,Data!P6-4,"")</f>
        <v>-1</v>
      </c>
      <c r="Q6" s="1">
        <f>IF(Data!Q6&gt;0,4-Data!Q6,"")</f>
        <v>1</v>
      </c>
      <c r="R6" s="1">
        <f>IF(Data!R6&gt;0,4-Data!R6,"")</f>
        <v>3</v>
      </c>
      <c r="S6" s="1">
        <f>IF(Data!S6&gt;0,4-Data!S6,"")</f>
        <v>1</v>
      </c>
      <c r="T6" s="1">
        <f>IF(Data!T6&gt;0,Data!T6-4,"")</f>
        <v>-2</v>
      </c>
      <c r="U6" s="1">
        <f>IF(Data!U6&gt;0,4-Data!U6,"")</f>
        <v>2</v>
      </c>
      <c r="V6" s="1">
        <f>IF(Data!V6&gt;0,Data!V6-4,"")</f>
        <v>-2</v>
      </c>
      <c r="W6" s="1">
        <f>IF(Data!W6&gt;0,4-Data!W6,"")</f>
        <v>2</v>
      </c>
      <c r="X6" s="1">
        <f>IF(Data!X6&gt;0,4-Data!X6,"")</f>
        <v>0</v>
      </c>
      <c r="Y6" s="1">
        <f>IF(Data!Y6&gt;0,4-Data!Y6,"")</f>
        <v>2</v>
      </c>
      <c r="Z6" s="1">
        <f>IF(Data!Z6&gt;0,Data!Z6-4,"")</f>
        <v>-2</v>
      </c>
      <c r="AC6" s="4">
        <f t="shared" si="4"/>
        <v>1</v>
      </c>
      <c r="AD6" s="4">
        <f t="shared" si="5"/>
        <v>1</v>
      </c>
      <c r="AE6" s="4">
        <f t="shared" si="6"/>
        <v>1</v>
      </c>
      <c r="AF6" s="4">
        <f t="shared" si="7"/>
        <v>1</v>
      </c>
      <c r="AG6" s="4">
        <f t="shared" si="8"/>
        <v>1</v>
      </c>
      <c r="AH6" s="4">
        <f t="shared" si="9"/>
        <v>1</v>
      </c>
      <c r="AI6" s="2">
        <f t="shared" si="10"/>
        <v>6</v>
      </c>
    </row>
    <row r="7" spans="1:35">
      <c r="A7" s="1">
        <f>IF(Data!A7&gt;0,Data!A7-4,"")</f>
        <v>0</v>
      </c>
      <c r="B7" s="1">
        <f>IF(Data!B7&gt;0,Data!B7-4,"")</f>
        <v>1</v>
      </c>
      <c r="C7" s="1">
        <f>IF(Data!C7&gt;0,4-Data!C7,"")</f>
        <v>2</v>
      </c>
      <c r="D7" s="1">
        <f>IF(Data!D7&gt;0,4-Data!D7,"")</f>
        <v>2</v>
      </c>
      <c r="E7" s="1">
        <f>IF(Data!E7&gt;0,4-Data!E7,"")</f>
        <v>1</v>
      </c>
      <c r="F7" s="1">
        <f>IF(Data!F7&gt;0,Data!F7-4,"")</f>
        <v>-1</v>
      </c>
      <c r="G7" s="1">
        <f>IF(Data!G7&gt;0,Data!G7-4,"")</f>
        <v>-1</v>
      </c>
      <c r="H7" s="1">
        <f>IF(Data!H7&gt;0,Data!H7-4,"")</f>
        <v>2</v>
      </c>
      <c r="I7" s="1">
        <f>IF(Data!I7&gt;0,4-Data!I7,"")</f>
        <v>3</v>
      </c>
      <c r="J7" s="1">
        <f>IF(Data!J7&gt;0,4-Data!J7,"")</f>
        <v>2</v>
      </c>
      <c r="K7" s="1">
        <f>IF(Data!K7&gt;0,Data!K7-4,"")</f>
        <v>-3</v>
      </c>
      <c r="L7" s="1">
        <f>IF(Data!L7&gt;0,4-Data!L7,"")</f>
        <v>2</v>
      </c>
      <c r="M7" s="1">
        <f>IF(Data!M7&gt;0,Data!M7-4,"")</f>
        <v>-2</v>
      </c>
      <c r="N7" s="1">
        <f>IF(Data!N7&gt;0,Data!N7-4,"")</f>
        <v>0</v>
      </c>
      <c r="O7" s="1">
        <f>IF(Data!O7&gt;0,Data!O7-4,"")</f>
        <v>0</v>
      </c>
      <c r="P7" s="1">
        <f>IF(Data!P7&gt;0,Data!P7-4,"")</f>
        <v>-2</v>
      </c>
      <c r="Q7" s="1">
        <f>IF(Data!Q7&gt;0,4-Data!Q7,"")</f>
        <v>0</v>
      </c>
      <c r="R7" s="1">
        <f>IF(Data!R7&gt;0,4-Data!R7,"")</f>
        <v>2</v>
      </c>
      <c r="S7" s="1">
        <f>IF(Data!S7&gt;0,4-Data!S7,"")</f>
        <v>3</v>
      </c>
      <c r="T7" s="1">
        <f>IF(Data!T7&gt;0,Data!T7-4,"")</f>
        <v>-2</v>
      </c>
      <c r="U7" s="1">
        <f>IF(Data!U7&gt;0,4-Data!U7,"")</f>
        <v>1</v>
      </c>
      <c r="V7" s="1">
        <f>IF(Data!V7&gt;0,Data!V7-4,"")</f>
        <v>-1</v>
      </c>
      <c r="W7" s="1">
        <f>IF(Data!W7&gt;0,4-Data!W7,"")</f>
        <v>2</v>
      </c>
      <c r="X7" s="1">
        <f>IF(Data!X7&gt;0,4-Data!X7,"")</f>
        <v>2</v>
      </c>
      <c r="Y7" s="1">
        <f>IF(Data!Y7&gt;0,4-Data!Y7,"")</f>
        <v>1</v>
      </c>
      <c r="Z7" s="1">
        <f>IF(Data!Z7&gt;0,Data!Z7-4,"")</f>
        <v>-3</v>
      </c>
      <c r="AC7" s="4">
        <f t="shared" si="4"/>
        <v>1</v>
      </c>
      <c r="AD7" s="4">
        <f t="shared" si="5"/>
        <v>1</v>
      </c>
      <c r="AE7" s="4">
        <f t="shared" si="6"/>
        <v>1</v>
      </c>
      <c r="AF7" s="4">
        <f t="shared" si="7"/>
        <v>1</v>
      </c>
      <c r="AG7" s="4" t="str">
        <f t="shared" si="8"/>
        <v/>
      </c>
      <c r="AH7" s="4">
        <f t="shared" si="9"/>
        <v>1</v>
      </c>
      <c r="AI7" s="2">
        <f t="shared" si="10"/>
        <v>5</v>
      </c>
    </row>
    <row r="8" spans="1:35">
      <c r="A8" s="1">
        <f>IF(Data!A8&gt;0,Data!A8-4,"")</f>
        <v>3</v>
      </c>
      <c r="B8" s="1">
        <f>IF(Data!B8&gt;0,Data!B8-4,"")</f>
        <v>3</v>
      </c>
      <c r="C8" s="1">
        <f>IF(Data!C8&gt;0,4-Data!C8,"")</f>
        <v>3</v>
      </c>
      <c r="D8" s="1">
        <f>IF(Data!D8&gt;0,4-Data!D8,"")</f>
        <v>2</v>
      </c>
      <c r="E8" s="1">
        <f>IF(Data!E8&gt;0,4-Data!E8,"")</f>
        <v>2</v>
      </c>
      <c r="F8" s="1">
        <f>IF(Data!F8&gt;0,Data!F8-4,"")</f>
        <v>-1</v>
      </c>
      <c r="G8" s="1">
        <f>IF(Data!G8&gt;0,Data!G8-4,"")</f>
        <v>-3</v>
      </c>
      <c r="H8" s="1">
        <f>IF(Data!H8&gt;0,Data!H8-4,"")</f>
        <v>2</v>
      </c>
      <c r="I8" s="1">
        <f>IF(Data!I8&gt;0,4-Data!I8,"")</f>
        <v>1</v>
      </c>
      <c r="J8" s="1">
        <f>IF(Data!J8&gt;0,4-Data!J8,"")</f>
        <v>2</v>
      </c>
      <c r="K8" s="1">
        <f>IF(Data!K8&gt;0,Data!K8-4,"")</f>
        <v>-3</v>
      </c>
      <c r="L8" s="1">
        <f>IF(Data!L8&gt;0,4-Data!L8,"")</f>
        <v>2</v>
      </c>
      <c r="M8" s="1">
        <f>IF(Data!M8&gt;0,Data!M8-4,"")</f>
        <v>-1</v>
      </c>
      <c r="N8" s="1">
        <f>IF(Data!N8&gt;0,Data!N8-4,"")</f>
        <v>-3</v>
      </c>
      <c r="O8" s="1">
        <f>IF(Data!O8&gt;0,Data!O8-4,"")</f>
        <v>3</v>
      </c>
      <c r="P8" s="1">
        <f>IF(Data!P8&gt;0,Data!P8-4,"")</f>
        <v>-3</v>
      </c>
      <c r="Q8" s="1">
        <f>IF(Data!Q8&gt;0,4-Data!Q8,"")</f>
        <v>1</v>
      </c>
      <c r="R8" s="1">
        <f>IF(Data!R8&gt;0,4-Data!R8,"")</f>
        <v>3</v>
      </c>
      <c r="S8" s="1">
        <f>IF(Data!S8&gt;0,4-Data!S8,"")</f>
        <v>3</v>
      </c>
      <c r="T8" s="1">
        <f>IF(Data!T8&gt;0,Data!T8-4,"")</f>
        <v>-2</v>
      </c>
      <c r="U8" s="1">
        <f>IF(Data!U8&gt;0,4-Data!U8,"")</f>
        <v>3</v>
      </c>
      <c r="V8" s="1">
        <f>IF(Data!V8&gt;0,Data!V8-4,"")</f>
        <v>-2</v>
      </c>
      <c r="W8" s="1">
        <f>IF(Data!W8&gt;0,4-Data!W8,"")</f>
        <v>1</v>
      </c>
      <c r="X8" s="1">
        <f>IF(Data!X8&gt;0,4-Data!X8,"")</f>
        <v>2</v>
      </c>
      <c r="Y8" s="1">
        <f>IF(Data!Y8&gt;0,4-Data!Y8,"")</f>
        <v>3</v>
      </c>
      <c r="Z8" s="1">
        <f>IF(Data!Z8&gt;0,Data!Z8-4,"")</f>
        <v>-3</v>
      </c>
      <c r="AC8" s="4">
        <f t="shared" si="4"/>
        <v>1</v>
      </c>
      <c r="AD8" s="4">
        <f t="shared" si="5"/>
        <v>1</v>
      </c>
      <c r="AE8" s="4" t="str">
        <f t="shared" si="6"/>
        <v/>
      </c>
      <c r="AF8" s="4">
        <f t="shared" si="7"/>
        <v>1</v>
      </c>
      <c r="AG8" s="4">
        <f t="shared" si="8"/>
        <v>1</v>
      </c>
      <c r="AH8" s="4">
        <f t="shared" si="9"/>
        <v>1</v>
      </c>
      <c r="AI8" s="2">
        <f t="shared" si="10"/>
        <v>5</v>
      </c>
    </row>
    <row r="9" spans="1:3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sheetProtection algorithmName="SHA-512" hashValue="nEIsulvj7JGxjFKQPY904kfbL+4//b53qhSEyNOsWk0Vm+AkCAaOhC1DRL6t1v+Ke9mOv/j9k9as/QqKjWWFaQ==" saltValue="jMNRA6GdRDAwLhRDcX+tJw==" spinCount="100000" sheet="1" objects="1" scenarios="1"/>
  <mergeCells count="3">
    <mergeCell ref="A1:Z1"/>
    <mergeCell ref="A2:Z2"/>
    <mergeCell ref="AC2:AI2"/>
  </mergeCells>
  <conditionalFormatting sqref="AC1:AH1048576">
    <cfRule type="cellIs" dxfId="7" priority="2" operator="equal">
      <formula>1</formula>
    </cfRule>
  </conditionalFormatting>
  <conditionalFormatting sqref="AI1:AI1048576">
    <cfRule type="cellIs" dxfId="6" priority="17" operator="equal">
      <formula>6</formula>
    </cfRule>
    <cfRule type="cellIs" dxfId="5" priority="18" operator="equal">
      <formula>5</formula>
    </cfRule>
    <cfRule type="cellIs" dxfId="4" priority="19" operator="equal">
      <formula>4</formula>
    </cfRule>
    <cfRule type="cellIs" dxfId="3" priority="20" operator="equal">
      <formula>3</formula>
    </cfRule>
    <cfRule type="cellIs" dxfId="2" priority="21" operator="equal">
      <formula>2</formula>
    </cfRule>
    <cfRule type="cellIs" dxfId="1" priority="22" operator="equal">
      <formula>1</formula>
    </cfRule>
    <cfRule type="cellIs" dxfId="0" priority="23" operator="equal">
      <formula>0</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4.5"/>
  <cols>
    <col min="1" max="1" width="28" customWidth="1"/>
    <col min="2" max="2" width="18.1796875" customWidth="1"/>
    <col min="3" max="5" width="18.26953125" customWidth="1"/>
    <col min="6" max="6" width="18.453125" customWidth="1"/>
    <col min="7" max="7" width="18.26953125" customWidth="1"/>
  </cols>
  <sheetData>
    <row r="1" spans="1:7" ht="21">
      <c r="A1" s="170" t="s">
        <v>100</v>
      </c>
      <c r="B1" s="170"/>
      <c r="C1" s="170"/>
      <c r="D1" s="170"/>
      <c r="E1" s="170"/>
      <c r="F1" s="170"/>
      <c r="G1" s="170"/>
    </row>
    <row r="2" spans="1:7" ht="184.9" customHeight="1">
      <c r="A2" s="160" t="s">
        <v>101</v>
      </c>
      <c r="B2" s="160"/>
      <c r="C2" s="160"/>
      <c r="D2" s="160"/>
      <c r="E2" s="160"/>
      <c r="F2" s="160"/>
      <c r="G2" s="160"/>
    </row>
    <row r="3" spans="1:7">
      <c r="A3" s="84" t="s">
        <v>18</v>
      </c>
      <c r="B3" s="77" t="s">
        <v>102</v>
      </c>
    </row>
    <row r="4" spans="1:7">
      <c r="A4" s="9" t="str">
        <f>VLOOKUP(Read_First!B5,Items!A1:BI50,54,FALSE)</f>
        <v>Daya tarik</v>
      </c>
      <c r="B4" s="6">
        <f>SQRT(VAR(DT!AC4:AC1004))</f>
        <v>0.48016200969626466</v>
      </c>
    </row>
    <row r="5" spans="1:7">
      <c r="A5" s="9" t="str">
        <f>VLOOKUP(Read_First!B5,Items!A1:BI50,55,FALSE)</f>
        <v>Kejelasan</v>
      </c>
      <c r="B5" s="6">
        <f>SQRT(VAR(DT!AD4:AD1004))</f>
        <v>0.54198708471696999</v>
      </c>
    </row>
    <row r="6" spans="1:7">
      <c r="A6" s="9" t="str">
        <f>VLOOKUP(Read_First!B5,Items!A1:BI50,56,FALSE)</f>
        <v>Efisiensi</v>
      </c>
      <c r="B6" s="6">
        <f>SQRT(VAR(DT!AE4:AE1004))</f>
        <v>0.39528470752104744</v>
      </c>
    </row>
    <row r="7" spans="1:7">
      <c r="A7" s="9" t="str">
        <f>VLOOKUP(Read_First!B5,Items!A1:BI50,57,FALSE)</f>
        <v>Ketepatan</v>
      </c>
      <c r="B7" s="6">
        <f>SQRT(VAR(DT!AF4:AF1004))</f>
        <v>0.3791437722025775</v>
      </c>
    </row>
    <row r="8" spans="1:7">
      <c r="A8" s="9" t="str">
        <f>VLOOKUP(Read_First!B5,Items!A1:BI50,58,FALSE)</f>
        <v>Stimulasi</v>
      </c>
      <c r="B8" s="6">
        <f>SQRT(VAR(DT!AG4:AG1004))</f>
        <v>0.32596012026013244</v>
      </c>
    </row>
    <row r="9" spans="1:7">
      <c r="A9" s="9" t="str">
        <f>VLOOKUP(Read_First!B5,Items!A1:BI50,59,FALSE)</f>
        <v>Kebaruan</v>
      </c>
      <c r="B9" s="6">
        <f>SQRT(VAR(DT!AH4:AH1004))</f>
        <v>0.46770717334674267</v>
      </c>
    </row>
    <row r="11" spans="1:7">
      <c r="A11" s="89" t="s">
        <v>103</v>
      </c>
      <c r="B11" s="85" t="str">
        <f>VLOOKUP(Read_First!B5,Items!A1:BI50,54,FALSE)</f>
        <v>Daya tarik</v>
      </c>
      <c r="C11" s="87" t="str">
        <f>VLOOKUP(Read_First!B5,Items!A1:BI50,55,FALSE)</f>
        <v>Kejelasan</v>
      </c>
      <c r="D11" s="87" t="str">
        <f>VLOOKUP(Read_First!B5,Items!A1:BI50,56,FALSE)</f>
        <v>Efisiensi</v>
      </c>
      <c r="E11" s="88" t="str">
        <f>VLOOKUP(Read_First!B5,Items!A1:BI50,57,FALSE)</f>
        <v>Ketepatan</v>
      </c>
      <c r="F11" s="85" t="str">
        <f>VLOOKUP(Read_First!B5,Items!A1:BI50,58,FALSE)</f>
        <v>Stimulasi</v>
      </c>
      <c r="G11" s="86" t="str">
        <f>VLOOKUP(Read_First!B5,Items!A1:BI50,59,FALSE)</f>
        <v>Kebaruan</v>
      </c>
    </row>
    <row r="12" spans="1:7">
      <c r="A12" s="91" t="s">
        <v>104</v>
      </c>
      <c r="B12" s="4">
        <f>POWER((1.65*B4)/0.5,2)</f>
        <v>2.5107500000000016</v>
      </c>
      <c r="C12" s="4">
        <f>POWER((1.65*B5)/0.5,2)</f>
        <v>3.1989374999999995</v>
      </c>
      <c r="D12" s="4">
        <f>POWER((1.65*B6)/0.5,2)</f>
        <v>1.7015624999999999</v>
      </c>
      <c r="E12" s="4">
        <f>POWER((1.65*B7)/0.5,2)</f>
        <v>1.5654374999999996</v>
      </c>
      <c r="F12" s="4">
        <f>POWER((1.65*B8)/0.5,2)</f>
        <v>1.1570625000000001</v>
      </c>
      <c r="G12" s="4">
        <f>POWER((1.65*B9)/0.5,2)</f>
        <v>2.3821874999999997</v>
      </c>
    </row>
    <row r="13" spans="1:7">
      <c r="A13" s="91" t="s">
        <v>105</v>
      </c>
      <c r="B13" s="4">
        <f>POWER((1.96*B4)/0.5,2)</f>
        <v>3.5428088888888922</v>
      </c>
      <c r="C13" s="4">
        <f>POWER((1.96*B5)/0.5,2)</f>
        <v>4.5138799999999994</v>
      </c>
      <c r="D13" s="4">
        <f>POWER((1.96*B6)/0.5,2)</f>
        <v>2.4009999999999998</v>
      </c>
      <c r="E13" s="4">
        <f>POWER((1.96*B7)/0.5,2)</f>
        <v>2.2089199999999996</v>
      </c>
      <c r="F13" s="4">
        <f>POWER((1.96*B8)/0.5,2)</f>
        <v>1.6326799999999999</v>
      </c>
      <c r="G13" s="4">
        <f>POWER((1.96*B9)/0.5,2)</f>
        <v>3.3613999999999997</v>
      </c>
    </row>
    <row r="14" spans="1:7">
      <c r="A14" s="91" t="s">
        <v>106</v>
      </c>
      <c r="B14" s="4">
        <f>POWER((2.58*B4)/0.5,2)</f>
        <v>6.1386800000000044</v>
      </c>
      <c r="C14" s="4">
        <f>POWER((2.58*B5)/0.5,2)</f>
        <v>7.8212700000000002</v>
      </c>
      <c r="D14" s="4">
        <f>POWER((2.58*B6)/0.5,2)</f>
        <v>4.1602500000000013</v>
      </c>
      <c r="E14" s="4">
        <f>POWER((2.58*B7)/0.5,2)</f>
        <v>3.8274299999999997</v>
      </c>
      <c r="F14" s="4">
        <f>POWER((2.58*B8)/0.5,2)</f>
        <v>2.8289700000000004</v>
      </c>
      <c r="G14" s="4">
        <f>POWER((2.58*B9)/0.5,2)</f>
        <v>5.8243500000000008</v>
      </c>
    </row>
    <row r="15" spans="1:7">
      <c r="A15" s="91" t="s">
        <v>107</v>
      </c>
      <c r="B15" s="4">
        <f>POWER((1.65*B4)/0.25,2)</f>
        <v>10.043000000000006</v>
      </c>
      <c r="C15" s="4">
        <f>POWER((1.65*B5)/0.25,2)</f>
        <v>12.795749999999998</v>
      </c>
      <c r="D15" s="4">
        <f>POWER((1.65*B6)/0.25,2)</f>
        <v>6.8062499999999995</v>
      </c>
      <c r="E15" s="4">
        <f>POWER((1.65*B7)/0.25,2)</f>
        <v>6.2617499999999984</v>
      </c>
      <c r="F15" s="4">
        <f>POWER((1.65*B8)/0.25,2)</f>
        <v>4.6282500000000004</v>
      </c>
      <c r="G15" s="4">
        <f>POWER((1.65*B9)/0.25,2)</f>
        <v>9.5287499999999987</v>
      </c>
    </row>
    <row r="16" spans="1:7">
      <c r="A16" s="91" t="s">
        <v>108</v>
      </c>
      <c r="B16" s="4">
        <f>POWER((1.96*B4)/0.25,2)</f>
        <v>14.171235555555569</v>
      </c>
      <c r="C16" s="4">
        <f>POWER((1.96*B5)/0.25,2)</f>
        <v>18.055519999999998</v>
      </c>
      <c r="D16" s="4">
        <f>POWER((1.96*B6)/0.25,2)</f>
        <v>9.6039999999999992</v>
      </c>
      <c r="E16" s="4">
        <f>POWER((1.96*B7)/0.25,2)</f>
        <v>8.8356799999999982</v>
      </c>
      <c r="F16" s="4">
        <f>POWER((1.96*B8)/0.25,2)</f>
        <v>6.5307199999999996</v>
      </c>
      <c r="G16" s="4">
        <f>POWER((1.96*B9)/0.25,2)</f>
        <v>13.445599999999999</v>
      </c>
    </row>
    <row r="17" spans="1:7">
      <c r="A17" s="91" t="s">
        <v>109</v>
      </c>
      <c r="B17" s="4">
        <f>POWER((2.58*B4)/0.25,2)</f>
        <v>24.554720000000017</v>
      </c>
      <c r="C17" s="4">
        <f>POWER((2.58*B5)/0.25,2)</f>
        <v>31.285080000000001</v>
      </c>
      <c r="D17" s="4">
        <f>POWER((2.58*B6)/0.25,2)</f>
        <v>16.641000000000005</v>
      </c>
      <c r="E17" s="4">
        <f>POWER((2.58*B7)/0.25,2)</f>
        <v>15.309719999999999</v>
      </c>
      <c r="F17" s="4">
        <f>POWER((2.58*B8)/0.25,2)</f>
        <v>11.315880000000002</v>
      </c>
      <c r="G17" s="4">
        <f>POWER((2.58*B9)/0.25,2)</f>
        <v>23.297400000000003</v>
      </c>
    </row>
    <row r="18" spans="1:7">
      <c r="A18" s="91" t="s">
        <v>110</v>
      </c>
      <c r="B18" s="4">
        <f>POWER((1.65*B4)/0.1,2)</f>
        <v>62.768750000000033</v>
      </c>
      <c r="C18" s="4">
        <f>POWER((1.65*B5)/0.1,2)</f>
        <v>79.973437499999989</v>
      </c>
      <c r="D18" s="4">
        <f>POWER((1.65*B6)/0.1,2)</f>
        <v>42.539062499999986</v>
      </c>
      <c r="E18" s="4">
        <f>POWER((1.65*B7)/0.1,2)</f>
        <v>39.13593749999999</v>
      </c>
      <c r="F18" s="4">
        <f>POWER((1.65*B8)/0.1,2)</f>
        <v>28.926562500000003</v>
      </c>
      <c r="G18" s="4">
        <f>POWER((1.65*B9)/0.1,2)</f>
        <v>59.554687499999993</v>
      </c>
    </row>
    <row r="19" spans="1:7">
      <c r="A19" s="91" t="s">
        <v>111</v>
      </c>
      <c r="B19" s="4">
        <f>POWER((1.96*B4)/0.1,2)</f>
        <v>88.570222222222313</v>
      </c>
      <c r="C19" s="4">
        <f>POWER((1.96*B5)/0.1,2)</f>
        <v>112.84699999999999</v>
      </c>
      <c r="D19" s="4">
        <f>POWER((1.96*B6)/0.1,2)</f>
        <v>60.024999999999991</v>
      </c>
      <c r="E19" s="4">
        <f>POWER((1.96*B7)/0.1,2)</f>
        <v>55.222999999999978</v>
      </c>
      <c r="F19" s="4">
        <f>POWER((1.96*B8)/0.1,2)</f>
        <v>40.817</v>
      </c>
      <c r="G19" s="4">
        <f>POWER((1.96*B9)/0.1,2)</f>
        <v>84.034999999999968</v>
      </c>
    </row>
    <row r="20" spans="1:7">
      <c r="A20" s="92" t="s">
        <v>112</v>
      </c>
      <c r="B20" s="4">
        <f>POWER((2.58*B4)/0.1,2)</f>
        <v>153.46700000000013</v>
      </c>
      <c r="C20" s="4">
        <f>POWER((2.58*B5)/0.1,2)</f>
        <v>195.53174999999999</v>
      </c>
      <c r="D20" s="4">
        <f>POWER((2.58*B6)/0.1,2)</f>
        <v>104.00625000000004</v>
      </c>
      <c r="E20" s="4">
        <f>POWER((2.58*B7)/0.1,2)</f>
        <v>95.68574999999997</v>
      </c>
      <c r="F20" s="4">
        <f>POWER((2.58*B8)/0.1,2)</f>
        <v>70.724250000000012</v>
      </c>
      <c r="G20" s="4">
        <f>POWER((2.58*B9)/0.1,2)</f>
        <v>145.60875000000001</v>
      </c>
    </row>
  </sheetData>
  <sheetProtection algorithmName="SHA-512" hashValue="cTKNY8vwdMX26LHgh52cJv0WtE02No3IO5NbMB+JPGPMQKZEeuMHuXpWLKrE8YXopXFDeU0gBzOQGOX2IUJtvQ==" saltValue="5519OoU/52y3E3+Y325PwA==" spinCount="100000" sheet="1" objects="1" scenarios="1"/>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G2" workbookViewId="0">
      <selection activeCell="O15" sqref="O15"/>
    </sheetView>
  </sheetViews>
  <sheetFormatPr defaultRowHeight="14.5"/>
  <cols>
    <col min="1" max="6" width="12.7265625" customWidth="1"/>
    <col min="7" max="7" width="10.7265625" customWidth="1"/>
    <col min="8" max="8" width="11.1796875" customWidth="1"/>
    <col min="9" max="11" width="12.7265625" customWidth="1"/>
    <col min="12" max="12" width="14.7265625" customWidth="1"/>
    <col min="13" max="13" width="13.453125" customWidth="1"/>
    <col min="14" max="14" width="12.7265625" customWidth="1"/>
    <col min="17" max="17" width="12.7265625" customWidth="1"/>
    <col min="18" max="18" width="8.7265625" customWidth="1"/>
    <col min="19" max="19" width="10" customWidth="1"/>
    <col min="20" max="20" width="7.7265625" customWidth="1"/>
    <col min="21" max="21" width="10.54296875" customWidth="1"/>
  </cols>
  <sheetData>
    <row r="1" spans="1:23" ht="133.15" customHeight="1">
      <c r="A1" s="160" t="s">
        <v>113</v>
      </c>
      <c r="B1" s="154"/>
      <c r="C1" s="154"/>
      <c r="D1" s="154"/>
      <c r="E1" s="154"/>
      <c r="F1" s="154"/>
      <c r="H1" s="49"/>
      <c r="I1" s="120" t="s">
        <v>114</v>
      </c>
      <c r="J1" s="115" t="e">
        <f>AVERAGE(O4:O1004)</f>
        <v>#VALUE!</v>
      </c>
      <c r="K1" s="116" t="s">
        <v>115</v>
      </c>
      <c r="L1" s="117" t="e">
        <f>STDEV(O4:O1004)</f>
        <v>#VALUE!</v>
      </c>
      <c r="M1" s="118" t="s">
        <v>116</v>
      </c>
      <c r="N1" s="119" t="e">
        <f>CONFIDENCE(0.05,L1,Results!E3)</f>
        <v>#VALUE!</v>
      </c>
      <c r="O1" s="121"/>
    </row>
    <row r="2" spans="1:23">
      <c r="A2" s="171" t="s">
        <v>117</v>
      </c>
      <c r="B2" s="171"/>
      <c r="C2" s="171"/>
      <c r="D2" s="171"/>
      <c r="E2" s="171"/>
      <c r="F2" s="171"/>
      <c r="G2" s="40"/>
      <c r="I2" s="171" t="s">
        <v>118</v>
      </c>
      <c r="J2" s="171"/>
      <c r="K2" s="171"/>
      <c r="L2" s="171"/>
      <c r="M2" s="171"/>
      <c r="N2" s="171"/>
      <c r="O2" s="1"/>
      <c r="Q2" s="172" t="s">
        <v>119</v>
      </c>
      <c r="R2" s="172"/>
      <c r="S2" s="172"/>
      <c r="T2" s="172"/>
      <c r="U2" s="172"/>
      <c r="V2" s="172"/>
      <c r="W2" s="172"/>
    </row>
    <row r="3" spans="1:23">
      <c r="A3" s="84" t="str">
        <f>VLOOKUP(Read_First!B5,Items!A1:BI50,54,FALSE)</f>
        <v>Daya tarik</v>
      </c>
      <c r="B3" s="78" t="str">
        <f>VLOOKUP(Read_First!B5,Items!A1:BI50,55,FALSE)</f>
        <v>Kejelasan</v>
      </c>
      <c r="C3" s="78" t="str">
        <f>VLOOKUP(Read_First!B5,Items!A1:BI50,56,FALSE)</f>
        <v>Efisiensi</v>
      </c>
      <c r="D3" s="78" t="str">
        <f>VLOOKUP(Read_First!B5,Items!A1:BI50,57,FALSE)</f>
        <v>Ketepatan</v>
      </c>
      <c r="E3" s="78" t="str">
        <f>VLOOKUP(Read_First!B5,Items!A1:BI50,58,FALSE)</f>
        <v>Stimulasi</v>
      </c>
      <c r="F3" s="78" t="str">
        <f>VLOOKUP(Read_First!B5,Items!A1:BI50,59,FALSE)</f>
        <v>Kebaruan</v>
      </c>
      <c r="G3" s="77" t="s">
        <v>120</v>
      </c>
      <c r="I3" s="113" t="str">
        <f>VLOOKUP(Read_First!B5,Items!A1:BI50,54,FALSE)</f>
        <v>Daya tarik</v>
      </c>
      <c r="J3" s="76" t="str">
        <f>VLOOKUP(Read_First!B5,Items!A1:BI50,55,FALSE)</f>
        <v>Kejelasan</v>
      </c>
      <c r="K3" s="75" t="str">
        <f>VLOOKUP(Read_First!B5,Items!A1:BI50,56,FALSE)</f>
        <v>Efisiensi</v>
      </c>
      <c r="L3" s="75" t="str">
        <f>VLOOKUP(Read_First!B5,Items!A1:BI50,57,FALSE)</f>
        <v>Ketepatan</v>
      </c>
      <c r="M3" s="75" t="str">
        <f>VLOOKUP(Read_First!B5,Items!A1:BI50,58,FALSE)</f>
        <v>Stimulasi</v>
      </c>
      <c r="N3" s="75" t="str">
        <f>VLOOKUP(Read_First!B5,Items!A1:BI50,59,FALSE)</f>
        <v>Kebaruan</v>
      </c>
      <c r="O3" s="114" t="s">
        <v>114</v>
      </c>
      <c r="Q3" s="131" t="s">
        <v>121</v>
      </c>
      <c r="R3" s="131" t="s">
        <v>12</v>
      </c>
      <c r="S3" s="131" t="s">
        <v>122</v>
      </c>
      <c r="T3" s="131" t="s">
        <v>25</v>
      </c>
      <c r="U3" s="131" t="s">
        <v>26</v>
      </c>
      <c r="V3" s="165" t="s">
        <v>123</v>
      </c>
      <c r="W3" s="165"/>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f>IF(G4&gt;0,DT!AC4*I4+DT!AD4*J4+DT!AE4*K4+DT!AF4*L4+DT!AG4*M4+DT!AH4*N4,"")</f>
        <v>0.5490196078431373</v>
      </c>
      <c r="Q4" s="132" t="str">
        <f>VLOOKUP(Read_First!B5,Items!A1:BI50,54,FALSE)</f>
        <v>Daya tarik</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f>IF(G5&gt;0,DT!AC5*I5+DT!AD5*J5+DT!AE5*K5+DT!AF5*L5+DT!AG5*M5+DT!AH5*N5,"")</f>
        <v>0.125</v>
      </c>
      <c r="Q5" s="132" t="str">
        <f>VLOOKUP(Read_First!B5,Items!A1:BI50,55,FALSE)</f>
        <v>Kejelasan</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f>IF(G6&gt;0,DT!AC6*I6+DT!AD6*J6+DT!AE6*K6+DT!AF6*L6+DT!AG6*M6+DT!AH6*N6,"")</f>
        <v>0.27857142857142853</v>
      </c>
      <c r="Q6" s="132" t="str">
        <f>VLOOKUP(Read_First!B5,Items!A1:BI50,56,FALSE)</f>
        <v>Efisiensi</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f>IF(G7&gt;0,DT!AC7*I7+DT!AD7*J7+DT!AE7*K7+DT!AF7*L7+DT!AG7*M7+DT!AH7*N7,"")</f>
        <v>0.43333333333333335</v>
      </c>
      <c r="Q7" s="132" t="str">
        <f>VLOOKUP(Read_First!B5,Items!A1:BI50,57,FALSE)</f>
        <v>Ketepatan</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f>IF(G8&gt;0,DT!AC8*I8+DT!AD8*J8+DT!AE8*K8+DT!AF8*L8+DT!AG8*M8+DT!AH8*N8,"")</f>
        <v>0.6597222222222221</v>
      </c>
      <c r="Q8" s="132" t="str">
        <f>VLOOKUP(Read_First!B5,Items!A1:BI50,58,FALSE)</f>
        <v>Stimulasi</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t="e">
        <f>IF(G9&gt;0,DT!AC9*I9+DT!AD9*J9+DT!AE9*K9+DT!AF9*L9+DT!AG9*M9+DT!AH9*N9,"")</f>
        <v>#VALUE!</v>
      </c>
      <c r="Q9" s="132" t="str">
        <f>VLOOKUP(Read_First!B5,Items!A1:BI50,59,FALSE)</f>
        <v>Kebaruan</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t="e">
        <f>IF(G10&gt;0,DT!AC10*I10+DT!AD10*J10+DT!AE10*K10+DT!AF10*L10+DT!AG10*M10+DT!AH10*N10,"")</f>
        <v>#VALUE!</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t="e">
        <f>IF(G11&gt;0,DT!AC11*I11+DT!AD11*J11+DT!AE11*K11+DT!AF11*L11+DT!AG11*M11+DT!AH11*N11,"")</f>
        <v>#VALUE!</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t="e">
        <f>IF(G12&gt;0,DT!AC12*I12+DT!AD12*J12+DT!AE12*K12+DT!AF12*L12+DT!AG12*M12+DT!AH12*N12,"")</f>
        <v>#VALUE!</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t="e">
        <f>IF(G13&gt;0,DT!AC13*I13+DT!AD13*J13+DT!AE13*K13+DT!AF13*L13+DT!AG13*M13+DT!AH13*N13,"")</f>
        <v>#VALUE!</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t="e">
        <f>IF(G14&gt;0,DT!AC14*I14+DT!AD14*J14+DT!AE14*K14+DT!AF14*L14+DT!AG14*M14+DT!AH14*N14,"")</f>
        <v>#VALUE!</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t="e">
        <f>IF(G15&gt;0,DT!AC15*I15+DT!AD15*J15+DT!AE15*K15+DT!AF15*L15+DT!AG15*M15+DT!AH15*N15,"")</f>
        <v>#VALUE!</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t="e">
        <f>IF(G16&gt;0,DT!AC16*I16+DT!AD16*J16+DT!AE16*K16+DT!AF16*L16+DT!AG16*M16+DT!AH16*N16,"")</f>
        <v>#VALUE!</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t="e">
        <f>IF(G17&gt;0,DT!AC17*I17+DT!AD17*J17+DT!AE17*K17+DT!AF17*L17+DT!AG17*M17+DT!AH17*N17,"")</f>
        <v>#VALUE!</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t="e">
        <f>IF(G18&gt;0,DT!AC18*I18+DT!AD18*J18+DT!AE18*K18+DT!AF18*L18+DT!AG18*M18+DT!AH18*N18,"")</f>
        <v>#VALUE!</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t="e">
        <f>IF(G19&gt;0,DT!AC19*I19+DT!AD19*J19+DT!AE19*K19+DT!AF19*L19+DT!AG19*M19+DT!AH19*N19,"")</f>
        <v>#VALUE!</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t="e">
        <f>IF(G20&gt;0,DT!AC20*I20+DT!AD20*J20+DT!AE20*K20+DT!AF20*L20+DT!AG20*M20+DT!AH20*N20,"")</f>
        <v>#VALUE!</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t="e">
        <f>IF(G21&gt;0,DT!AC21*I21+DT!AD21*J21+DT!AE21*K21+DT!AF21*L21+DT!AG21*M21+DT!AH21*N21,"")</f>
        <v>#VALUE!</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t="e">
        <f>IF(G22&gt;0,DT!AC22*I22+DT!AD22*J22+DT!AE22*K22+DT!AF22*L22+DT!AG22*M22+DT!AH22*N22,"")</f>
        <v>#VALUE!</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t="e">
        <f>IF(G23&gt;0,DT!AC23*I23+DT!AD23*J23+DT!AE23*K23+DT!AF23*L23+DT!AG23*M23+DT!AH23*N23,"")</f>
        <v>#VALUE!</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t="e">
        <f>IF(G24&gt;0,DT!AC24*I24+DT!AD24*J24+DT!AE24*K24+DT!AF24*L24+DT!AG24*M24+DT!AH24*N24,"")</f>
        <v>#VALUE!</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t="e">
        <f>IF(G25&gt;0,DT!AC25*I25+DT!AD25*J25+DT!AE25*K25+DT!AF25*L25+DT!AG25*M25+DT!AH25*N25,"")</f>
        <v>#VALUE!</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t="e">
        <f>IF(G26&gt;0,DT!AC26*I26+DT!AD26*J26+DT!AE26*K26+DT!AF26*L26+DT!AG26*M26+DT!AH26*N26,"")</f>
        <v>#VALUE!</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t="e">
        <f>IF(G27&gt;0,DT!AC27*I27+DT!AD27*J27+DT!AE27*K27+DT!AF27*L27+DT!AG27*M27+DT!AH27*N27,"")</f>
        <v>#VALUE!</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t="e">
        <f>IF(G28&gt;0,DT!AC28*I28+DT!AD28*J28+DT!AE28*K28+DT!AF28*L28+DT!AG28*M28+DT!AH28*N28,"")</f>
        <v>#VALUE!</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t="e">
        <f>IF(G29&gt;0,DT!AC29*I29+DT!AD29*J29+DT!AE29*K29+DT!AF29*L29+DT!AG29*M29+DT!AH29*N29,"")</f>
        <v>#VALUE!</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t="e">
        <f>IF(G30&gt;0,DT!AC30*I30+DT!AD30*J30+DT!AE30*K30+DT!AF30*L30+DT!AG30*M30+DT!AH30*N30,"")</f>
        <v>#VALUE!</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t="e">
        <f>IF(G31&gt;0,DT!AC31*I31+DT!AD31*J31+DT!AE31*K31+DT!AF31*L31+DT!AG31*M31+DT!AH31*N31,"")</f>
        <v>#VALUE!</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t="e">
        <f>IF(G32&gt;0,DT!AC32*I32+DT!AD32*J32+DT!AE32*K32+DT!AF32*L32+DT!AG32*M32+DT!AH32*N32,"")</f>
        <v>#VALUE!</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t="e">
        <f>IF(G33&gt;0,DT!AC33*I33+DT!AD33*J33+DT!AE33*K33+DT!AF33*L33+DT!AG33*M33+DT!AH33*N33,"")</f>
        <v>#VALUE!</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t="e">
        <f>IF(G34&gt;0,DT!AC34*I34+DT!AD34*J34+DT!AE34*K34+DT!AF34*L34+DT!AG34*M34+DT!AH34*N34,"")</f>
        <v>#VALUE!</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t="e">
        <f>IF(G35&gt;0,DT!AC35*I35+DT!AD35*J35+DT!AE35*K35+DT!AF35*L35+DT!AG35*M35+DT!AH35*N35,"")</f>
        <v>#VALUE!</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t="e">
        <f>IF(G36&gt;0,DT!AC36*I36+DT!AD36*J36+DT!AE36*K36+DT!AF36*L36+DT!AG36*M36+DT!AH36*N36,"")</f>
        <v>#VALUE!</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t="e">
        <f>IF(G37&gt;0,DT!AC37*I37+DT!AD37*J37+DT!AE37*K37+DT!AF37*L37+DT!AG37*M37+DT!AH37*N37,"")</f>
        <v>#VALUE!</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t="e">
        <f>IF(G38&gt;0,DT!AC38*I38+DT!AD38*J38+DT!AE38*K38+DT!AF38*L38+DT!AG38*M38+DT!AH38*N38,"")</f>
        <v>#VALUE!</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t="e">
        <f>IF(G39&gt;0,DT!AC39*I39+DT!AD39*J39+DT!AE39*K39+DT!AF39*L39+DT!AG39*M39+DT!AH39*N39,"")</f>
        <v>#VALUE!</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t="e">
        <f>IF(G40&gt;0,DT!AC40*I40+DT!AD40*J40+DT!AE40*K40+DT!AF40*L40+DT!AG40*M40+DT!AH40*N40,"")</f>
        <v>#VALUE!</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t="e">
        <f>IF(G41&gt;0,DT!AC41*I41+DT!AD41*J41+DT!AE41*K41+DT!AF41*L41+DT!AG41*M41+DT!AH41*N41,"")</f>
        <v>#VALUE!</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t="e">
        <f>IF(G42&gt;0,DT!AC42*I42+DT!AD42*J42+DT!AE42*K42+DT!AF42*L42+DT!AG42*M42+DT!AH42*N42,"")</f>
        <v>#VALUE!</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t="e">
        <f>IF(G43&gt;0,DT!AC43*I43+DT!AD43*J43+DT!AE43*K43+DT!AF43*L43+DT!AG43*M43+DT!AH43*N43,"")</f>
        <v>#VALUE!</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t="e">
        <f>IF(G44&gt;0,DT!AC44*I44+DT!AD44*J44+DT!AE44*K44+DT!AF44*L44+DT!AG44*M44+DT!AH44*N44,"")</f>
        <v>#VALUE!</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t="e">
        <f>IF(G45&gt;0,DT!AC45*I45+DT!AD45*J45+DT!AE45*K45+DT!AF45*L45+DT!AG45*M45+DT!AH45*N45,"")</f>
        <v>#VALUE!</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t="e">
        <f>IF(G46&gt;0,DT!AC46*I46+DT!AD46*J46+DT!AE46*K46+DT!AF46*L46+DT!AG46*M46+DT!AH46*N46,"")</f>
        <v>#VALUE!</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t="e">
        <f>IF(G47&gt;0,DT!AC47*I47+DT!AD47*J47+DT!AE47*K47+DT!AF47*L47+DT!AG47*M47+DT!AH47*N47,"")</f>
        <v>#VALUE!</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t="e">
        <f>IF(G48&gt;0,DT!AC48*I48+DT!AD48*J48+DT!AE48*K48+DT!AF48*L48+DT!AG48*M48+DT!AH48*N48,"")</f>
        <v>#VALUE!</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t="e">
        <f>IF(G49&gt;0,DT!AC49*I49+DT!AD49*J49+DT!AE49*K49+DT!AF49*L49+DT!AG49*M49+DT!AH49*N49,"")</f>
        <v>#VALUE!</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t="e">
        <f>IF(G50&gt;0,DT!AC50*I50+DT!AD50*J50+DT!AE50*K50+DT!AF50*L50+DT!AG50*M50+DT!AH50*N50,"")</f>
        <v>#VALUE!</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t="e">
        <f>IF(G51&gt;0,DT!AC51*I51+DT!AD51*J51+DT!AE51*K51+DT!AF51*L51+DT!AG51*M51+DT!AH51*N51,"")</f>
        <v>#VALUE!</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t="e">
        <f>IF(G52&gt;0,DT!AC52*I52+DT!AD52*J52+DT!AE52*K52+DT!AF52*L52+DT!AG52*M52+DT!AH52*N52,"")</f>
        <v>#VALUE!</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t="e">
        <f>IF(G53&gt;0,DT!AC53*I53+DT!AD53*J53+DT!AE53*K53+DT!AF53*L53+DT!AG53*M53+DT!AH53*N53,"")</f>
        <v>#VALUE!</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t="e">
        <f>IF(G54&gt;0,DT!AC54*I54+DT!AD54*J54+DT!AE54*K54+DT!AF54*L54+DT!AG54*M54+DT!AH54*N54,"")</f>
        <v>#VALUE!</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t="e">
        <f>IF(G55&gt;0,DT!AC55*I55+DT!AD55*J55+DT!AE55*K55+DT!AF55*L55+DT!AG55*M55+DT!AH55*N55,"")</f>
        <v>#VALUE!</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t="e">
        <f>IF(G56&gt;0,DT!AC56*I56+DT!AD56*J56+DT!AE56*K56+DT!AF56*L56+DT!AG56*M56+DT!AH56*N56,"")</f>
        <v>#VALUE!</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t="e">
        <f>IF(G57&gt;0,DT!AC57*I57+DT!AD57*J57+DT!AE57*K57+DT!AF57*L57+DT!AG57*M57+DT!AH57*N57,"")</f>
        <v>#VALUE!</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t="e">
        <f>IF(G58&gt;0,DT!AC58*I58+DT!AD58*J58+DT!AE58*K58+DT!AF58*L58+DT!AG58*M58+DT!AH58*N58,"")</f>
        <v>#VALUE!</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t="e">
        <f>IF(G59&gt;0,DT!AC59*I59+DT!AD59*J59+DT!AE59*K59+DT!AF59*L59+DT!AG59*M59+DT!AH59*N59,"")</f>
        <v>#VALUE!</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t="e">
        <f>IF(G60&gt;0,DT!AC60*I60+DT!AD60*J60+DT!AE60*K60+DT!AF60*L60+DT!AG60*M60+DT!AH60*N60,"")</f>
        <v>#VALUE!</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t="e">
        <f>IF(G61&gt;0,DT!AC61*I61+DT!AD61*J61+DT!AE61*K61+DT!AF61*L61+DT!AG61*M61+DT!AH61*N61,"")</f>
        <v>#VALUE!</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t="e">
        <f>IF(G62&gt;0,DT!AC62*I62+DT!AD62*J62+DT!AE62*K62+DT!AF62*L62+DT!AG62*M62+DT!AH62*N62,"")</f>
        <v>#VALUE!</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t="e">
        <f>IF(G63&gt;0,DT!AC63*I63+DT!AD63*J63+DT!AE63*K63+DT!AF63*L63+DT!AG63*M63+DT!AH63*N63,"")</f>
        <v>#VALUE!</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t="e">
        <f>IF(G64&gt;0,DT!AC64*I64+DT!AD64*J64+DT!AE64*K64+DT!AF64*L64+DT!AG64*M64+DT!AH64*N64,"")</f>
        <v>#VALUE!</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t="e">
        <f>IF(G65&gt;0,DT!AC65*I65+DT!AD65*J65+DT!AE65*K65+DT!AF65*L65+DT!AG65*M65+DT!AH65*N65,"")</f>
        <v>#VALUE!</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t="e">
        <f>IF(G66&gt;0,DT!AC66*I66+DT!AD66*J66+DT!AE66*K66+DT!AF66*L66+DT!AG66*M66+DT!AH66*N66,"")</f>
        <v>#VALUE!</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t="e">
        <f>IF(G67&gt;0,DT!AC67*I67+DT!AD67*J67+DT!AE67*K67+DT!AF67*L67+DT!AG67*M67+DT!AH67*N67,"")</f>
        <v>#VALUE!</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t="e">
        <f>IF(G68&gt;0,DT!AC68*I68+DT!AD68*J68+DT!AE68*K68+DT!AF68*L68+DT!AG68*M68+DT!AH68*N68,"")</f>
        <v>#VALUE!</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t="e">
        <f>IF(G69&gt;0,DT!AC69*I69+DT!AD69*J69+DT!AE69*K69+DT!AF69*L69+DT!AG69*M69+DT!AH69*N69,"")</f>
        <v>#VALUE!</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t="e">
        <f>IF(G70&gt;0,DT!AC70*I70+DT!AD70*J70+DT!AE70*K70+DT!AF70*L70+DT!AG70*M70+DT!AH70*N70,"")</f>
        <v>#VALUE!</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t="e">
        <f>IF(G71&gt;0,DT!AC71*I71+DT!AD71*J71+DT!AE71*K71+DT!AF71*L71+DT!AG71*M71+DT!AH71*N71,"")</f>
        <v>#VALUE!</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t="e">
        <f>IF(G72&gt;0,DT!AC72*I72+DT!AD72*J72+DT!AE72*K72+DT!AF72*L72+DT!AG72*M72+DT!AH72*N72,"")</f>
        <v>#VALUE!</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t="e">
        <f>IF(G73&gt;0,DT!AC73*I73+DT!AD73*J73+DT!AE73*K73+DT!AF73*L73+DT!AG73*M73+DT!AH73*N73,"")</f>
        <v>#VALUE!</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t="e">
        <f>IF(G74&gt;0,DT!AC74*I74+DT!AD74*J74+DT!AE74*K74+DT!AF74*L74+DT!AG74*M74+DT!AH74*N74,"")</f>
        <v>#VALUE!</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t="e">
        <f>IF(G75&gt;0,DT!AC75*I75+DT!AD75*J75+DT!AE75*K75+DT!AF75*L75+DT!AG75*M75+DT!AH75*N75,"")</f>
        <v>#VALUE!</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t="e">
        <f>IF(G76&gt;0,DT!AC76*I76+DT!AD76*J76+DT!AE76*K76+DT!AF76*L76+DT!AG76*M76+DT!AH76*N76,"")</f>
        <v>#VALUE!</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t="e">
        <f>IF(G77&gt;0,DT!AC77*I77+DT!AD77*J77+DT!AE77*K77+DT!AF77*L77+DT!AG77*M77+DT!AH77*N77,"")</f>
        <v>#VALUE!</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t="e">
        <f>IF(G78&gt;0,DT!AC78*I78+DT!AD78*J78+DT!AE78*K78+DT!AF78*L78+DT!AG78*M78+DT!AH78*N78,"")</f>
        <v>#VALUE!</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t="e">
        <f>IF(G79&gt;0,DT!AC79*I79+DT!AD79*J79+DT!AE79*K79+DT!AF79*L79+DT!AG79*M79+DT!AH79*N79,"")</f>
        <v>#VALUE!</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t="e">
        <f>IF(G80&gt;0,DT!AC80*I80+DT!AD80*J80+DT!AE80*K80+DT!AF80*L80+DT!AG80*M80+DT!AH80*N80,"")</f>
        <v>#VALUE!</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t="e">
        <f>IF(G81&gt;0,DT!AC81*I81+DT!AD81*J81+DT!AE81*K81+DT!AF81*L81+DT!AG81*M81+DT!AH81*N81,"")</f>
        <v>#VALUE!</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t="e">
        <f>IF(G82&gt;0,DT!AC82*I82+DT!AD82*J82+DT!AE82*K82+DT!AF82*L82+DT!AG82*M82+DT!AH82*N82,"")</f>
        <v>#VALUE!</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t="e">
        <f>IF(G83&gt;0,DT!AC83*I83+DT!AD83*J83+DT!AE83*K83+DT!AF83*L83+DT!AG83*M83+DT!AH83*N83,"")</f>
        <v>#VALUE!</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t="e">
        <f>IF(G84&gt;0,DT!AC84*I84+DT!AD84*J84+DT!AE84*K84+DT!AF84*L84+DT!AG84*M84+DT!AH84*N84,"")</f>
        <v>#VALUE!</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t="e">
        <f>IF(G85&gt;0,DT!AC85*I85+DT!AD85*J85+DT!AE85*K85+DT!AF85*L85+DT!AG85*M85+DT!AH85*N85,"")</f>
        <v>#VALUE!</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t="e">
        <f>IF(G86&gt;0,DT!AC86*I86+DT!AD86*J86+DT!AE86*K86+DT!AF86*L86+DT!AG86*M86+DT!AH86*N86,"")</f>
        <v>#VALUE!</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t="e">
        <f>IF(G87&gt;0,DT!AC87*I87+DT!AD87*J87+DT!AE87*K87+DT!AF87*L87+DT!AG87*M87+DT!AH87*N87,"")</f>
        <v>#VALUE!</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t="e">
        <f>IF(G88&gt;0,DT!AC88*I88+DT!AD88*J88+DT!AE88*K88+DT!AF88*L88+DT!AG88*M88+DT!AH88*N88,"")</f>
        <v>#VALUE!</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t="e">
        <f>IF(G89&gt;0,DT!AC89*I89+DT!AD89*J89+DT!AE89*K89+DT!AF89*L89+DT!AG89*M89+DT!AH89*N89,"")</f>
        <v>#VALUE!</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t="e">
        <f>IF(G90&gt;0,DT!AC90*I90+DT!AD90*J90+DT!AE90*K90+DT!AF90*L90+DT!AG90*M90+DT!AH90*N90,"")</f>
        <v>#VALUE!</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t="e">
        <f>IF(G91&gt;0,DT!AC91*I91+DT!AD91*J91+DT!AE91*K91+DT!AF91*L91+DT!AG91*M91+DT!AH91*N91,"")</f>
        <v>#VALUE!</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t="e">
        <f>IF(G92&gt;0,DT!AC92*I92+DT!AD92*J92+DT!AE92*K92+DT!AF92*L92+DT!AG92*M92+DT!AH92*N92,"")</f>
        <v>#VALUE!</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t="e">
        <f>IF(G93&gt;0,DT!AC93*I93+DT!AD93*J93+DT!AE93*K93+DT!AF93*L93+DT!AG93*M93+DT!AH93*N93,"")</f>
        <v>#VALUE!</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t="e">
        <f>IF(G94&gt;0,DT!AC94*I94+DT!AD94*J94+DT!AE94*K94+DT!AF94*L94+DT!AG94*M94+DT!AH94*N94,"")</f>
        <v>#VALUE!</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t="e">
        <f>IF(G95&gt;0,DT!AC95*I95+DT!AD95*J95+DT!AE95*K95+DT!AF95*L95+DT!AG95*M95+DT!AH95*N95,"")</f>
        <v>#VALUE!</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t="e">
        <f>IF(G96&gt;0,DT!AC96*I96+DT!AD96*J96+DT!AE96*K96+DT!AF96*L96+DT!AG96*M96+DT!AH96*N96,"")</f>
        <v>#VALUE!</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t="e">
        <f>IF(G97&gt;0,DT!AC97*I97+DT!AD97*J97+DT!AE97*K97+DT!AF97*L97+DT!AG97*M97+DT!AH97*N97,"")</f>
        <v>#VALUE!</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t="e">
        <f>IF(G98&gt;0,DT!AC98*I98+DT!AD98*J98+DT!AE98*K98+DT!AF98*L98+DT!AG98*M98+DT!AH98*N98,"")</f>
        <v>#VALUE!</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t="e">
        <f>IF(G99&gt;0,DT!AC99*I99+DT!AD99*J99+DT!AE99*K99+DT!AF99*L99+DT!AG99*M99+DT!AH99*N99,"")</f>
        <v>#VALUE!</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t="e">
        <f>IF(G100&gt;0,DT!AC100*I100+DT!AD100*J100+DT!AE100*K100+DT!AF100*L100+DT!AG100*M100+DT!AH100*N100,"")</f>
        <v>#VALUE!</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t="e">
        <f>IF(G101&gt;0,DT!AC101*I101+DT!AD101*J101+DT!AE101*K101+DT!AF101*L101+DT!AG101*M101+DT!AH101*N101,"")</f>
        <v>#VALUE!</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t="e">
        <f>IF(G102&gt;0,DT!AC102*I102+DT!AD102*J102+DT!AE102*K102+DT!AF102*L102+DT!AG102*M102+DT!AH102*N102,"")</f>
        <v>#VALUE!</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t="e">
        <f>IF(G103&gt;0,DT!AC103*I103+DT!AD103*J103+DT!AE103*K103+DT!AF103*L103+DT!AG103*M103+DT!AH103*N103,"")</f>
        <v>#VALUE!</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t="e">
        <f>IF(G104&gt;0,DT!AC104*I104+DT!AD104*J104+DT!AE104*K104+DT!AF104*L104+DT!AG104*M104+DT!AH104*N104,"")</f>
        <v>#VALUE!</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t="e">
        <f>IF(G105&gt;0,DT!AC105*I105+DT!AD105*J105+DT!AE105*K105+DT!AF105*L105+DT!AG105*M105+DT!AH105*N105,"")</f>
        <v>#VALUE!</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t="e">
        <f>IF(G106&gt;0,DT!AC106*I106+DT!AD106*J106+DT!AE106*K106+DT!AF106*L106+DT!AG106*M106+DT!AH106*N106,"")</f>
        <v>#VALUE!</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t="e">
        <f>IF(G107&gt;0,DT!AC107*I107+DT!AD107*J107+DT!AE107*K107+DT!AF107*L107+DT!AG107*M107+DT!AH107*N107,"")</f>
        <v>#VALUE!</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t="e">
        <f>IF(G108&gt;0,DT!AC108*I108+DT!AD108*J108+DT!AE108*K108+DT!AF108*L108+DT!AG108*M108+DT!AH108*N108,"")</f>
        <v>#VALUE!</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t="e">
        <f>IF(G109&gt;0,DT!AC109*I109+DT!AD109*J109+DT!AE109*K109+DT!AF109*L109+DT!AG109*M109+DT!AH109*N109,"")</f>
        <v>#VALUE!</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t="e">
        <f>IF(G110&gt;0,DT!AC110*I110+DT!AD110*J110+DT!AE110*K110+DT!AF110*L110+DT!AG110*M110+DT!AH110*N110,"")</f>
        <v>#VALUE!</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t="e">
        <f>IF(G111&gt;0,DT!AC111*I111+DT!AD111*J111+DT!AE111*K111+DT!AF111*L111+DT!AG111*M111+DT!AH111*N111,"")</f>
        <v>#VALUE!</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t="e">
        <f>IF(G112&gt;0,DT!AC112*I112+DT!AD112*J112+DT!AE112*K112+DT!AF112*L112+DT!AG112*M112+DT!AH112*N112,"")</f>
        <v>#VALUE!</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t="e">
        <f>IF(G113&gt;0,DT!AC113*I113+DT!AD113*J113+DT!AE113*K113+DT!AF113*L113+DT!AG113*M113+DT!AH113*N113,"")</f>
        <v>#VALUE!</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t="e">
        <f>IF(G114&gt;0,DT!AC114*I114+DT!AD114*J114+DT!AE114*K114+DT!AF114*L114+DT!AG114*M114+DT!AH114*N114,"")</f>
        <v>#VALUE!</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t="e">
        <f>IF(G115&gt;0,DT!AC115*I115+DT!AD115*J115+DT!AE115*K115+DT!AF115*L115+DT!AG115*M115+DT!AH115*N115,"")</f>
        <v>#VALUE!</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t="e">
        <f>IF(G116&gt;0,DT!AC116*I116+DT!AD116*J116+DT!AE116*K116+DT!AF116*L116+DT!AG116*M116+DT!AH116*N116,"")</f>
        <v>#VALUE!</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t="e">
        <f>IF(G117&gt;0,DT!AC117*I117+DT!AD117*J117+DT!AE117*K117+DT!AF117*L117+DT!AG117*M117+DT!AH117*N117,"")</f>
        <v>#VALUE!</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t="e">
        <f>IF(G118&gt;0,DT!AC118*I118+DT!AD118*J118+DT!AE118*K118+DT!AF118*L118+DT!AG118*M118+DT!AH118*N118,"")</f>
        <v>#VALUE!</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t="e">
        <f>IF(G119&gt;0,DT!AC119*I119+DT!AD119*J119+DT!AE119*K119+DT!AF119*L119+DT!AG119*M119+DT!AH119*N119,"")</f>
        <v>#VALUE!</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t="e">
        <f>IF(G120&gt;0,DT!AC120*I120+DT!AD120*J120+DT!AE120*K120+DT!AF120*L120+DT!AG120*M120+DT!AH120*N120,"")</f>
        <v>#VALUE!</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t="e">
        <f>IF(G121&gt;0,DT!AC121*I121+DT!AD121*J121+DT!AE121*K121+DT!AF121*L121+DT!AG121*M121+DT!AH121*N121,"")</f>
        <v>#VALUE!</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t="e">
        <f>IF(G122&gt;0,DT!AC122*I122+DT!AD122*J122+DT!AE122*K122+DT!AF122*L122+DT!AG122*M122+DT!AH122*N122,"")</f>
        <v>#VALUE!</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t="e">
        <f>IF(G123&gt;0,DT!AC123*I123+DT!AD123*J123+DT!AE123*K123+DT!AF123*L123+DT!AG123*M123+DT!AH123*N123,"")</f>
        <v>#VALUE!</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t="e">
        <f>IF(G124&gt;0,DT!AC124*I124+DT!AD124*J124+DT!AE124*K124+DT!AF124*L124+DT!AG124*M124+DT!AH124*N124,"")</f>
        <v>#VALUE!</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t="e">
        <f>IF(G125&gt;0,DT!AC125*I125+DT!AD125*J125+DT!AE125*K125+DT!AF125*L125+DT!AG125*M125+DT!AH125*N125,"")</f>
        <v>#VALUE!</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t="e">
        <f>IF(G126&gt;0,DT!AC126*I126+DT!AD126*J126+DT!AE126*K126+DT!AF126*L126+DT!AG126*M126+DT!AH126*N126,"")</f>
        <v>#VALUE!</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t="e">
        <f>IF(G127&gt;0,DT!AC127*I127+DT!AD127*J127+DT!AE127*K127+DT!AF127*L127+DT!AG127*M127+DT!AH127*N127,"")</f>
        <v>#VALUE!</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t="e">
        <f>IF(G128&gt;0,DT!AC128*I128+DT!AD128*J128+DT!AE128*K128+DT!AF128*L128+DT!AG128*M128+DT!AH128*N128,"")</f>
        <v>#VALUE!</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t="e">
        <f>IF(G129&gt;0,DT!AC129*I129+DT!AD129*J129+DT!AE129*K129+DT!AF129*L129+DT!AG129*M129+DT!AH129*N129,"")</f>
        <v>#VALUE!</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t="e">
        <f>IF(G130&gt;0,DT!AC130*I130+DT!AD130*J130+DT!AE130*K130+DT!AF130*L130+DT!AG130*M130+DT!AH130*N130,"")</f>
        <v>#VALUE!</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t="e">
        <f>IF(G131&gt;0,DT!AC131*I131+DT!AD131*J131+DT!AE131*K131+DT!AF131*L131+DT!AG131*M131+DT!AH131*N131,"")</f>
        <v>#VALUE!</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t="e">
        <f>IF(G132&gt;0,DT!AC132*I132+DT!AD132*J132+DT!AE132*K132+DT!AF132*L132+DT!AG132*M132+DT!AH132*N132,"")</f>
        <v>#VALUE!</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t="e">
        <f>IF(G133&gt;0,DT!AC133*I133+DT!AD133*J133+DT!AE133*K133+DT!AF133*L133+DT!AG133*M133+DT!AH133*N133,"")</f>
        <v>#VALUE!</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t="e">
        <f>IF(G134&gt;0,DT!AC134*I134+DT!AD134*J134+DT!AE134*K134+DT!AF134*L134+DT!AG134*M134+DT!AH134*N134,"")</f>
        <v>#VALUE!</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t="e">
        <f>IF(G135&gt;0,DT!AC135*I135+DT!AD135*J135+DT!AE135*K135+DT!AF135*L135+DT!AG135*M135+DT!AH135*N135,"")</f>
        <v>#VALUE!</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t="e">
        <f>IF(G136&gt;0,DT!AC136*I136+DT!AD136*J136+DT!AE136*K136+DT!AF136*L136+DT!AG136*M136+DT!AH136*N136,"")</f>
        <v>#VALUE!</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t="e">
        <f>IF(G137&gt;0,DT!AC137*I137+DT!AD137*J137+DT!AE137*K137+DT!AF137*L137+DT!AG137*M137+DT!AH137*N137,"")</f>
        <v>#VALUE!</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t="e">
        <f>IF(G138&gt;0,DT!AC138*I138+DT!AD138*J138+DT!AE138*K138+DT!AF138*L138+DT!AG138*M138+DT!AH138*N138,"")</f>
        <v>#VALUE!</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t="e">
        <f>IF(G139&gt;0,DT!AC139*I139+DT!AD139*J139+DT!AE139*K139+DT!AF139*L139+DT!AG139*M139+DT!AH139*N139,"")</f>
        <v>#VALUE!</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t="e">
        <f>IF(G140&gt;0,DT!AC140*I140+DT!AD140*J140+DT!AE140*K140+DT!AF140*L140+DT!AG140*M140+DT!AH140*N140,"")</f>
        <v>#VALUE!</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t="e">
        <f>IF(G141&gt;0,DT!AC141*I141+DT!AD141*J141+DT!AE141*K141+DT!AF141*L141+DT!AG141*M141+DT!AH141*N141,"")</f>
        <v>#VALUE!</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t="e">
        <f>IF(G142&gt;0,DT!AC142*I142+DT!AD142*J142+DT!AE142*K142+DT!AF142*L142+DT!AG142*M142+DT!AH142*N142,"")</f>
        <v>#VALUE!</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t="e">
        <f>IF(G143&gt;0,DT!AC143*I143+DT!AD143*J143+DT!AE143*K143+DT!AF143*L143+DT!AG143*M143+DT!AH143*N143,"")</f>
        <v>#VALUE!</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t="e">
        <f>IF(G144&gt;0,DT!AC144*I144+DT!AD144*J144+DT!AE144*K144+DT!AF144*L144+DT!AG144*M144+DT!AH144*N144,"")</f>
        <v>#VALUE!</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t="e">
        <f>IF(G145&gt;0,DT!AC145*I145+DT!AD145*J145+DT!AE145*K145+DT!AF145*L145+DT!AG145*M145+DT!AH145*N145,"")</f>
        <v>#VALUE!</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t="e">
        <f>IF(G146&gt;0,DT!AC146*I146+DT!AD146*J146+DT!AE146*K146+DT!AF146*L146+DT!AG146*M146+DT!AH146*N146,"")</f>
        <v>#VALUE!</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t="e">
        <f>IF(G147&gt;0,DT!AC147*I147+DT!AD147*J147+DT!AE147*K147+DT!AF147*L147+DT!AG147*M147+DT!AH147*N147,"")</f>
        <v>#VALUE!</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t="e">
        <f>IF(G148&gt;0,DT!AC148*I148+DT!AD148*J148+DT!AE148*K148+DT!AF148*L148+DT!AG148*M148+DT!AH148*N148,"")</f>
        <v>#VALUE!</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t="e">
        <f>IF(G149&gt;0,DT!AC149*I149+DT!AD149*J149+DT!AE149*K149+DT!AF149*L149+DT!AG149*M149+DT!AH149*N149,"")</f>
        <v>#VALUE!</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t="e">
        <f>IF(G150&gt;0,DT!AC150*I150+DT!AD150*J150+DT!AE150*K150+DT!AF150*L150+DT!AG150*M150+DT!AH150*N150,"")</f>
        <v>#VALUE!</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t="e">
        <f>IF(G151&gt;0,DT!AC151*I151+DT!AD151*J151+DT!AE151*K151+DT!AF151*L151+DT!AG151*M151+DT!AH151*N151,"")</f>
        <v>#VALUE!</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t="e">
        <f>IF(G152&gt;0,DT!AC152*I152+DT!AD152*J152+DT!AE152*K152+DT!AF152*L152+DT!AG152*M152+DT!AH152*N152,"")</f>
        <v>#VALUE!</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t="e">
        <f>IF(G153&gt;0,DT!AC153*I153+DT!AD153*J153+DT!AE153*K153+DT!AF153*L153+DT!AG153*M153+DT!AH153*N153,"")</f>
        <v>#VALUE!</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t="e">
        <f>IF(G154&gt;0,DT!AC154*I154+DT!AD154*J154+DT!AE154*K154+DT!AF154*L154+DT!AG154*M154+DT!AH154*N154,"")</f>
        <v>#VALUE!</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t="e">
        <f>IF(G155&gt;0,DT!AC155*I155+DT!AD155*J155+DT!AE155*K155+DT!AF155*L155+DT!AG155*M155+DT!AH155*N155,"")</f>
        <v>#VALUE!</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t="e">
        <f>IF(G156&gt;0,DT!AC156*I156+DT!AD156*J156+DT!AE156*K156+DT!AF156*L156+DT!AG156*M156+DT!AH156*N156,"")</f>
        <v>#VALUE!</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t="e">
        <f>IF(G157&gt;0,DT!AC157*I157+DT!AD157*J157+DT!AE157*K157+DT!AF157*L157+DT!AG157*M157+DT!AH157*N157,"")</f>
        <v>#VALUE!</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t="e">
        <f>IF(G158&gt;0,DT!AC158*I158+DT!AD158*J158+DT!AE158*K158+DT!AF158*L158+DT!AG158*M158+DT!AH158*N158,"")</f>
        <v>#VALUE!</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t="e">
        <f>IF(G159&gt;0,DT!AC159*I159+DT!AD159*J159+DT!AE159*K159+DT!AF159*L159+DT!AG159*M159+DT!AH159*N159,"")</f>
        <v>#VALUE!</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t="e">
        <f>IF(G160&gt;0,DT!AC160*I160+DT!AD160*J160+DT!AE160*K160+DT!AF160*L160+DT!AG160*M160+DT!AH160*N160,"")</f>
        <v>#VALUE!</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t="e">
        <f>IF(G161&gt;0,DT!AC161*I161+DT!AD161*J161+DT!AE161*K161+DT!AF161*L161+DT!AG161*M161+DT!AH161*N161,"")</f>
        <v>#VALUE!</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t="e">
        <f>IF(G162&gt;0,DT!AC162*I162+DT!AD162*J162+DT!AE162*K162+DT!AF162*L162+DT!AG162*M162+DT!AH162*N162,"")</f>
        <v>#VALUE!</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t="e">
        <f>IF(G163&gt;0,DT!AC163*I163+DT!AD163*J163+DT!AE163*K163+DT!AF163*L163+DT!AG163*M163+DT!AH163*N163,"")</f>
        <v>#VALUE!</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t="e">
        <f>IF(G164&gt;0,DT!AC164*I164+DT!AD164*J164+DT!AE164*K164+DT!AF164*L164+DT!AG164*M164+DT!AH164*N164,"")</f>
        <v>#VALUE!</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t="e">
        <f>IF(G165&gt;0,DT!AC165*I165+DT!AD165*J165+DT!AE165*K165+DT!AF165*L165+DT!AG165*M165+DT!AH165*N165,"")</f>
        <v>#VALUE!</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t="e">
        <f>IF(G166&gt;0,DT!AC166*I166+DT!AD166*J166+DT!AE166*K166+DT!AF166*L166+DT!AG166*M166+DT!AH166*N166,"")</f>
        <v>#VALUE!</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t="e">
        <f>IF(G167&gt;0,DT!AC167*I167+DT!AD167*J167+DT!AE167*K167+DT!AF167*L167+DT!AG167*M167+DT!AH167*N167,"")</f>
        <v>#VALUE!</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t="e">
        <f>IF(G168&gt;0,DT!AC168*I168+DT!AD168*J168+DT!AE168*K168+DT!AF168*L168+DT!AG168*M168+DT!AH168*N168,"")</f>
        <v>#VALUE!</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t="e">
        <f>IF(G169&gt;0,DT!AC169*I169+DT!AD169*J169+DT!AE169*K169+DT!AF169*L169+DT!AG169*M169+DT!AH169*N169,"")</f>
        <v>#VALUE!</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t="e">
        <f>IF(G170&gt;0,DT!AC170*I170+DT!AD170*J170+DT!AE170*K170+DT!AF170*L170+DT!AG170*M170+DT!AH170*N170,"")</f>
        <v>#VALUE!</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t="e">
        <f>IF(G171&gt;0,DT!AC171*I171+DT!AD171*J171+DT!AE171*K171+DT!AF171*L171+DT!AG171*M171+DT!AH171*N171,"")</f>
        <v>#VALUE!</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t="e">
        <f>IF(G172&gt;0,DT!AC172*I172+DT!AD172*J172+DT!AE172*K172+DT!AF172*L172+DT!AG172*M172+DT!AH172*N172,"")</f>
        <v>#VALUE!</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t="e">
        <f>IF(G173&gt;0,DT!AC173*I173+DT!AD173*J173+DT!AE173*K173+DT!AF173*L173+DT!AG173*M173+DT!AH173*N173,"")</f>
        <v>#VALUE!</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t="e">
        <f>IF(G174&gt;0,DT!AC174*I174+DT!AD174*J174+DT!AE174*K174+DT!AF174*L174+DT!AG174*M174+DT!AH174*N174,"")</f>
        <v>#VALUE!</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t="e">
        <f>IF(G175&gt;0,DT!AC175*I175+DT!AD175*J175+DT!AE175*K175+DT!AF175*L175+DT!AG175*M175+DT!AH175*N175,"")</f>
        <v>#VALUE!</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t="e">
        <f>IF(G176&gt;0,DT!AC176*I176+DT!AD176*J176+DT!AE176*K176+DT!AF176*L176+DT!AG176*M176+DT!AH176*N176,"")</f>
        <v>#VALUE!</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t="e">
        <f>IF(G177&gt;0,DT!AC177*I177+DT!AD177*J177+DT!AE177*K177+DT!AF177*L177+DT!AG177*M177+DT!AH177*N177,"")</f>
        <v>#VALUE!</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t="e">
        <f>IF(G178&gt;0,DT!AC178*I178+DT!AD178*J178+DT!AE178*K178+DT!AF178*L178+DT!AG178*M178+DT!AH178*N178,"")</f>
        <v>#VALUE!</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t="e">
        <f>IF(G179&gt;0,DT!AC179*I179+DT!AD179*J179+DT!AE179*K179+DT!AF179*L179+DT!AG179*M179+DT!AH179*N179,"")</f>
        <v>#VALUE!</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t="e">
        <f>IF(G180&gt;0,DT!AC180*I180+DT!AD180*J180+DT!AE180*K180+DT!AF180*L180+DT!AG180*M180+DT!AH180*N180,"")</f>
        <v>#VALUE!</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t="e">
        <f>IF(G181&gt;0,DT!AC181*I181+DT!AD181*J181+DT!AE181*K181+DT!AF181*L181+DT!AG181*M181+DT!AH181*N181,"")</f>
        <v>#VALUE!</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t="e">
        <f>IF(G182&gt;0,DT!AC182*I182+DT!AD182*J182+DT!AE182*K182+DT!AF182*L182+DT!AG182*M182+DT!AH182*N182,"")</f>
        <v>#VALUE!</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t="e">
        <f>IF(G183&gt;0,DT!AC183*I183+DT!AD183*J183+DT!AE183*K183+DT!AF183*L183+DT!AG183*M183+DT!AH183*N183,"")</f>
        <v>#VALUE!</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t="e">
        <f>IF(G184&gt;0,DT!AC184*I184+DT!AD184*J184+DT!AE184*K184+DT!AF184*L184+DT!AG184*M184+DT!AH184*N184,"")</f>
        <v>#VALUE!</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t="e">
        <f>IF(G185&gt;0,DT!AC185*I185+DT!AD185*J185+DT!AE185*K185+DT!AF185*L185+DT!AG185*M185+DT!AH185*N185,"")</f>
        <v>#VALUE!</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t="e">
        <f>IF(G186&gt;0,DT!AC186*I186+DT!AD186*J186+DT!AE186*K186+DT!AF186*L186+DT!AG186*M186+DT!AH186*N186,"")</f>
        <v>#VALUE!</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t="e">
        <f>IF(G187&gt;0,DT!AC187*I187+DT!AD187*J187+DT!AE187*K187+DT!AF187*L187+DT!AG187*M187+DT!AH187*N187,"")</f>
        <v>#VALUE!</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t="e">
        <f>IF(G188&gt;0,DT!AC188*I188+DT!AD188*J188+DT!AE188*K188+DT!AF188*L188+DT!AG188*M188+DT!AH188*N188,"")</f>
        <v>#VALUE!</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t="e">
        <f>IF(G189&gt;0,DT!AC189*I189+DT!AD189*J189+DT!AE189*K189+DT!AF189*L189+DT!AG189*M189+DT!AH189*N189,"")</f>
        <v>#VALUE!</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t="e">
        <f>IF(G190&gt;0,DT!AC190*I190+DT!AD190*J190+DT!AE190*K190+DT!AF190*L190+DT!AG190*M190+DT!AH190*N190,"")</f>
        <v>#VALUE!</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t="e">
        <f>IF(G191&gt;0,DT!AC191*I191+DT!AD191*J191+DT!AE191*K191+DT!AF191*L191+DT!AG191*M191+DT!AH191*N191,"")</f>
        <v>#VALUE!</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t="e">
        <f>IF(G192&gt;0,DT!AC192*I192+DT!AD192*J192+DT!AE192*K192+DT!AF192*L192+DT!AG192*M192+DT!AH192*N192,"")</f>
        <v>#VALUE!</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t="e">
        <f>IF(G193&gt;0,DT!AC193*I193+DT!AD193*J193+DT!AE193*K193+DT!AF193*L193+DT!AG193*M193+DT!AH193*N193,"")</f>
        <v>#VALUE!</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t="e">
        <f>IF(G194&gt;0,DT!AC194*I194+DT!AD194*J194+DT!AE194*K194+DT!AF194*L194+DT!AG194*M194+DT!AH194*N194,"")</f>
        <v>#VALUE!</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t="e">
        <f>IF(G195&gt;0,DT!AC195*I195+DT!AD195*J195+DT!AE195*K195+DT!AF195*L195+DT!AG195*M195+DT!AH195*N195,"")</f>
        <v>#VALUE!</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t="e">
        <f>IF(G196&gt;0,DT!AC196*I196+DT!AD196*J196+DT!AE196*K196+DT!AF196*L196+DT!AG196*M196+DT!AH196*N196,"")</f>
        <v>#VALUE!</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t="e">
        <f>IF(G197&gt;0,DT!AC197*I197+DT!AD197*J197+DT!AE197*K197+DT!AF197*L197+DT!AG197*M197+DT!AH197*N197,"")</f>
        <v>#VALUE!</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t="e">
        <f>IF(G198&gt;0,DT!AC198*I198+DT!AD198*J198+DT!AE198*K198+DT!AF198*L198+DT!AG198*M198+DT!AH198*N198,"")</f>
        <v>#VALUE!</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t="e">
        <f>IF(G199&gt;0,DT!AC199*I199+DT!AD199*J199+DT!AE199*K199+DT!AF199*L199+DT!AG199*M199+DT!AH199*N199,"")</f>
        <v>#VALUE!</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t="e">
        <f>IF(G200&gt;0,DT!AC200*I200+DT!AD200*J200+DT!AE200*K200+DT!AF200*L200+DT!AG200*M200+DT!AH200*N200,"")</f>
        <v>#VALUE!</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t="e">
        <f>IF(G201&gt;0,DT!AC201*I201+DT!AD201*J201+DT!AE201*K201+DT!AF201*L201+DT!AG201*M201+DT!AH201*N201,"")</f>
        <v>#VALUE!</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t="e">
        <f>IF(G202&gt;0,DT!AC202*I202+DT!AD202*J202+DT!AE202*K202+DT!AF202*L202+DT!AG202*M202+DT!AH202*N202,"")</f>
        <v>#VALUE!</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t="e">
        <f>IF(G203&gt;0,DT!AC203*I203+DT!AD203*J203+DT!AE203*K203+DT!AF203*L203+DT!AG203*M203+DT!AH203*N203,"")</f>
        <v>#VALUE!</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t="e">
        <f>IF(G204&gt;0,DT!AC204*I204+DT!AD204*J204+DT!AE204*K204+DT!AF204*L204+DT!AG204*M204+DT!AH204*N204,"")</f>
        <v>#VALUE!</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t="e">
        <f>IF(G205&gt;0,DT!AC205*I205+DT!AD205*J205+DT!AE205*K205+DT!AF205*L205+DT!AG205*M205+DT!AH205*N205,"")</f>
        <v>#VALUE!</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t="e">
        <f>IF(G206&gt;0,DT!AC206*I206+DT!AD206*J206+DT!AE206*K206+DT!AF206*L206+DT!AG206*M206+DT!AH206*N206,"")</f>
        <v>#VALUE!</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t="e">
        <f>IF(G207&gt;0,DT!AC207*I207+DT!AD207*J207+DT!AE207*K207+DT!AF207*L207+DT!AG207*M207+DT!AH207*N207,"")</f>
        <v>#VALUE!</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t="e">
        <f>IF(G208&gt;0,DT!AC208*I208+DT!AD208*J208+DT!AE208*K208+DT!AF208*L208+DT!AG208*M208+DT!AH208*N208,"")</f>
        <v>#VALUE!</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t="e">
        <f>IF(G209&gt;0,DT!AC209*I209+DT!AD209*J209+DT!AE209*K209+DT!AF209*L209+DT!AG209*M209+DT!AH209*N209,"")</f>
        <v>#VALUE!</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t="e">
        <f>IF(G210&gt;0,DT!AC210*I210+DT!AD210*J210+DT!AE210*K210+DT!AF210*L210+DT!AG210*M210+DT!AH210*N210,"")</f>
        <v>#VALUE!</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t="e">
        <f>IF(G211&gt;0,DT!AC211*I211+DT!AD211*J211+DT!AE211*K211+DT!AF211*L211+DT!AG211*M211+DT!AH211*N211,"")</f>
        <v>#VALUE!</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t="e">
        <f>IF(G212&gt;0,DT!AC212*I212+DT!AD212*J212+DT!AE212*K212+DT!AF212*L212+DT!AG212*M212+DT!AH212*N212,"")</f>
        <v>#VALUE!</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t="e">
        <f>IF(G213&gt;0,DT!AC213*I213+DT!AD213*J213+DT!AE213*K213+DT!AF213*L213+DT!AG213*M213+DT!AH213*N213,"")</f>
        <v>#VALUE!</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t="e">
        <f>IF(G214&gt;0,DT!AC214*I214+DT!AD214*J214+DT!AE214*K214+DT!AF214*L214+DT!AG214*M214+DT!AH214*N214,"")</f>
        <v>#VALUE!</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t="e">
        <f>IF(G215&gt;0,DT!AC215*I215+DT!AD215*J215+DT!AE215*K215+DT!AF215*L215+DT!AG215*M215+DT!AH215*N215,"")</f>
        <v>#VALUE!</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t="e">
        <f>IF(G216&gt;0,DT!AC216*I216+DT!AD216*J216+DT!AE216*K216+DT!AF216*L216+DT!AG216*M216+DT!AH216*N216,"")</f>
        <v>#VALUE!</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t="e">
        <f>IF(G217&gt;0,DT!AC217*I217+DT!AD217*J217+DT!AE217*K217+DT!AF217*L217+DT!AG217*M217+DT!AH217*N217,"")</f>
        <v>#VALUE!</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t="e">
        <f>IF(G218&gt;0,DT!AC218*I218+DT!AD218*J218+DT!AE218*K218+DT!AF218*L218+DT!AG218*M218+DT!AH218*N218,"")</f>
        <v>#VALUE!</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t="e">
        <f>IF(G219&gt;0,DT!AC219*I219+DT!AD219*J219+DT!AE219*K219+DT!AF219*L219+DT!AG219*M219+DT!AH219*N219,"")</f>
        <v>#VALUE!</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t="e">
        <f>IF(G220&gt;0,DT!AC220*I220+DT!AD220*J220+DT!AE220*K220+DT!AF220*L220+DT!AG220*M220+DT!AH220*N220,"")</f>
        <v>#VALUE!</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t="e">
        <f>IF(G221&gt;0,DT!AC221*I221+DT!AD221*J221+DT!AE221*K221+DT!AF221*L221+DT!AG221*M221+DT!AH221*N221,"")</f>
        <v>#VALUE!</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t="e">
        <f>IF(G222&gt;0,DT!AC222*I222+DT!AD222*J222+DT!AE222*K222+DT!AF222*L222+DT!AG222*M222+DT!AH222*N222,"")</f>
        <v>#VALUE!</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t="e">
        <f>IF(G223&gt;0,DT!AC223*I223+DT!AD223*J223+DT!AE223*K223+DT!AF223*L223+DT!AG223*M223+DT!AH223*N223,"")</f>
        <v>#VALUE!</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t="e">
        <f>IF(G224&gt;0,DT!AC224*I224+DT!AD224*J224+DT!AE224*K224+DT!AF224*L224+DT!AG224*M224+DT!AH224*N224,"")</f>
        <v>#VALUE!</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t="e">
        <f>IF(G225&gt;0,DT!AC225*I225+DT!AD225*J225+DT!AE225*K225+DT!AF225*L225+DT!AG225*M225+DT!AH225*N225,"")</f>
        <v>#VALUE!</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t="e">
        <f>IF(G226&gt;0,DT!AC226*I226+DT!AD226*J226+DT!AE226*K226+DT!AF226*L226+DT!AG226*M226+DT!AH226*N226,"")</f>
        <v>#VALUE!</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t="e">
        <f>IF(G227&gt;0,DT!AC227*I227+DT!AD227*J227+DT!AE227*K227+DT!AF227*L227+DT!AG227*M227+DT!AH227*N227,"")</f>
        <v>#VALUE!</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t="e">
        <f>IF(G228&gt;0,DT!AC228*I228+DT!AD228*J228+DT!AE228*K228+DT!AF228*L228+DT!AG228*M228+DT!AH228*N228,"")</f>
        <v>#VALUE!</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t="e">
        <f>IF(G229&gt;0,DT!AC229*I229+DT!AD229*J229+DT!AE229*K229+DT!AF229*L229+DT!AG229*M229+DT!AH229*N229,"")</f>
        <v>#VALUE!</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t="e">
        <f>IF(G230&gt;0,DT!AC230*I230+DT!AD230*J230+DT!AE230*K230+DT!AF230*L230+DT!AG230*M230+DT!AH230*N230,"")</f>
        <v>#VALUE!</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t="e">
        <f>IF(G231&gt;0,DT!AC231*I231+DT!AD231*J231+DT!AE231*K231+DT!AF231*L231+DT!AG231*M231+DT!AH231*N231,"")</f>
        <v>#VALUE!</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t="e">
        <f>IF(G232&gt;0,DT!AC232*I232+DT!AD232*J232+DT!AE232*K232+DT!AF232*L232+DT!AG232*M232+DT!AH232*N232,"")</f>
        <v>#VALUE!</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t="e">
        <f>IF(G233&gt;0,DT!AC233*I233+DT!AD233*J233+DT!AE233*K233+DT!AF233*L233+DT!AG233*M233+DT!AH233*N233,"")</f>
        <v>#VALUE!</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t="e">
        <f>IF(G234&gt;0,DT!AC234*I234+DT!AD234*J234+DT!AE234*K234+DT!AF234*L234+DT!AG234*M234+DT!AH234*N234,"")</f>
        <v>#VALUE!</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t="e">
        <f>IF(G235&gt;0,DT!AC235*I235+DT!AD235*J235+DT!AE235*K235+DT!AF235*L235+DT!AG235*M235+DT!AH235*N235,"")</f>
        <v>#VALUE!</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t="e">
        <f>IF(G236&gt;0,DT!AC236*I236+DT!AD236*J236+DT!AE236*K236+DT!AF236*L236+DT!AG236*M236+DT!AH236*N236,"")</f>
        <v>#VALUE!</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t="e">
        <f>IF(G237&gt;0,DT!AC237*I237+DT!AD237*J237+DT!AE237*K237+DT!AF237*L237+DT!AG237*M237+DT!AH237*N237,"")</f>
        <v>#VALUE!</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t="e">
        <f>IF(G238&gt;0,DT!AC238*I238+DT!AD238*J238+DT!AE238*K238+DT!AF238*L238+DT!AG238*M238+DT!AH238*N238,"")</f>
        <v>#VALUE!</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t="e">
        <f>IF(G239&gt;0,DT!AC239*I239+DT!AD239*J239+DT!AE239*K239+DT!AF239*L239+DT!AG239*M239+DT!AH239*N239,"")</f>
        <v>#VALUE!</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t="e">
        <f>IF(G240&gt;0,DT!AC240*I240+DT!AD240*J240+DT!AE240*K240+DT!AF240*L240+DT!AG240*M240+DT!AH240*N240,"")</f>
        <v>#VALUE!</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t="e">
        <f>IF(G241&gt;0,DT!AC241*I241+DT!AD241*J241+DT!AE241*K241+DT!AF241*L241+DT!AG241*M241+DT!AH241*N241,"")</f>
        <v>#VALUE!</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t="e">
        <f>IF(G242&gt;0,DT!AC242*I242+DT!AD242*J242+DT!AE242*K242+DT!AF242*L242+DT!AG242*M242+DT!AH242*N242,"")</f>
        <v>#VALUE!</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t="e">
        <f>IF(G243&gt;0,DT!AC243*I243+DT!AD243*J243+DT!AE243*K243+DT!AF243*L243+DT!AG243*M243+DT!AH243*N243,"")</f>
        <v>#VALUE!</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t="e">
        <f>IF(G244&gt;0,DT!AC244*I244+DT!AD244*J244+DT!AE244*K244+DT!AF244*L244+DT!AG244*M244+DT!AH244*N244,"")</f>
        <v>#VALUE!</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t="e">
        <f>IF(G245&gt;0,DT!AC245*I245+DT!AD245*J245+DT!AE245*K245+DT!AF245*L245+DT!AG245*M245+DT!AH245*N245,"")</f>
        <v>#VALUE!</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t="e">
        <f>IF(G246&gt;0,DT!AC246*I246+DT!AD246*J246+DT!AE246*K246+DT!AF246*L246+DT!AG246*M246+DT!AH246*N246,"")</f>
        <v>#VALUE!</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t="e">
        <f>IF(G247&gt;0,DT!AC247*I247+DT!AD247*J247+DT!AE247*K247+DT!AF247*L247+DT!AG247*M247+DT!AH247*N247,"")</f>
        <v>#VALUE!</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t="e">
        <f>IF(G248&gt;0,DT!AC248*I248+DT!AD248*J248+DT!AE248*K248+DT!AF248*L248+DT!AG248*M248+DT!AH248*N248,"")</f>
        <v>#VALUE!</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t="e">
        <f>IF(G249&gt;0,DT!AC249*I249+DT!AD249*J249+DT!AE249*K249+DT!AF249*L249+DT!AG249*M249+DT!AH249*N249,"")</f>
        <v>#VALUE!</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t="e">
        <f>IF(G250&gt;0,DT!AC250*I250+DT!AD250*J250+DT!AE250*K250+DT!AF250*L250+DT!AG250*M250+DT!AH250*N250,"")</f>
        <v>#VALUE!</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t="e">
        <f>IF(G251&gt;0,DT!AC251*I251+DT!AD251*J251+DT!AE251*K251+DT!AF251*L251+DT!AG251*M251+DT!AH251*N251,"")</f>
        <v>#VALUE!</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t="e">
        <f>IF(G252&gt;0,DT!AC252*I252+DT!AD252*J252+DT!AE252*K252+DT!AF252*L252+DT!AG252*M252+DT!AH252*N252,"")</f>
        <v>#VALUE!</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t="e">
        <f>IF(G253&gt;0,DT!AC253*I253+DT!AD253*J253+DT!AE253*K253+DT!AF253*L253+DT!AG253*M253+DT!AH253*N253,"")</f>
        <v>#VALUE!</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t="e">
        <f>IF(G254&gt;0,DT!AC254*I254+DT!AD254*J254+DT!AE254*K254+DT!AF254*L254+DT!AG254*M254+DT!AH254*N254,"")</f>
        <v>#VALUE!</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t="e">
        <f>IF(G255&gt;0,DT!AC255*I255+DT!AD255*J255+DT!AE255*K255+DT!AF255*L255+DT!AG255*M255+DT!AH255*N255,"")</f>
        <v>#VALUE!</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t="e">
        <f>IF(G256&gt;0,DT!AC256*I256+DT!AD256*J256+DT!AE256*K256+DT!AF256*L256+DT!AG256*M256+DT!AH256*N256,"")</f>
        <v>#VALUE!</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t="e">
        <f>IF(G257&gt;0,DT!AC257*I257+DT!AD257*J257+DT!AE257*K257+DT!AF257*L257+DT!AG257*M257+DT!AH257*N257,"")</f>
        <v>#VALUE!</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sheetProtection algorithmName="SHA-512" hashValue="5XStihmC7bLK5r58wlkTrxvxkjLG7e88hp7osEo/Wk4f23wJpVu9QR2jfD2YYQcLZIlAoPmItjIa1x8uAxS6LQ==" saltValue="uVi68ppOq8iuGbIBkM3IrA==" spinCount="100000" sheet="1" objects="1" scenarios="1"/>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workbookViewId="0">
      <selection activeCell="BG39" sqref="BG39"/>
    </sheetView>
  </sheetViews>
  <sheetFormatPr defaultColWidth="9.1796875" defaultRowHeight="14.5"/>
  <cols>
    <col min="1" max="1" width="18.26953125" customWidth="1"/>
    <col min="2" max="53" width="15.7265625" customWidth="1"/>
    <col min="54" max="54" width="18.81640625" customWidth="1"/>
    <col min="55" max="55" width="18.54296875" customWidth="1"/>
    <col min="56" max="57" width="18.26953125" customWidth="1"/>
    <col min="58" max="59" width="18.453125" customWidth="1"/>
    <col min="60" max="61" width="18.26953125" customWidth="1"/>
  </cols>
  <sheetData>
    <row r="1" spans="1:61">
      <c r="A1" t="s">
        <v>124</v>
      </c>
      <c r="B1" t="s">
        <v>125</v>
      </c>
      <c r="C1" t="s">
        <v>126</v>
      </c>
      <c r="D1" t="s">
        <v>127</v>
      </c>
      <c r="E1" t="s">
        <v>128</v>
      </c>
      <c r="F1" t="s">
        <v>129</v>
      </c>
      <c r="G1" t="s">
        <v>130</v>
      </c>
      <c r="H1" t="s">
        <v>131</v>
      </c>
      <c r="I1" t="s">
        <v>132</v>
      </c>
      <c r="J1" t="s">
        <v>133</v>
      </c>
      <c r="K1" t="s">
        <v>134</v>
      </c>
      <c r="L1" t="s">
        <v>135</v>
      </c>
      <c r="M1" t="s">
        <v>136</v>
      </c>
      <c r="N1" t="s">
        <v>137</v>
      </c>
      <c r="O1" t="s">
        <v>138</v>
      </c>
      <c r="P1" t="s">
        <v>139</v>
      </c>
      <c r="Q1" t="s">
        <v>140</v>
      </c>
      <c r="R1" t="s">
        <v>141</v>
      </c>
      <c r="S1" t="s">
        <v>142</v>
      </c>
      <c r="T1" t="s">
        <v>143</v>
      </c>
      <c r="U1" t="s">
        <v>144</v>
      </c>
      <c r="V1" t="s">
        <v>145</v>
      </c>
      <c r="W1" t="s">
        <v>146</v>
      </c>
      <c r="X1" t="s">
        <v>147</v>
      </c>
      <c r="Y1" t="s">
        <v>148</v>
      </c>
      <c r="Z1" t="s">
        <v>149</v>
      </c>
      <c r="AA1" t="s">
        <v>150</v>
      </c>
      <c r="AB1" t="s">
        <v>151</v>
      </c>
      <c r="AC1" t="s">
        <v>152</v>
      </c>
      <c r="AD1" t="s">
        <v>153</v>
      </c>
      <c r="AE1" t="s">
        <v>154</v>
      </c>
      <c r="AF1" t="s">
        <v>155</v>
      </c>
      <c r="AG1" t="s">
        <v>156</v>
      </c>
      <c r="AH1" t="s">
        <v>157</v>
      </c>
      <c r="AI1" t="s">
        <v>158</v>
      </c>
      <c r="AJ1" t="s">
        <v>159</v>
      </c>
      <c r="AK1" t="s">
        <v>160</v>
      </c>
      <c r="AL1" t="s">
        <v>161</v>
      </c>
      <c r="AM1" t="s">
        <v>162</v>
      </c>
      <c r="AN1" t="s">
        <v>163</v>
      </c>
      <c r="AO1" t="s">
        <v>164</v>
      </c>
      <c r="AP1" t="s">
        <v>165</v>
      </c>
      <c r="AQ1" t="s">
        <v>166</v>
      </c>
      <c r="AR1" t="s">
        <v>167</v>
      </c>
      <c r="AS1" t="s">
        <v>168</v>
      </c>
      <c r="AT1" t="s">
        <v>169</v>
      </c>
      <c r="AU1" t="s">
        <v>170</v>
      </c>
      <c r="AV1" t="s">
        <v>171</v>
      </c>
      <c r="AW1" t="s">
        <v>172</v>
      </c>
      <c r="AX1" t="s">
        <v>173</v>
      </c>
      <c r="AY1" t="s">
        <v>174</v>
      </c>
      <c r="AZ1" t="s">
        <v>175</v>
      </c>
      <c r="BA1" t="s">
        <v>176</v>
      </c>
      <c r="BB1" t="s">
        <v>177</v>
      </c>
      <c r="BC1" s="21" t="s">
        <v>178</v>
      </c>
      <c r="BD1" s="21" t="s">
        <v>179</v>
      </c>
      <c r="BE1" s="22" t="s">
        <v>180</v>
      </c>
      <c r="BF1" s="22" t="s">
        <v>181</v>
      </c>
      <c r="BG1" s="21" t="s">
        <v>182</v>
      </c>
      <c r="BH1" t="s">
        <v>183</v>
      </c>
      <c r="BI1" t="s">
        <v>184</v>
      </c>
    </row>
    <row r="2" spans="1:61">
      <c r="A2" t="s">
        <v>185</v>
      </c>
      <c r="B2" t="s">
        <v>186</v>
      </c>
      <c r="C2" t="s">
        <v>187</v>
      </c>
      <c r="D2" t="s">
        <v>188</v>
      </c>
      <c r="E2" t="s">
        <v>189</v>
      </c>
      <c r="F2" t="s">
        <v>190</v>
      </c>
      <c r="G2" t="s">
        <v>191</v>
      </c>
      <c r="H2" t="s">
        <v>192</v>
      </c>
      <c r="I2" t="s">
        <v>193</v>
      </c>
      <c r="J2" t="s">
        <v>194</v>
      </c>
      <c r="K2" t="s">
        <v>195</v>
      </c>
      <c r="L2" t="s">
        <v>196</v>
      </c>
      <c r="M2" t="s">
        <v>197</v>
      </c>
      <c r="N2" t="s">
        <v>198</v>
      </c>
      <c r="O2" t="s">
        <v>199</v>
      </c>
      <c r="P2" t="s">
        <v>200</v>
      </c>
      <c r="Q2" t="s">
        <v>201</v>
      </c>
      <c r="R2" t="s">
        <v>202</v>
      </c>
      <c r="S2" t="s">
        <v>203</v>
      </c>
      <c r="T2" t="s">
        <v>204</v>
      </c>
      <c r="U2" t="s">
        <v>205</v>
      </c>
      <c r="V2" t="s">
        <v>206</v>
      </c>
      <c r="W2" t="s">
        <v>207</v>
      </c>
      <c r="X2" t="s">
        <v>208</v>
      </c>
      <c r="Y2" t="s">
        <v>209</v>
      </c>
      <c r="Z2" t="s">
        <v>210</v>
      </c>
      <c r="AA2" t="s">
        <v>211</v>
      </c>
      <c r="AB2" t="s">
        <v>212</v>
      </c>
      <c r="AC2" t="s">
        <v>213</v>
      </c>
      <c r="AD2" t="s">
        <v>214</v>
      </c>
      <c r="AE2" t="s">
        <v>215</v>
      </c>
      <c r="AF2" t="s">
        <v>216</v>
      </c>
      <c r="AG2" t="s">
        <v>217</v>
      </c>
      <c r="AH2" t="s">
        <v>218</v>
      </c>
      <c r="AI2" t="s">
        <v>219</v>
      </c>
      <c r="AJ2" t="s">
        <v>220</v>
      </c>
      <c r="AK2" t="s">
        <v>221</v>
      </c>
      <c r="AL2" t="s">
        <v>222</v>
      </c>
      <c r="AM2" t="s">
        <v>223</v>
      </c>
      <c r="AN2" t="s">
        <v>224</v>
      </c>
      <c r="AO2" t="s">
        <v>225</v>
      </c>
      <c r="AP2" t="s">
        <v>226</v>
      </c>
      <c r="AQ2" t="s">
        <v>227</v>
      </c>
      <c r="AR2" t="s">
        <v>228</v>
      </c>
      <c r="AS2" t="s">
        <v>229</v>
      </c>
      <c r="AT2" t="s">
        <v>230</v>
      </c>
      <c r="AU2" t="s">
        <v>231</v>
      </c>
      <c r="AV2" t="s">
        <v>232</v>
      </c>
      <c r="AW2" t="s">
        <v>233</v>
      </c>
      <c r="AX2" t="s">
        <v>234</v>
      </c>
      <c r="AY2" t="s">
        <v>235</v>
      </c>
      <c r="AZ2" t="s">
        <v>236</v>
      </c>
      <c r="BA2" t="s">
        <v>237</v>
      </c>
      <c r="BB2" t="s">
        <v>238</v>
      </c>
      <c r="BC2" t="s">
        <v>239</v>
      </c>
      <c r="BD2" t="s">
        <v>240</v>
      </c>
      <c r="BE2" t="s">
        <v>241</v>
      </c>
      <c r="BF2" t="s">
        <v>181</v>
      </c>
      <c r="BG2" t="s">
        <v>242</v>
      </c>
      <c r="BH2" t="s">
        <v>243</v>
      </c>
      <c r="BI2" t="s">
        <v>244</v>
      </c>
    </row>
    <row r="3" spans="1:61">
      <c r="A3" t="s">
        <v>245</v>
      </c>
      <c r="B3" t="s">
        <v>246</v>
      </c>
      <c r="C3" t="s">
        <v>247</v>
      </c>
      <c r="D3" t="s">
        <v>248</v>
      </c>
      <c r="E3" t="s">
        <v>249</v>
      </c>
      <c r="F3" t="s">
        <v>250</v>
      </c>
      <c r="G3" t="s">
        <v>251</v>
      </c>
      <c r="H3" t="s">
        <v>252</v>
      </c>
      <c r="I3" t="s">
        <v>253</v>
      </c>
      <c r="J3" t="s">
        <v>254</v>
      </c>
      <c r="K3" t="s">
        <v>255</v>
      </c>
      <c r="L3" t="s">
        <v>256</v>
      </c>
      <c r="M3" t="s">
        <v>257</v>
      </c>
      <c r="N3" t="s">
        <v>258</v>
      </c>
      <c r="O3" t="s">
        <v>259</v>
      </c>
      <c r="P3" t="s">
        <v>260</v>
      </c>
      <c r="Q3" t="s">
        <v>261</v>
      </c>
      <c r="R3" t="s">
        <v>262</v>
      </c>
      <c r="S3" t="s">
        <v>263</v>
      </c>
      <c r="T3" t="s">
        <v>264</v>
      </c>
      <c r="U3" t="s">
        <v>265</v>
      </c>
      <c r="V3" t="s">
        <v>266</v>
      </c>
      <c r="W3" t="s">
        <v>267</v>
      </c>
      <c r="X3" t="s">
        <v>268</v>
      </c>
      <c r="Y3" t="s">
        <v>269</v>
      </c>
      <c r="Z3" t="s">
        <v>270</v>
      </c>
      <c r="AA3" t="s">
        <v>271</v>
      </c>
      <c r="AB3" t="s">
        <v>272</v>
      </c>
      <c r="AC3" t="s">
        <v>273</v>
      </c>
      <c r="AD3" t="s">
        <v>274</v>
      </c>
      <c r="AE3" t="s">
        <v>275</v>
      </c>
      <c r="AF3" t="s">
        <v>276</v>
      </c>
      <c r="AG3" t="s">
        <v>277</v>
      </c>
      <c r="AH3" t="s">
        <v>278</v>
      </c>
      <c r="AI3" t="s">
        <v>279</v>
      </c>
      <c r="AJ3" t="s">
        <v>280</v>
      </c>
      <c r="AK3" t="s">
        <v>281</v>
      </c>
      <c r="AL3" t="s">
        <v>282</v>
      </c>
      <c r="AM3" t="s">
        <v>283</v>
      </c>
      <c r="AN3" t="s">
        <v>284</v>
      </c>
      <c r="AO3" t="s">
        <v>285</v>
      </c>
      <c r="AP3" t="s">
        <v>286</v>
      </c>
      <c r="AQ3" t="s">
        <v>287</v>
      </c>
      <c r="AR3" t="s">
        <v>288</v>
      </c>
      <c r="AS3" t="s">
        <v>289</v>
      </c>
      <c r="AT3" t="s">
        <v>290</v>
      </c>
      <c r="AU3" t="s">
        <v>291</v>
      </c>
      <c r="AV3" t="s">
        <v>292</v>
      </c>
      <c r="AW3" t="s">
        <v>293</v>
      </c>
      <c r="AX3" t="s">
        <v>294</v>
      </c>
      <c r="AY3" t="s">
        <v>295</v>
      </c>
      <c r="AZ3" t="s">
        <v>296</v>
      </c>
      <c r="BA3" t="s">
        <v>297</v>
      </c>
      <c r="BB3" s="21" t="s">
        <v>177</v>
      </c>
      <c r="BC3" s="21" t="s">
        <v>178</v>
      </c>
      <c r="BD3" s="21" t="s">
        <v>179</v>
      </c>
      <c r="BE3" s="22" t="s">
        <v>180</v>
      </c>
      <c r="BF3" s="22" t="s">
        <v>181</v>
      </c>
      <c r="BG3" s="21" t="s">
        <v>182</v>
      </c>
      <c r="BH3" t="s">
        <v>183</v>
      </c>
      <c r="BI3" t="s">
        <v>184</v>
      </c>
    </row>
    <row r="4" spans="1:61">
      <c r="A4" t="s">
        <v>298</v>
      </c>
      <c r="B4" t="s">
        <v>299</v>
      </c>
      <c r="C4" t="s">
        <v>300</v>
      </c>
      <c r="D4" t="s">
        <v>301</v>
      </c>
      <c r="E4" t="s">
        <v>302</v>
      </c>
      <c r="F4" t="s">
        <v>303</v>
      </c>
      <c r="G4" t="s">
        <v>304</v>
      </c>
      <c r="H4" t="s">
        <v>305</v>
      </c>
      <c r="I4" t="s">
        <v>306</v>
      </c>
      <c r="J4" t="s">
        <v>307</v>
      </c>
      <c r="K4" t="s">
        <v>308</v>
      </c>
      <c r="L4" t="s">
        <v>309</v>
      </c>
      <c r="M4" t="s">
        <v>310</v>
      </c>
      <c r="N4" t="s">
        <v>311</v>
      </c>
      <c r="O4" t="s">
        <v>312</v>
      </c>
      <c r="P4" t="s">
        <v>313</v>
      </c>
      <c r="Q4" t="s">
        <v>314</v>
      </c>
      <c r="R4" t="s">
        <v>315</v>
      </c>
      <c r="S4" t="s">
        <v>316</v>
      </c>
      <c r="T4" t="s">
        <v>317</v>
      </c>
      <c r="U4" t="s">
        <v>318</v>
      </c>
      <c r="V4" t="s">
        <v>319</v>
      </c>
      <c r="W4" t="s">
        <v>320</v>
      </c>
      <c r="X4" t="s">
        <v>321</v>
      </c>
      <c r="Y4" t="s">
        <v>322</v>
      </c>
      <c r="Z4" t="s">
        <v>323</v>
      </c>
      <c r="AA4" t="s">
        <v>324</v>
      </c>
      <c r="AB4" t="s">
        <v>325</v>
      </c>
      <c r="AC4" t="s">
        <v>326</v>
      </c>
      <c r="AD4" t="s">
        <v>318</v>
      </c>
      <c r="AE4" t="s">
        <v>327</v>
      </c>
      <c r="AF4" t="s">
        <v>328</v>
      </c>
      <c r="AG4" t="s">
        <v>329</v>
      </c>
      <c r="AH4" t="s">
        <v>330</v>
      </c>
      <c r="AI4" t="s">
        <v>331</v>
      </c>
      <c r="AJ4" t="s">
        <v>332</v>
      </c>
      <c r="AK4" t="s">
        <v>333</v>
      </c>
      <c r="AL4" t="s">
        <v>334</v>
      </c>
      <c r="AM4" t="s">
        <v>335</v>
      </c>
      <c r="AN4" t="s">
        <v>336</v>
      </c>
      <c r="AO4" t="s">
        <v>337</v>
      </c>
      <c r="AP4" t="s">
        <v>338</v>
      </c>
      <c r="AQ4" t="s">
        <v>339</v>
      </c>
      <c r="AR4" t="s">
        <v>340</v>
      </c>
      <c r="AS4" t="s">
        <v>341</v>
      </c>
      <c r="AT4" t="s">
        <v>342</v>
      </c>
      <c r="AU4" t="s">
        <v>343</v>
      </c>
      <c r="AV4" t="s">
        <v>344</v>
      </c>
      <c r="AW4" t="s">
        <v>345</v>
      </c>
      <c r="AX4" t="s">
        <v>346</v>
      </c>
      <c r="AY4" t="s">
        <v>347</v>
      </c>
      <c r="AZ4" t="s">
        <v>348</v>
      </c>
      <c r="BA4" t="s">
        <v>349</v>
      </c>
      <c r="BB4" t="s">
        <v>350</v>
      </c>
      <c r="BC4" t="s">
        <v>351</v>
      </c>
      <c r="BD4" t="s">
        <v>352</v>
      </c>
      <c r="BE4" t="s">
        <v>353</v>
      </c>
      <c r="BF4" t="s">
        <v>354</v>
      </c>
      <c r="BG4" t="s">
        <v>355</v>
      </c>
      <c r="BH4" t="s">
        <v>356</v>
      </c>
      <c r="BI4" t="s">
        <v>357</v>
      </c>
    </row>
    <row r="5" spans="1:61">
      <c r="A5" t="s">
        <v>358</v>
      </c>
      <c r="B5" t="s">
        <v>359</v>
      </c>
      <c r="C5" t="s">
        <v>360</v>
      </c>
      <c r="D5" t="s">
        <v>361</v>
      </c>
      <c r="E5" t="s">
        <v>362</v>
      </c>
      <c r="F5" t="s">
        <v>363</v>
      </c>
      <c r="G5" t="s">
        <v>364</v>
      </c>
      <c r="H5" t="s">
        <v>365</v>
      </c>
      <c r="I5" t="s">
        <v>366</v>
      </c>
      <c r="J5" t="s">
        <v>367</v>
      </c>
      <c r="K5" t="s">
        <v>368</v>
      </c>
      <c r="L5" t="s">
        <v>369</v>
      </c>
      <c r="M5" t="s">
        <v>370</v>
      </c>
      <c r="N5" t="s">
        <v>371</v>
      </c>
      <c r="O5" t="s">
        <v>372</v>
      </c>
      <c r="P5" t="s">
        <v>373</v>
      </c>
      <c r="Q5" t="s">
        <v>374</v>
      </c>
      <c r="R5" t="s">
        <v>375</v>
      </c>
      <c r="S5" t="s">
        <v>376</v>
      </c>
      <c r="T5" t="s">
        <v>377</v>
      </c>
      <c r="U5" t="s">
        <v>378</v>
      </c>
      <c r="V5" t="s">
        <v>379</v>
      </c>
      <c r="W5" t="s">
        <v>380</v>
      </c>
      <c r="X5" t="s">
        <v>381</v>
      </c>
      <c r="Y5" t="s">
        <v>382</v>
      </c>
      <c r="Z5" t="s">
        <v>383</v>
      </c>
      <c r="AA5" t="s">
        <v>384</v>
      </c>
      <c r="AB5" t="s">
        <v>371</v>
      </c>
      <c r="AC5" t="s">
        <v>385</v>
      </c>
      <c r="AD5" t="s">
        <v>386</v>
      </c>
      <c r="AE5" t="s">
        <v>387</v>
      </c>
      <c r="AF5" t="s">
        <v>388</v>
      </c>
      <c r="AG5" t="s">
        <v>389</v>
      </c>
      <c r="AH5" t="s">
        <v>390</v>
      </c>
      <c r="AI5" t="s">
        <v>391</v>
      </c>
      <c r="AJ5" t="s">
        <v>392</v>
      </c>
      <c r="AK5" t="s">
        <v>393</v>
      </c>
      <c r="AL5" t="s">
        <v>394</v>
      </c>
      <c r="AM5" t="s">
        <v>395</v>
      </c>
      <c r="AN5" t="s">
        <v>396</v>
      </c>
      <c r="AO5" t="s">
        <v>397</v>
      </c>
      <c r="AP5" t="s">
        <v>398</v>
      </c>
      <c r="AQ5" t="s">
        <v>399</v>
      </c>
      <c r="AR5" t="s">
        <v>400</v>
      </c>
      <c r="AS5" t="s">
        <v>401</v>
      </c>
      <c r="AT5" t="s">
        <v>402</v>
      </c>
      <c r="AU5" t="s">
        <v>403</v>
      </c>
      <c r="AV5" t="s">
        <v>404</v>
      </c>
      <c r="AW5" t="s">
        <v>405</v>
      </c>
      <c r="AX5" t="s">
        <v>406</v>
      </c>
      <c r="AY5" t="s">
        <v>407</v>
      </c>
      <c r="AZ5" t="s">
        <v>408</v>
      </c>
      <c r="BA5" t="s">
        <v>409</v>
      </c>
      <c r="BB5" t="s">
        <v>410</v>
      </c>
      <c r="BC5" t="s">
        <v>411</v>
      </c>
      <c r="BD5" t="s">
        <v>412</v>
      </c>
      <c r="BE5" t="s">
        <v>413</v>
      </c>
      <c r="BF5" t="s">
        <v>414</v>
      </c>
      <c r="BG5" t="s">
        <v>415</v>
      </c>
      <c r="BH5" t="s">
        <v>416</v>
      </c>
      <c r="BI5" t="s">
        <v>417</v>
      </c>
    </row>
    <row r="6" spans="1:61">
      <c r="A6" t="s">
        <v>418</v>
      </c>
      <c r="B6" t="s">
        <v>419</v>
      </c>
      <c r="C6" t="s">
        <v>420</v>
      </c>
      <c r="D6" t="s">
        <v>421</v>
      </c>
      <c r="E6" t="s">
        <v>422</v>
      </c>
      <c r="F6" t="s">
        <v>423</v>
      </c>
      <c r="G6" t="s">
        <v>424</v>
      </c>
      <c r="H6" t="s">
        <v>425</v>
      </c>
      <c r="I6" t="s">
        <v>426</v>
      </c>
      <c r="J6" t="s">
        <v>427</v>
      </c>
      <c r="K6" t="s">
        <v>428</v>
      </c>
      <c r="L6" t="s">
        <v>429</v>
      </c>
      <c r="M6" t="s">
        <v>430</v>
      </c>
      <c r="N6" t="s">
        <v>431</v>
      </c>
      <c r="O6" t="s">
        <v>432</v>
      </c>
      <c r="P6" t="s">
        <v>433</v>
      </c>
      <c r="Q6" t="s">
        <v>434</v>
      </c>
      <c r="R6" t="s">
        <v>435</v>
      </c>
      <c r="S6" t="s">
        <v>436</v>
      </c>
      <c r="T6" t="s">
        <v>437</v>
      </c>
      <c r="U6" t="s">
        <v>438</v>
      </c>
      <c r="V6" t="s">
        <v>439</v>
      </c>
      <c r="W6" t="s">
        <v>440</v>
      </c>
      <c r="X6" t="s">
        <v>441</v>
      </c>
      <c r="Y6" t="s">
        <v>442</v>
      </c>
      <c r="Z6" t="s">
        <v>443</v>
      </c>
      <c r="AA6" t="s">
        <v>444</v>
      </c>
      <c r="AB6" t="s">
        <v>445</v>
      </c>
      <c r="AC6" t="s">
        <v>446</v>
      </c>
      <c r="AD6" t="s">
        <v>447</v>
      </c>
      <c r="AE6" t="s">
        <v>448</v>
      </c>
      <c r="AF6" t="s">
        <v>449</v>
      </c>
      <c r="AG6" t="s">
        <v>450</v>
      </c>
      <c r="AH6" t="s">
        <v>451</v>
      </c>
      <c r="AI6" t="s">
        <v>452</v>
      </c>
      <c r="AJ6" t="s">
        <v>453</v>
      </c>
      <c r="AK6" t="s">
        <v>454</v>
      </c>
      <c r="AL6" t="s">
        <v>455</v>
      </c>
      <c r="AM6" t="s">
        <v>456</v>
      </c>
      <c r="AN6" t="s">
        <v>457</v>
      </c>
      <c r="AO6" t="s">
        <v>458</v>
      </c>
      <c r="AP6" t="s">
        <v>459</v>
      </c>
      <c r="AQ6" t="s">
        <v>460</v>
      </c>
      <c r="AR6" t="s">
        <v>461</v>
      </c>
      <c r="AS6" t="s">
        <v>462</v>
      </c>
      <c r="AT6" t="s">
        <v>463</v>
      </c>
      <c r="AU6" t="s">
        <v>464</v>
      </c>
      <c r="AV6" t="s">
        <v>465</v>
      </c>
      <c r="AW6" t="s">
        <v>466</v>
      </c>
      <c r="AX6" t="s">
        <v>467</v>
      </c>
      <c r="AY6" t="s">
        <v>468</v>
      </c>
      <c r="AZ6" t="s">
        <v>469</v>
      </c>
      <c r="BA6" t="s">
        <v>470</v>
      </c>
      <c r="BB6" s="21" t="s">
        <v>471</v>
      </c>
      <c r="BC6" s="21" t="s">
        <v>472</v>
      </c>
      <c r="BD6" s="21" t="s">
        <v>473</v>
      </c>
      <c r="BE6" s="21" t="s">
        <v>474</v>
      </c>
      <c r="BF6" s="21" t="s">
        <v>475</v>
      </c>
      <c r="BG6" s="21" t="s">
        <v>476</v>
      </c>
      <c r="BH6" t="s">
        <v>477</v>
      </c>
      <c r="BI6" t="s">
        <v>478</v>
      </c>
    </row>
    <row r="7" spans="1:61">
      <c r="A7" t="s">
        <v>479</v>
      </c>
      <c r="B7" t="s">
        <v>480</v>
      </c>
      <c r="C7" t="s">
        <v>481</v>
      </c>
      <c r="D7" t="s">
        <v>482</v>
      </c>
      <c r="E7" t="s">
        <v>483</v>
      </c>
      <c r="F7" t="s">
        <v>484</v>
      </c>
      <c r="G7" t="s">
        <v>485</v>
      </c>
      <c r="H7" t="s">
        <v>486</v>
      </c>
      <c r="I7" t="s">
        <v>487</v>
      </c>
      <c r="J7" t="s">
        <v>488</v>
      </c>
      <c r="K7" t="s">
        <v>489</v>
      </c>
      <c r="L7" t="s">
        <v>490</v>
      </c>
      <c r="M7" t="s">
        <v>491</v>
      </c>
      <c r="N7" t="s">
        <v>492</v>
      </c>
      <c r="O7" t="s">
        <v>493</v>
      </c>
      <c r="P7" t="s">
        <v>494</v>
      </c>
      <c r="Q7" t="s">
        <v>495</v>
      </c>
      <c r="R7" t="s">
        <v>496</v>
      </c>
      <c r="S7" t="s">
        <v>497</v>
      </c>
      <c r="T7" t="s">
        <v>377</v>
      </c>
      <c r="U7" t="s">
        <v>498</v>
      </c>
      <c r="V7" t="s">
        <v>499</v>
      </c>
      <c r="W7" t="s">
        <v>500</v>
      </c>
      <c r="X7" t="s">
        <v>501</v>
      </c>
      <c r="Y7" t="s">
        <v>502</v>
      </c>
      <c r="Z7" t="s">
        <v>503</v>
      </c>
      <c r="AA7" t="s">
        <v>504</v>
      </c>
      <c r="AB7" t="s">
        <v>505</v>
      </c>
      <c r="AC7" t="s">
        <v>506</v>
      </c>
      <c r="AD7" t="s">
        <v>507</v>
      </c>
      <c r="AE7" t="s">
        <v>508</v>
      </c>
      <c r="AF7" t="s">
        <v>509</v>
      </c>
      <c r="AG7" t="s">
        <v>481</v>
      </c>
      <c r="AH7" t="s">
        <v>510</v>
      </c>
      <c r="AI7" t="s">
        <v>511</v>
      </c>
      <c r="AJ7" t="s">
        <v>512</v>
      </c>
      <c r="AK7" t="s">
        <v>513</v>
      </c>
      <c r="AL7" t="s">
        <v>514</v>
      </c>
      <c r="AM7" t="s">
        <v>515</v>
      </c>
      <c r="AN7" t="s">
        <v>516</v>
      </c>
      <c r="AO7" t="s">
        <v>517</v>
      </c>
      <c r="AP7" t="s">
        <v>518</v>
      </c>
      <c r="AQ7" t="s">
        <v>519</v>
      </c>
      <c r="AR7" t="s">
        <v>520</v>
      </c>
      <c r="AS7" t="s">
        <v>521</v>
      </c>
      <c r="AT7" t="s">
        <v>522</v>
      </c>
      <c r="AU7" t="s">
        <v>523</v>
      </c>
      <c r="AV7" t="s">
        <v>524</v>
      </c>
      <c r="AW7" t="s">
        <v>525</v>
      </c>
      <c r="AX7" t="s">
        <v>526</v>
      </c>
      <c r="AY7" t="s">
        <v>527</v>
      </c>
      <c r="AZ7" t="s">
        <v>528</v>
      </c>
      <c r="BA7" t="s">
        <v>529</v>
      </c>
      <c r="BB7" s="21" t="s">
        <v>530</v>
      </c>
      <c r="BC7" s="21" t="s">
        <v>531</v>
      </c>
      <c r="BD7" s="21" t="s">
        <v>532</v>
      </c>
      <c r="BE7" s="22" t="s">
        <v>533</v>
      </c>
      <c r="BF7" s="22" t="s">
        <v>181</v>
      </c>
      <c r="BG7" s="21" t="s">
        <v>534</v>
      </c>
      <c r="BH7" t="s">
        <v>535</v>
      </c>
      <c r="BI7" t="s">
        <v>536</v>
      </c>
    </row>
    <row r="8" spans="1:61">
      <c r="A8" t="s">
        <v>537</v>
      </c>
      <c r="B8" t="s">
        <v>538</v>
      </c>
      <c r="C8" t="s">
        <v>539</v>
      </c>
      <c r="D8" t="s">
        <v>540</v>
      </c>
      <c r="E8" t="s">
        <v>541</v>
      </c>
      <c r="F8" t="s">
        <v>303</v>
      </c>
      <c r="G8" t="s">
        <v>542</v>
      </c>
      <c r="H8" t="s">
        <v>543</v>
      </c>
      <c r="I8" t="s">
        <v>544</v>
      </c>
      <c r="J8" t="s">
        <v>545</v>
      </c>
      <c r="K8" t="s">
        <v>546</v>
      </c>
      <c r="L8" t="s">
        <v>547</v>
      </c>
      <c r="M8" t="s">
        <v>548</v>
      </c>
      <c r="N8" t="s">
        <v>549</v>
      </c>
      <c r="O8" t="s">
        <v>550</v>
      </c>
      <c r="P8" t="s">
        <v>551</v>
      </c>
      <c r="Q8" t="s">
        <v>552</v>
      </c>
      <c r="R8" t="s">
        <v>553</v>
      </c>
      <c r="S8" t="s">
        <v>316</v>
      </c>
      <c r="T8" t="s">
        <v>554</v>
      </c>
      <c r="U8" t="s">
        <v>555</v>
      </c>
      <c r="V8" t="s">
        <v>556</v>
      </c>
      <c r="W8" t="s">
        <v>557</v>
      </c>
      <c r="X8" t="s">
        <v>558</v>
      </c>
      <c r="Y8" t="s">
        <v>559</v>
      </c>
      <c r="Z8" t="s">
        <v>560</v>
      </c>
      <c r="AA8" t="s">
        <v>561</v>
      </c>
      <c r="AB8" t="s">
        <v>562</v>
      </c>
      <c r="AC8" t="s">
        <v>563</v>
      </c>
      <c r="AD8" t="s">
        <v>564</v>
      </c>
      <c r="AE8" t="s">
        <v>565</v>
      </c>
      <c r="AF8" t="s">
        <v>566</v>
      </c>
      <c r="AG8" t="s">
        <v>567</v>
      </c>
      <c r="AH8" t="s">
        <v>568</v>
      </c>
      <c r="AI8" t="s">
        <v>569</v>
      </c>
      <c r="AJ8" t="s">
        <v>570</v>
      </c>
      <c r="AK8" t="s">
        <v>571</v>
      </c>
      <c r="AL8" t="s">
        <v>572</v>
      </c>
      <c r="AM8" t="s">
        <v>573</v>
      </c>
      <c r="AN8" t="s">
        <v>574</v>
      </c>
      <c r="AO8" t="s">
        <v>575</v>
      </c>
      <c r="AP8" t="s">
        <v>576</v>
      </c>
      <c r="AQ8" t="s">
        <v>339</v>
      </c>
      <c r="AR8" t="s">
        <v>577</v>
      </c>
      <c r="AS8" t="s">
        <v>341</v>
      </c>
      <c r="AT8" t="s">
        <v>578</v>
      </c>
      <c r="AU8" t="s">
        <v>579</v>
      </c>
      <c r="AV8" t="s">
        <v>580</v>
      </c>
      <c r="AW8" t="s">
        <v>581</v>
      </c>
      <c r="AX8" t="s">
        <v>346</v>
      </c>
      <c r="AY8" t="s">
        <v>347</v>
      </c>
      <c r="AZ8" t="s">
        <v>582</v>
      </c>
      <c r="BA8" t="s">
        <v>583</v>
      </c>
      <c r="BB8" s="21" t="s">
        <v>584</v>
      </c>
      <c r="BC8" s="21" t="s">
        <v>585</v>
      </c>
      <c r="BD8" s="21" t="s">
        <v>586</v>
      </c>
      <c r="BE8" s="22" t="s">
        <v>587</v>
      </c>
      <c r="BF8" s="22" t="s">
        <v>588</v>
      </c>
      <c r="BG8" s="21" t="s">
        <v>589</v>
      </c>
      <c r="BH8" t="s">
        <v>590</v>
      </c>
      <c r="BI8" t="s">
        <v>591</v>
      </c>
    </row>
    <row r="9" spans="1:61">
      <c r="A9" t="s">
        <v>592</v>
      </c>
      <c r="B9" t="s">
        <v>593</v>
      </c>
      <c r="C9" t="s">
        <v>594</v>
      </c>
      <c r="D9" t="s">
        <v>595</v>
      </c>
      <c r="E9" t="s">
        <v>596</v>
      </c>
      <c r="F9" t="s">
        <v>597</v>
      </c>
      <c r="G9" t="s">
        <v>598</v>
      </c>
      <c r="H9" t="s">
        <v>599</v>
      </c>
      <c r="I9" t="s">
        <v>600</v>
      </c>
      <c r="J9" t="s">
        <v>601</v>
      </c>
      <c r="K9" t="s">
        <v>602</v>
      </c>
      <c r="L9" t="s">
        <v>603</v>
      </c>
      <c r="M9" t="s">
        <v>604</v>
      </c>
      <c r="N9" t="s">
        <v>605</v>
      </c>
      <c r="O9" t="s">
        <v>606</v>
      </c>
      <c r="P9" t="s">
        <v>607</v>
      </c>
      <c r="Q9" t="s">
        <v>608</v>
      </c>
      <c r="R9" t="s">
        <v>609</v>
      </c>
      <c r="S9" t="s">
        <v>610</v>
      </c>
      <c r="T9" t="s">
        <v>611</v>
      </c>
      <c r="U9" t="s">
        <v>612</v>
      </c>
      <c r="V9" t="s">
        <v>613</v>
      </c>
      <c r="W9" t="s">
        <v>614</v>
      </c>
      <c r="X9" t="s">
        <v>615</v>
      </c>
      <c r="Y9" t="s">
        <v>616</v>
      </c>
      <c r="Z9" t="s">
        <v>617</v>
      </c>
      <c r="AA9" t="s">
        <v>618</v>
      </c>
      <c r="AB9" t="s">
        <v>619</v>
      </c>
      <c r="AC9" t="s">
        <v>620</v>
      </c>
      <c r="AD9" t="s">
        <v>621</v>
      </c>
      <c r="AE9" t="s">
        <v>622</v>
      </c>
      <c r="AF9" t="s">
        <v>593</v>
      </c>
      <c r="AG9" t="s">
        <v>623</v>
      </c>
      <c r="AH9" t="s">
        <v>624</v>
      </c>
      <c r="AI9" t="s">
        <v>625</v>
      </c>
      <c r="AJ9" t="s">
        <v>626</v>
      </c>
      <c r="AK9" t="s">
        <v>627</v>
      </c>
      <c r="AL9" t="s">
        <v>628</v>
      </c>
      <c r="AM9" t="s">
        <v>629</v>
      </c>
      <c r="AN9" t="s">
        <v>630</v>
      </c>
      <c r="AO9" t="s">
        <v>631</v>
      </c>
      <c r="AP9" t="s">
        <v>632</v>
      </c>
      <c r="AQ9" t="s">
        <v>633</v>
      </c>
      <c r="AR9" t="s">
        <v>634</v>
      </c>
      <c r="AS9" t="s">
        <v>635</v>
      </c>
      <c r="AT9" t="s">
        <v>636</v>
      </c>
      <c r="AU9" t="s">
        <v>637</v>
      </c>
      <c r="AV9" t="s">
        <v>638</v>
      </c>
      <c r="AW9" t="s">
        <v>639</v>
      </c>
      <c r="AX9" t="s">
        <v>640</v>
      </c>
      <c r="AY9" t="s">
        <v>641</v>
      </c>
      <c r="AZ9" t="s">
        <v>642</v>
      </c>
      <c r="BA9" t="s">
        <v>643</v>
      </c>
      <c r="BB9" s="21" t="s">
        <v>644</v>
      </c>
      <c r="BC9" s="21" t="s">
        <v>645</v>
      </c>
      <c r="BD9" s="21" t="s">
        <v>646</v>
      </c>
      <c r="BE9" s="22" t="s">
        <v>647</v>
      </c>
      <c r="BF9" s="22" t="s">
        <v>648</v>
      </c>
      <c r="BG9" s="21" t="s">
        <v>649</v>
      </c>
      <c r="BH9" t="s">
        <v>650</v>
      </c>
      <c r="BI9" t="s">
        <v>651</v>
      </c>
    </row>
    <row r="10" spans="1:61">
      <c r="A10" t="s">
        <v>652</v>
      </c>
      <c r="B10" t="s">
        <v>653</v>
      </c>
      <c r="C10" t="s">
        <v>654</v>
      </c>
      <c r="D10" t="s">
        <v>655</v>
      </c>
      <c r="E10" t="s">
        <v>656</v>
      </c>
      <c r="F10" t="s">
        <v>657</v>
      </c>
      <c r="G10" t="s">
        <v>658</v>
      </c>
      <c r="H10" t="s">
        <v>659</v>
      </c>
      <c r="I10" t="s">
        <v>660</v>
      </c>
      <c r="J10" t="s">
        <v>661</v>
      </c>
      <c r="K10" t="s">
        <v>662</v>
      </c>
      <c r="L10" t="s">
        <v>663</v>
      </c>
      <c r="M10" t="s">
        <v>664</v>
      </c>
      <c r="N10" t="s">
        <v>665</v>
      </c>
      <c r="O10" t="s">
        <v>666</v>
      </c>
      <c r="P10" t="s">
        <v>667</v>
      </c>
      <c r="Q10" t="s">
        <v>668</v>
      </c>
      <c r="R10" t="s">
        <v>669</v>
      </c>
      <c r="S10" t="s">
        <v>670</v>
      </c>
      <c r="T10" t="s">
        <v>671</v>
      </c>
      <c r="U10" t="s">
        <v>672</v>
      </c>
      <c r="V10" t="s">
        <v>673</v>
      </c>
      <c r="W10" t="s">
        <v>674</v>
      </c>
      <c r="X10" t="s">
        <v>675</v>
      </c>
      <c r="Y10" t="s">
        <v>676</v>
      </c>
      <c r="Z10" t="s">
        <v>677</v>
      </c>
      <c r="AA10" t="s">
        <v>678</v>
      </c>
      <c r="AB10" t="s">
        <v>679</v>
      </c>
      <c r="AC10" t="s">
        <v>680</v>
      </c>
      <c r="AD10" t="s">
        <v>681</v>
      </c>
      <c r="AE10" t="s">
        <v>682</v>
      </c>
      <c r="AF10" t="s">
        <v>683</v>
      </c>
      <c r="AG10" t="s">
        <v>684</v>
      </c>
      <c r="AH10" t="s">
        <v>685</v>
      </c>
      <c r="AI10" t="s">
        <v>686</v>
      </c>
      <c r="AJ10" t="s">
        <v>687</v>
      </c>
      <c r="AK10" t="s">
        <v>688</v>
      </c>
      <c r="AL10" t="s">
        <v>689</v>
      </c>
      <c r="AM10" t="s">
        <v>690</v>
      </c>
      <c r="AN10" t="s">
        <v>691</v>
      </c>
      <c r="AO10" t="s">
        <v>692</v>
      </c>
      <c r="AP10" t="s">
        <v>693</v>
      </c>
      <c r="AQ10" t="s">
        <v>694</v>
      </c>
      <c r="AR10" t="s">
        <v>695</v>
      </c>
      <c r="AS10" t="s">
        <v>696</v>
      </c>
      <c r="AT10" t="s">
        <v>697</v>
      </c>
      <c r="AU10" t="s">
        <v>698</v>
      </c>
      <c r="AV10" t="s">
        <v>699</v>
      </c>
      <c r="AW10" t="s">
        <v>700</v>
      </c>
      <c r="AX10" t="s">
        <v>701</v>
      </c>
      <c r="AY10" t="s">
        <v>702</v>
      </c>
      <c r="AZ10" t="s">
        <v>703</v>
      </c>
      <c r="BA10" t="s">
        <v>704</v>
      </c>
      <c r="BB10" s="19" t="s">
        <v>705</v>
      </c>
      <c r="BC10" t="s">
        <v>706</v>
      </c>
      <c r="BD10" s="19" t="s">
        <v>707</v>
      </c>
      <c r="BE10" s="20" t="s">
        <v>708</v>
      </c>
      <c r="BF10" s="20" t="s">
        <v>709</v>
      </c>
      <c r="BG10" s="25" t="s">
        <v>710</v>
      </c>
      <c r="BH10" t="s">
        <v>711</v>
      </c>
      <c r="BI10" t="s">
        <v>712</v>
      </c>
    </row>
    <row r="11" spans="1:61">
      <c r="A11" t="s">
        <v>713</v>
      </c>
      <c r="B11" t="s">
        <v>714</v>
      </c>
      <c r="C11" t="s">
        <v>715</v>
      </c>
      <c r="D11" t="s">
        <v>716</v>
      </c>
      <c r="E11" t="s">
        <v>717</v>
      </c>
      <c r="F11" t="s">
        <v>718</v>
      </c>
      <c r="G11" t="s">
        <v>719</v>
      </c>
      <c r="H11" t="s">
        <v>720</v>
      </c>
      <c r="I11" t="s">
        <v>721</v>
      </c>
      <c r="J11" t="s">
        <v>722</v>
      </c>
      <c r="K11" t="s">
        <v>723</v>
      </c>
      <c r="L11" t="s">
        <v>724</v>
      </c>
      <c r="M11" t="s">
        <v>725</v>
      </c>
      <c r="N11" t="s">
        <v>726</v>
      </c>
      <c r="O11" t="s">
        <v>727</v>
      </c>
      <c r="P11" t="s">
        <v>728</v>
      </c>
      <c r="Q11" t="s">
        <v>729</v>
      </c>
      <c r="R11" t="s">
        <v>730</v>
      </c>
      <c r="S11" t="s">
        <v>731</v>
      </c>
      <c r="T11" t="s">
        <v>732</v>
      </c>
      <c r="U11" t="s">
        <v>733</v>
      </c>
      <c r="V11" t="s">
        <v>734</v>
      </c>
      <c r="W11" t="s">
        <v>735</v>
      </c>
      <c r="X11" t="s">
        <v>736</v>
      </c>
      <c r="Y11" t="s">
        <v>737</v>
      </c>
      <c r="Z11" t="s">
        <v>738</v>
      </c>
      <c r="AA11" t="s">
        <v>739</v>
      </c>
      <c r="AB11" t="s">
        <v>740</v>
      </c>
      <c r="AC11" t="s">
        <v>741</v>
      </c>
      <c r="AD11" t="s">
        <v>742</v>
      </c>
      <c r="AE11" t="s">
        <v>743</v>
      </c>
      <c r="AF11" t="s">
        <v>744</v>
      </c>
      <c r="AG11" t="s">
        <v>745</v>
      </c>
      <c r="AH11" t="s">
        <v>746</v>
      </c>
      <c r="AI11" t="s">
        <v>747</v>
      </c>
      <c r="AJ11" t="s">
        <v>748</v>
      </c>
      <c r="AK11" t="s">
        <v>749</v>
      </c>
      <c r="AL11" t="s">
        <v>750</v>
      </c>
      <c r="AM11" t="s">
        <v>751</v>
      </c>
      <c r="AN11" t="s">
        <v>752</v>
      </c>
      <c r="AO11" t="s">
        <v>753</v>
      </c>
      <c r="AP11" t="s">
        <v>754</v>
      </c>
      <c r="AQ11" t="s">
        <v>755</v>
      </c>
      <c r="AR11" t="s">
        <v>756</v>
      </c>
      <c r="AS11" t="s">
        <v>757</v>
      </c>
      <c r="AT11" t="s">
        <v>758</v>
      </c>
      <c r="AU11" t="s">
        <v>759</v>
      </c>
      <c r="AV11" t="s">
        <v>760</v>
      </c>
      <c r="AW11" t="s">
        <v>761</v>
      </c>
      <c r="AX11" t="s">
        <v>762</v>
      </c>
      <c r="AY11" t="s">
        <v>763</v>
      </c>
      <c r="AZ11" t="s">
        <v>703</v>
      </c>
      <c r="BA11" t="s">
        <v>764</v>
      </c>
      <c r="BB11" s="19" t="s">
        <v>765</v>
      </c>
      <c r="BC11" s="19" t="s">
        <v>766</v>
      </c>
      <c r="BD11" s="19" t="s">
        <v>767</v>
      </c>
      <c r="BE11" s="20" t="s">
        <v>768</v>
      </c>
      <c r="BF11" s="20" t="s">
        <v>769</v>
      </c>
      <c r="BG11" s="19" t="s">
        <v>770</v>
      </c>
      <c r="BH11" t="s">
        <v>771</v>
      </c>
      <c r="BI11" t="s">
        <v>772</v>
      </c>
    </row>
    <row r="12" spans="1:61">
      <c r="A12" t="s">
        <v>3</v>
      </c>
      <c r="B12" t="s">
        <v>773</v>
      </c>
      <c r="C12" t="s">
        <v>774</v>
      </c>
      <c r="D12" t="s">
        <v>775</v>
      </c>
      <c r="E12" t="s">
        <v>776</v>
      </c>
      <c r="F12" t="s">
        <v>777</v>
      </c>
      <c r="G12" t="s">
        <v>778</v>
      </c>
      <c r="H12" t="s">
        <v>779</v>
      </c>
      <c r="I12" t="s">
        <v>780</v>
      </c>
      <c r="J12" t="s">
        <v>781</v>
      </c>
      <c r="K12" t="s">
        <v>782</v>
      </c>
      <c r="L12" t="s">
        <v>783</v>
      </c>
      <c r="M12" t="s">
        <v>784</v>
      </c>
      <c r="N12" t="s">
        <v>785</v>
      </c>
      <c r="O12" t="s">
        <v>786</v>
      </c>
      <c r="P12" t="s">
        <v>787</v>
      </c>
      <c r="Q12" t="s">
        <v>788</v>
      </c>
      <c r="R12" t="s">
        <v>789</v>
      </c>
      <c r="S12" t="s">
        <v>790</v>
      </c>
      <c r="T12" t="s">
        <v>791</v>
      </c>
      <c r="U12" t="s">
        <v>792</v>
      </c>
      <c r="V12" t="s">
        <v>793</v>
      </c>
      <c r="W12" t="s">
        <v>794</v>
      </c>
      <c r="X12" t="s">
        <v>795</v>
      </c>
      <c r="Y12" t="s">
        <v>796</v>
      </c>
      <c r="Z12" t="s">
        <v>797</v>
      </c>
      <c r="AA12" t="s">
        <v>798</v>
      </c>
      <c r="AB12" t="s">
        <v>799</v>
      </c>
      <c r="AC12" t="s">
        <v>800</v>
      </c>
      <c r="AD12" t="s">
        <v>801</v>
      </c>
      <c r="AE12" t="s">
        <v>802</v>
      </c>
      <c r="AF12" t="s">
        <v>803</v>
      </c>
      <c r="AG12" t="s">
        <v>804</v>
      </c>
      <c r="AH12" t="s">
        <v>805</v>
      </c>
      <c r="AI12" t="s">
        <v>806</v>
      </c>
      <c r="AJ12" t="s">
        <v>807</v>
      </c>
      <c r="AK12" t="s">
        <v>808</v>
      </c>
      <c r="AL12" t="s">
        <v>809</v>
      </c>
      <c r="AM12" t="s">
        <v>810</v>
      </c>
      <c r="AN12" t="s">
        <v>811</v>
      </c>
      <c r="AO12" t="s">
        <v>812</v>
      </c>
      <c r="AP12" t="s">
        <v>813</v>
      </c>
      <c r="AQ12" t="s">
        <v>814</v>
      </c>
      <c r="AR12" t="s">
        <v>815</v>
      </c>
      <c r="AS12" t="s">
        <v>816</v>
      </c>
      <c r="AT12" t="s">
        <v>817</v>
      </c>
      <c r="AU12" t="s">
        <v>818</v>
      </c>
      <c r="AV12" t="s">
        <v>819</v>
      </c>
      <c r="AW12" t="s">
        <v>820</v>
      </c>
      <c r="AX12" t="s">
        <v>821</v>
      </c>
      <c r="AY12" t="s">
        <v>822</v>
      </c>
      <c r="AZ12" t="s">
        <v>823</v>
      </c>
      <c r="BA12" t="s">
        <v>824</v>
      </c>
      <c r="BB12" t="s">
        <v>825</v>
      </c>
      <c r="BC12" t="s">
        <v>826</v>
      </c>
      <c r="BD12" t="s">
        <v>827</v>
      </c>
      <c r="BE12" t="s">
        <v>828</v>
      </c>
      <c r="BF12" t="s">
        <v>829</v>
      </c>
      <c r="BG12" t="s">
        <v>830</v>
      </c>
      <c r="BH12" t="s">
        <v>831</v>
      </c>
      <c r="BI12" t="s">
        <v>832</v>
      </c>
    </row>
    <row r="13" spans="1:61">
      <c r="A13" t="s">
        <v>833</v>
      </c>
      <c r="B13" t="s">
        <v>834</v>
      </c>
      <c r="C13" t="s">
        <v>835</v>
      </c>
      <c r="D13" t="s">
        <v>836</v>
      </c>
      <c r="E13" t="s">
        <v>837</v>
      </c>
      <c r="F13" t="s">
        <v>838</v>
      </c>
      <c r="G13" t="s">
        <v>839</v>
      </c>
      <c r="H13" t="s">
        <v>840</v>
      </c>
      <c r="I13" t="s">
        <v>841</v>
      </c>
      <c r="J13" t="s">
        <v>842</v>
      </c>
      <c r="K13" t="s">
        <v>843</v>
      </c>
      <c r="L13" t="s">
        <v>844</v>
      </c>
      <c r="M13" t="s">
        <v>197</v>
      </c>
      <c r="N13" t="s">
        <v>845</v>
      </c>
      <c r="O13" t="s">
        <v>199</v>
      </c>
      <c r="P13" t="s">
        <v>846</v>
      </c>
      <c r="Q13" t="s">
        <v>847</v>
      </c>
      <c r="R13" t="s">
        <v>848</v>
      </c>
      <c r="S13" t="s">
        <v>849</v>
      </c>
      <c r="T13" t="s">
        <v>850</v>
      </c>
      <c r="U13" t="s">
        <v>851</v>
      </c>
      <c r="V13" t="s">
        <v>852</v>
      </c>
      <c r="W13" t="s">
        <v>853</v>
      </c>
      <c r="X13" t="s">
        <v>854</v>
      </c>
      <c r="Y13" t="s">
        <v>855</v>
      </c>
      <c r="Z13" t="s">
        <v>856</v>
      </c>
      <c r="AA13" t="s">
        <v>857</v>
      </c>
      <c r="AB13" t="s">
        <v>858</v>
      </c>
      <c r="AC13" t="s">
        <v>859</v>
      </c>
      <c r="AD13" t="s">
        <v>860</v>
      </c>
      <c r="AE13" t="s">
        <v>861</v>
      </c>
      <c r="AF13" t="s">
        <v>862</v>
      </c>
      <c r="AG13" t="s">
        <v>863</v>
      </c>
      <c r="AH13" t="s">
        <v>864</v>
      </c>
      <c r="AI13" t="s">
        <v>865</v>
      </c>
      <c r="AJ13" t="s">
        <v>866</v>
      </c>
      <c r="AK13" t="s">
        <v>867</v>
      </c>
      <c r="AL13" t="s">
        <v>868</v>
      </c>
      <c r="AM13" t="s">
        <v>869</v>
      </c>
      <c r="AN13" t="s">
        <v>870</v>
      </c>
      <c r="AO13" t="s">
        <v>871</v>
      </c>
      <c r="AP13" t="s">
        <v>872</v>
      </c>
      <c r="AQ13" t="s">
        <v>873</v>
      </c>
      <c r="AR13" t="s">
        <v>874</v>
      </c>
      <c r="AS13" t="s">
        <v>875</v>
      </c>
      <c r="AT13" t="s">
        <v>876</v>
      </c>
      <c r="AU13" t="s">
        <v>877</v>
      </c>
      <c r="AV13" t="s">
        <v>859</v>
      </c>
      <c r="AW13" t="s">
        <v>878</v>
      </c>
      <c r="AX13" t="s">
        <v>879</v>
      </c>
      <c r="AY13" t="s">
        <v>880</v>
      </c>
      <c r="AZ13" t="s">
        <v>881</v>
      </c>
      <c r="BA13" t="s">
        <v>882</v>
      </c>
      <c r="BB13" s="21" t="s">
        <v>883</v>
      </c>
      <c r="BC13" s="21" t="s">
        <v>884</v>
      </c>
      <c r="BD13" s="21" t="s">
        <v>885</v>
      </c>
      <c r="BE13" s="22" t="s">
        <v>886</v>
      </c>
      <c r="BF13" s="22" t="s">
        <v>887</v>
      </c>
      <c r="BG13" s="21" t="s">
        <v>888</v>
      </c>
      <c r="BH13" t="s">
        <v>889</v>
      </c>
      <c r="BI13" t="s">
        <v>890</v>
      </c>
    </row>
    <row r="14" spans="1:61">
      <c r="A14" t="s">
        <v>891</v>
      </c>
      <c r="B14" s="38" t="s">
        <v>892</v>
      </c>
      <c r="C14" s="38" t="s">
        <v>893</v>
      </c>
      <c r="D14" s="38" t="s">
        <v>894</v>
      </c>
      <c r="E14" s="38" t="s">
        <v>895</v>
      </c>
      <c r="F14" s="38" t="s">
        <v>896</v>
      </c>
      <c r="G14" s="38" t="s">
        <v>897</v>
      </c>
      <c r="H14" s="38" t="s">
        <v>898</v>
      </c>
      <c r="I14" s="38" t="s">
        <v>899</v>
      </c>
      <c r="J14" s="38" t="s">
        <v>900</v>
      </c>
      <c r="K14" s="38" t="s">
        <v>901</v>
      </c>
      <c r="L14" s="38" t="s">
        <v>902</v>
      </c>
      <c r="M14" s="38" t="s">
        <v>903</v>
      </c>
      <c r="N14" s="38" t="s">
        <v>904</v>
      </c>
      <c r="O14" s="38" t="s">
        <v>905</v>
      </c>
      <c r="P14" s="38" t="s">
        <v>906</v>
      </c>
      <c r="Q14" s="38" t="s">
        <v>907</v>
      </c>
      <c r="R14" s="38" t="s">
        <v>908</v>
      </c>
      <c r="S14" s="38" t="s">
        <v>909</v>
      </c>
      <c r="T14" s="38" t="s">
        <v>910</v>
      </c>
      <c r="U14" s="38" t="s">
        <v>911</v>
      </c>
      <c r="V14" s="38" t="s">
        <v>912</v>
      </c>
      <c r="W14" s="38" t="s">
        <v>913</v>
      </c>
      <c r="X14" s="38" t="s">
        <v>914</v>
      </c>
      <c r="Y14" s="38" t="s">
        <v>915</v>
      </c>
      <c r="Z14" s="38" t="s">
        <v>916</v>
      </c>
      <c r="AA14" s="38" t="s">
        <v>917</v>
      </c>
      <c r="AB14" s="38" t="s">
        <v>918</v>
      </c>
      <c r="AC14" s="38" t="s">
        <v>919</v>
      </c>
      <c r="AD14" s="38" t="s">
        <v>897</v>
      </c>
      <c r="AE14" s="38" t="s">
        <v>920</v>
      </c>
      <c r="AF14" s="38" t="s">
        <v>921</v>
      </c>
      <c r="AG14" s="38" t="s">
        <v>922</v>
      </c>
      <c r="AH14" s="38" t="s">
        <v>923</v>
      </c>
      <c r="AI14" s="38" t="s">
        <v>924</v>
      </c>
      <c r="AJ14" s="38" t="s">
        <v>925</v>
      </c>
      <c r="AK14" s="38" t="s">
        <v>926</v>
      </c>
      <c r="AL14" s="38" t="s">
        <v>927</v>
      </c>
      <c r="AM14" s="38" t="s">
        <v>928</v>
      </c>
      <c r="AN14" s="38" t="s">
        <v>929</v>
      </c>
      <c r="AO14" s="38" t="s">
        <v>930</v>
      </c>
      <c r="AP14" s="38" t="s">
        <v>931</v>
      </c>
      <c r="AQ14" s="38" t="s">
        <v>932</v>
      </c>
      <c r="AR14" s="38" t="s">
        <v>933</v>
      </c>
      <c r="AS14" s="38" t="s">
        <v>934</v>
      </c>
      <c r="AT14" s="38" t="s">
        <v>935</v>
      </c>
      <c r="AU14" s="38" t="s">
        <v>936</v>
      </c>
      <c r="AV14" s="38" t="s">
        <v>937</v>
      </c>
      <c r="AW14" s="38" t="s">
        <v>938</v>
      </c>
      <c r="AX14" s="38" t="s">
        <v>939</v>
      </c>
      <c r="AY14" s="38" t="s">
        <v>940</v>
      </c>
      <c r="AZ14" s="38" t="s">
        <v>911</v>
      </c>
      <c r="BA14" s="38" t="s">
        <v>920</v>
      </c>
      <c r="BB14" t="s">
        <v>941</v>
      </c>
      <c r="BC14" t="s">
        <v>942</v>
      </c>
      <c r="BD14" t="s">
        <v>943</v>
      </c>
      <c r="BE14" t="s">
        <v>944</v>
      </c>
      <c r="BF14" t="s">
        <v>945</v>
      </c>
      <c r="BG14" t="s">
        <v>946</v>
      </c>
      <c r="BH14" t="s">
        <v>947</v>
      </c>
      <c r="BI14" t="s">
        <v>948</v>
      </c>
    </row>
    <row r="15" spans="1:61">
      <c r="A15" t="s">
        <v>949</v>
      </c>
      <c r="B15" s="38" t="s">
        <v>950</v>
      </c>
      <c r="C15" s="38" t="s">
        <v>951</v>
      </c>
      <c r="D15" s="38" t="s">
        <v>952</v>
      </c>
      <c r="E15" s="38" t="s">
        <v>953</v>
      </c>
      <c r="F15" s="38" t="s">
        <v>954</v>
      </c>
      <c r="G15" s="38" t="s">
        <v>955</v>
      </c>
      <c r="H15" s="38" t="s">
        <v>956</v>
      </c>
      <c r="I15" s="38" t="s">
        <v>957</v>
      </c>
      <c r="J15" s="38" t="s">
        <v>958</v>
      </c>
      <c r="K15" s="38" t="s">
        <v>959</v>
      </c>
      <c r="L15" s="38" t="s">
        <v>960</v>
      </c>
      <c r="M15" s="38" t="s">
        <v>961</v>
      </c>
      <c r="N15" s="38" t="s">
        <v>962</v>
      </c>
      <c r="O15" s="38" t="s">
        <v>963</v>
      </c>
      <c r="P15" s="38" t="s">
        <v>964</v>
      </c>
      <c r="Q15" s="38" t="s">
        <v>965</v>
      </c>
      <c r="R15" s="38" t="s">
        <v>966</v>
      </c>
      <c r="S15" s="38" t="s">
        <v>967</v>
      </c>
      <c r="T15" s="38" t="s">
        <v>968</v>
      </c>
      <c r="U15" s="38" t="s">
        <v>969</v>
      </c>
      <c r="V15" s="38" t="s">
        <v>970</v>
      </c>
      <c r="W15" s="38" t="s">
        <v>971</v>
      </c>
      <c r="X15" s="38" t="s">
        <v>972</v>
      </c>
      <c r="Y15" s="38" t="s">
        <v>973</v>
      </c>
      <c r="Z15" s="38" t="s">
        <v>974</v>
      </c>
      <c r="AA15" s="38" t="s">
        <v>975</v>
      </c>
      <c r="AB15" s="38" t="s">
        <v>976</v>
      </c>
      <c r="AC15" s="38" t="s">
        <v>977</v>
      </c>
      <c r="AD15" s="38" t="s">
        <v>978</v>
      </c>
      <c r="AE15" s="38" t="s">
        <v>979</v>
      </c>
      <c r="AF15" s="38" t="s">
        <v>980</v>
      </c>
      <c r="AG15" s="38" t="s">
        <v>981</v>
      </c>
      <c r="AH15" s="38" t="s">
        <v>982</v>
      </c>
      <c r="AI15" s="38" t="s">
        <v>983</v>
      </c>
      <c r="AJ15" s="38" t="s">
        <v>984</v>
      </c>
      <c r="AK15" s="38" t="s">
        <v>985</v>
      </c>
      <c r="AL15" s="38" t="s">
        <v>986</v>
      </c>
      <c r="AM15" s="38" t="s">
        <v>987</v>
      </c>
      <c r="AN15" s="38" t="s">
        <v>988</v>
      </c>
      <c r="AO15" s="38" t="s">
        <v>989</v>
      </c>
      <c r="AP15" s="38" t="s">
        <v>990</v>
      </c>
      <c r="AQ15" s="38" t="s">
        <v>991</v>
      </c>
      <c r="AR15" s="38" t="s">
        <v>992</v>
      </c>
      <c r="AS15" s="38" t="s">
        <v>993</v>
      </c>
      <c r="AT15" s="38" t="s">
        <v>994</v>
      </c>
      <c r="AU15" s="38" t="s">
        <v>995</v>
      </c>
      <c r="AV15" s="38" t="s">
        <v>996</v>
      </c>
      <c r="AW15" s="38" t="s">
        <v>997</v>
      </c>
      <c r="AX15" s="38" t="s">
        <v>998</v>
      </c>
      <c r="AY15" s="38" t="s">
        <v>999</v>
      </c>
      <c r="AZ15" s="38" t="s">
        <v>1000</v>
      </c>
      <c r="BA15" s="38" t="s">
        <v>1001</v>
      </c>
      <c r="BB15" s="39" t="s">
        <v>1002</v>
      </c>
      <c r="BC15" s="21" t="s">
        <v>1003</v>
      </c>
      <c r="BD15" s="21" t="s">
        <v>1004</v>
      </c>
      <c r="BE15" s="22" t="s">
        <v>1005</v>
      </c>
      <c r="BF15" s="22" t="s">
        <v>1006</v>
      </c>
      <c r="BG15" s="21" t="s">
        <v>1007</v>
      </c>
      <c r="BH15" t="s">
        <v>1008</v>
      </c>
      <c r="BI15" t="s">
        <v>1009</v>
      </c>
    </row>
    <row r="16" spans="1:61">
      <c r="A16" t="s">
        <v>1010</v>
      </c>
      <c r="B16" s="38" t="s">
        <v>1011</v>
      </c>
      <c r="C16" s="38" t="s">
        <v>1012</v>
      </c>
      <c r="D16" s="38" t="s">
        <v>1013</v>
      </c>
      <c r="E16" s="38" t="s">
        <v>1014</v>
      </c>
      <c r="F16" s="38" t="s">
        <v>1015</v>
      </c>
      <c r="G16" s="38" t="s">
        <v>1016</v>
      </c>
      <c r="H16" s="38" t="s">
        <v>1017</v>
      </c>
      <c r="I16" s="38" t="s">
        <v>1018</v>
      </c>
      <c r="J16" s="38" t="s">
        <v>1019</v>
      </c>
      <c r="K16" s="38" t="s">
        <v>1020</v>
      </c>
      <c r="L16" s="38" t="s">
        <v>1016</v>
      </c>
      <c r="M16" s="38" t="s">
        <v>1021</v>
      </c>
      <c r="N16" s="38" t="s">
        <v>1022</v>
      </c>
      <c r="O16" s="38" t="s">
        <v>1023</v>
      </c>
      <c r="P16" s="38" t="s">
        <v>1024</v>
      </c>
      <c r="Q16" s="38" t="s">
        <v>1025</v>
      </c>
      <c r="R16" s="38" t="s">
        <v>1026</v>
      </c>
      <c r="S16" s="38" t="s">
        <v>1027</v>
      </c>
      <c r="T16" s="38" t="s">
        <v>1028</v>
      </c>
      <c r="U16" s="38" t="s">
        <v>1029</v>
      </c>
      <c r="V16" s="38" t="s">
        <v>1030</v>
      </c>
      <c r="W16" s="38" t="s">
        <v>1031</v>
      </c>
      <c r="X16" s="38" t="s">
        <v>1032</v>
      </c>
      <c r="Y16" s="38" t="s">
        <v>1033</v>
      </c>
      <c r="Z16" s="38" t="s">
        <v>1034</v>
      </c>
      <c r="AA16" s="38" t="s">
        <v>1035</v>
      </c>
      <c r="AB16" s="38" t="s">
        <v>1036</v>
      </c>
      <c r="AC16" s="38" t="s">
        <v>1037</v>
      </c>
      <c r="AD16" s="38" t="s">
        <v>1038</v>
      </c>
      <c r="AE16" s="38" t="s">
        <v>1039</v>
      </c>
      <c r="AF16" s="38" t="s">
        <v>1040</v>
      </c>
      <c r="AG16" s="38" t="s">
        <v>1041</v>
      </c>
      <c r="AH16" s="38" t="s">
        <v>1042</v>
      </c>
      <c r="AI16" s="38" t="s">
        <v>1043</v>
      </c>
      <c r="AJ16" s="38" t="s">
        <v>1044</v>
      </c>
      <c r="AK16" s="38" t="s">
        <v>1045</v>
      </c>
      <c r="AL16" s="38" t="s">
        <v>1046</v>
      </c>
      <c r="AM16" s="38" t="s">
        <v>1047</v>
      </c>
      <c r="AN16" s="38" t="s">
        <v>1048</v>
      </c>
      <c r="AO16" s="38" t="s">
        <v>1049</v>
      </c>
      <c r="AP16" s="38" t="s">
        <v>1050</v>
      </c>
      <c r="AQ16" s="38" t="s">
        <v>1051</v>
      </c>
      <c r="AR16" s="38" t="s">
        <v>1052</v>
      </c>
      <c r="AS16" s="38" t="s">
        <v>1053</v>
      </c>
      <c r="AT16" s="38" t="s">
        <v>1054</v>
      </c>
      <c r="AU16" s="38" t="s">
        <v>1055</v>
      </c>
      <c r="AV16" s="38" t="s">
        <v>1056</v>
      </c>
      <c r="AW16" s="38" t="s">
        <v>1057</v>
      </c>
      <c r="AX16" s="38" t="s">
        <v>1058</v>
      </c>
      <c r="AY16" s="38" t="s">
        <v>1059</v>
      </c>
      <c r="AZ16" s="38" t="s">
        <v>1060</v>
      </c>
      <c r="BA16" s="38" t="s">
        <v>1061</v>
      </c>
      <c r="BB16" s="19" t="s">
        <v>1062</v>
      </c>
      <c r="BC16" t="s">
        <v>1063</v>
      </c>
      <c r="BD16" s="20" t="s">
        <v>1064</v>
      </c>
      <c r="BE16" t="s">
        <v>1065</v>
      </c>
      <c r="BF16" t="s">
        <v>1066</v>
      </c>
      <c r="BG16" t="s">
        <v>1067</v>
      </c>
      <c r="BH16" t="s">
        <v>1068</v>
      </c>
      <c r="BI16" t="s">
        <v>1069</v>
      </c>
    </row>
    <row r="17" spans="1:61">
      <c r="A17" t="s">
        <v>1070</v>
      </c>
      <c r="B17" s="38" t="s">
        <v>1071</v>
      </c>
      <c r="C17" s="38" t="s">
        <v>1072</v>
      </c>
      <c r="D17" s="38" t="s">
        <v>1073</v>
      </c>
      <c r="E17" s="38" t="s">
        <v>1074</v>
      </c>
      <c r="F17" s="38" t="s">
        <v>1075</v>
      </c>
      <c r="G17" s="38" t="s">
        <v>1076</v>
      </c>
      <c r="H17" s="38" t="s">
        <v>1077</v>
      </c>
      <c r="I17" s="38" t="s">
        <v>1078</v>
      </c>
      <c r="J17" s="38" t="s">
        <v>1079</v>
      </c>
      <c r="K17" s="38" t="s">
        <v>1080</v>
      </c>
      <c r="L17" s="38" t="s">
        <v>1081</v>
      </c>
      <c r="M17" s="38" t="s">
        <v>1082</v>
      </c>
      <c r="N17" s="38" t="s">
        <v>1083</v>
      </c>
      <c r="O17" s="38" t="s">
        <v>1084</v>
      </c>
      <c r="P17" s="38" t="s">
        <v>1085</v>
      </c>
      <c r="Q17" s="38" t="s">
        <v>1086</v>
      </c>
      <c r="R17" s="38" t="s">
        <v>1087</v>
      </c>
      <c r="S17" s="38" t="s">
        <v>1088</v>
      </c>
      <c r="T17" s="38" t="s">
        <v>1089</v>
      </c>
      <c r="U17" s="38" t="s">
        <v>1090</v>
      </c>
      <c r="V17" s="38" t="s">
        <v>1091</v>
      </c>
      <c r="W17" s="38" t="s">
        <v>1092</v>
      </c>
      <c r="X17" s="38" t="s">
        <v>1093</v>
      </c>
      <c r="Y17" s="38" t="s">
        <v>1094</v>
      </c>
      <c r="Z17" s="38" t="s">
        <v>1095</v>
      </c>
      <c r="AA17" s="38" t="s">
        <v>1096</v>
      </c>
      <c r="AB17" s="38" t="s">
        <v>1097</v>
      </c>
      <c r="AC17" s="38" t="s">
        <v>1098</v>
      </c>
      <c r="AD17" s="38" t="s">
        <v>1099</v>
      </c>
      <c r="AE17" s="38" t="s">
        <v>1100</v>
      </c>
      <c r="AF17" s="38" t="s">
        <v>1101</v>
      </c>
      <c r="AG17" s="38" t="s">
        <v>1102</v>
      </c>
      <c r="AH17" s="38" t="s">
        <v>1103</v>
      </c>
      <c r="AI17" s="38" t="s">
        <v>1104</v>
      </c>
      <c r="AJ17" s="38" t="s">
        <v>1105</v>
      </c>
      <c r="AK17" s="38" t="s">
        <v>1106</v>
      </c>
      <c r="AL17" s="38" t="s">
        <v>1107</v>
      </c>
      <c r="AM17" s="38" t="s">
        <v>1108</v>
      </c>
      <c r="AN17" s="38" t="s">
        <v>1109</v>
      </c>
      <c r="AO17" s="38" t="s">
        <v>1110</v>
      </c>
      <c r="AP17" s="38" t="s">
        <v>1111</v>
      </c>
      <c r="AQ17" s="38" t="s">
        <v>1112</v>
      </c>
      <c r="AR17" s="38" t="s">
        <v>1113</v>
      </c>
      <c r="AS17" s="38" t="s">
        <v>1114</v>
      </c>
      <c r="AT17" s="38" t="s">
        <v>1115</v>
      </c>
      <c r="AU17" s="38" t="s">
        <v>1116</v>
      </c>
      <c r="AV17" s="38" t="s">
        <v>1117</v>
      </c>
      <c r="AW17" s="38" t="s">
        <v>1118</v>
      </c>
      <c r="AX17" s="38" t="s">
        <v>1119</v>
      </c>
      <c r="AY17" s="38" t="s">
        <v>1120</v>
      </c>
      <c r="AZ17" s="38" t="s">
        <v>1121</v>
      </c>
      <c r="BA17" s="38" t="s">
        <v>1122</v>
      </c>
      <c r="BB17" s="38" t="s">
        <v>1123</v>
      </c>
      <c r="BC17" t="s">
        <v>1124</v>
      </c>
      <c r="BD17" s="20" t="s">
        <v>1125</v>
      </c>
      <c r="BE17" t="s">
        <v>1126</v>
      </c>
      <c r="BF17" t="s">
        <v>1127</v>
      </c>
      <c r="BG17" t="s">
        <v>1128</v>
      </c>
      <c r="BH17" t="s">
        <v>1129</v>
      </c>
      <c r="BI17" t="s">
        <v>1130</v>
      </c>
    </row>
    <row r="18" spans="1:61">
      <c r="A18" t="s">
        <v>1131</v>
      </c>
      <c r="B18" s="38" t="s">
        <v>1132</v>
      </c>
      <c r="C18" s="38" t="s">
        <v>1133</v>
      </c>
      <c r="D18" s="38" t="s">
        <v>1134</v>
      </c>
      <c r="E18" s="38" t="s">
        <v>1135</v>
      </c>
      <c r="F18" s="38" t="s">
        <v>1136</v>
      </c>
      <c r="G18" s="38" t="s">
        <v>1137</v>
      </c>
      <c r="H18" s="38" t="s">
        <v>1138</v>
      </c>
      <c r="I18" s="38" t="s">
        <v>1139</v>
      </c>
      <c r="J18" s="38" t="s">
        <v>1140</v>
      </c>
      <c r="K18" s="38" t="s">
        <v>1141</v>
      </c>
      <c r="L18" s="38" t="s">
        <v>1137</v>
      </c>
      <c r="M18" s="38" t="s">
        <v>1142</v>
      </c>
      <c r="N18" s="38" t="s">
        <v>1143</v>
      </c>
      <c r="O18" s="38" t="s">
        <v>1144</v>
      </c>
      <c r="P18" s="38" t="s">
        <v>1145</v>
      </c>
      <c r="Q18" s="38" t="s">
        <v>1146</v>
      </c>
      <c r="R18" s="38" t="s">
        <v>1147</v>
      </c>
      <c r="S18" s="38" t="s">
        <v>1148</v>
      </c>
      <c r="T18" s="38" t="s">
        <v>1149</v>
      </c>
      <c r="U18" s="38" t="s">
        <v>1150</v>
      </c>
      <c r="V18" s="38" t="s">
        <v>1151</v>
      </c>
      <c r="W18" s="38" t="s">
        <v>1152</v>
      </c>
      <c r="X18" s="38" t="s">
        <v>1153</v>
      </c>
      <c r="Y18" s="38" t="s">
        <v>1154</v>
      </c>
      <c r="Z18" s="38" t="s">
        <v>1155</v>
      </c>
      <c r="AA18" s="38" t="s">
        <v>1156</v>
      </c>
      <c r="AB18" s="38" t="s">
        <v>1157</v>
      </c>
      <c r="AC18" s="38" t="s">
        <v>1133</v>
      </c>
      <c r="AD18" s="38" t="s">
        <v>1158</v>
      </c>
      <c r="AE18" s="38" t="s">
        <v>1159</v>
      </c>
      <c r="AF18" s="38" t="s">
        <v>1160</v>
      </c>
      <c r="AG18" s="38" t="s">
        <v>1161</v>
      </c>
      <c r="AH18" s="38" t="s">
        <v>1162</v>
      </c>
      <c r="AI18" s="38" t="s">
        <v>1163</v>
      </c>
      <c r="AJ18" s="38" t="s">
        <v>1164</v>
      </c>
      <c r="AK18" s="38" t="s">
        <v>1165</v>
      </c>
      <c r="AL18" s="38" t="s">
        <v>1166</v>
      </c>
      <c r="AM18" s="38" t="s">
        <v>1167</v>
      </c>
      <c r="AN18" s="38" t="s">
        <v>1168</v>
      </c>
      <c r="AO18" s="38" t="s">
        <v>1169</v>
      </c>
      <c r="AP18" s="38" t="s">
        <v>1170</v>
      </c>
      <c r="AQ18" s="38" t="s">
        <v>1171</v>
      </c>
      <c r="AR18" s="38" t="s">
        <v>1172</v>
      </c>
      <c r="AS18" s="38" t="s">
        <v>1173</v>
      </c>
      <c r="AT18" s="38" t="s">
        <v>1174</v>
      </c>
      <c r="AU18" s="38" t="s">
        <v>1175</v>
      </c>
      <c r="AV18" s="38" t="s">
        <v>1176</v>
      </c>
      <c r="AW18" s="38" t="s">
        <v>1177</v>
      </c>
      <c r="AX18" s="38" t="s">
        <v>1178</v>
      </c>
      <c r="AY18" s="38" t="s">
        <v>1179</v>
      </c>
      <c r="AZ18" s="38" t="s">
        <v>1180</v>
      </c>
      <c r="BA18" s="38" t="s">
        <v>1181</v>
      </c>
      <c r="BB18" t="s">
        <v>1182</v>
      </c>
      <c r="BC18" t="s">
        <v>1183</v>
      </c>
      <c r="BD18" t="s">
        <v>1184</v>
      </c>
      <c r="BE18" t="s">
        <v>1185</v>
      </c>
      <c r="BF18" t="s">
        <v>1186</v>
      </c>
      <c r="BG18" t="s">
        <v>1187</v>
      </c>
      <c r="BH18" t="s">
        <v>1188</v>
      </c>
      <c r="BI18" t="s">
        <v>1189</v>
      </c>
    </row>
    <row r="19" spans="1:61">
      <c r="A19" t="s">
        <v>1190</v>
      </c>
      <c r="B19" s="38" t="s">
        <v>1191</v>
      </c>
      <c r="C19" s="38" t="s">
        <v>1192</v>
      </c>
      <c r="D19" s="38" t="s">
        <v>1193</v>
      </c>
      <c r="E19" s="38" t="s">
        <v>1194</v>
      </c>
      <c r="F19" s="38" t="s">
        <v>1195</v>
      </c>
      <c r="G19" s="38" t="s">
        <v>1196</v>
      </c>
      <c r="H19" s="38" t="s">
        <v>1197</v>
      </c>
      <c r="I19" s="38" t="s">
        <v>1198</v>
      </c>
      <c r="J19" s="38" t="s">
        <v>1199</v>
      </c>
      <c r="K19" s="38" t="s">
        <v>1200</v>
      </c>
      <c r="L19" s="38" t="s">
        <v>1201</v>
      </c>
      <c r="M19" s="38" t="s">
        <v>1202</v>
      </c>
      <c r="N19" s="38" t="s">
        <v>1203</v>
      </c>
      <c r="O19" s="38" t="s">
        <v>1202</v>
      </c>
      <c r="P19" s="38" t="s">
        <v>1204</v>
      </c>
      <c r="Q19" s="38" t="s">
        <v>1205</v>
      </c>
      <c r="R19" s="38" t="s">
        <v>1206</v>
      </c>
      <c r="S19" s="38" t="s">
        <v>1207</v>
      </c>
      <c r="T19" s="38" t="s">
        <v>1208</v>
      </c>
      <c r="U19" s="38" t="s">
        <v>1209</v>
      </c>
      <c r="V19" s="38" t="s">
        <v>1210</v>
      </c>
      <c r="W19" s="38" t="s">
        <v>1211</v>
      </c>
      <c r="X19" s="38" t="s">
        <v>1212</v>
      </c>
      <c r="Y19" s="38" t="s">
        <v>1213</v>
      </c>
      <c r="Z19" s="38" t="s">
        <v>1214</v>
      </c>
      <c r="AA19" s="38" t="s">
        <v>1215</v>
      </c>
      <c r="AB19" s="38" t="s">
        <v>1216</v>
      </c>
      <c r="AC19" s="38" t="s">
        <v>1217</v>
      </c>
      <c r="AD19" s="38" t="s">
        <v>1218</v>
      </c>
      <c r="AE19" s="38" t="s">
        <v>1219</v>
      </c>
      <c r="AF19" s="38" t="s">
        <v>1220</v>
      </c>
      <c r="AG19" s="38" t="s">
        <v>1221</v>
      </c>
      <c r="AH19" s="38" t="s">
        <v>1222</v>
      </c>
      <c r="AI19" s="38" t="s">
        <v>1223</v>
      </c>
      <c r="AJ19" s="38" t="s">
        <v>1224</v>
      </c>
      <c r="AK19" s="38" t="s">
        <v>1225</v>
      </c>
      <c r="AL19" s="38" t="s">
        <v>1226</v>
      </c>
      <c r="AM19" s="38" t="s">
        <v>1227</v>
      </c>
      <c r="AN19" s="38" t="s">
        <v>1228</v>
      </c>
      <c r="AO19" s="38" t="s">
        <v>1229</v>
      </c>
      <c r="AP19" s="38" t="s">
        <v>1230</v>
      </c>
      <c r="AQ19" s="38" t="s">
        <v>1231</v>
      </c>
      <c r="AR19" s="38" t="s">
        <v>1232</v>
      </c>
      <c r="AS19" s="38" t="s">
        <v>1233</v>
      </c>
      <c r="AT19" s="38" t="s">
        <v>1234</v>
      </c>
      <c r="AU19" s="38" t="s">
        <v>1235</v>
      </c>
      <c r="AV19" s="38" t="s">
        <v>1236</v>
      </c>
      <c r="AW19" s="38" t="s">
        <v>1237</v>
      </c>
      <c r="AX19" s="38" t="s">
        <v>1238</v>
      </c>
      <c r="AY19" s="38" t="s">
        <v>1239</v>
      </c>
      <c r="AZ19" s="38" t="s">
        <v>1240</v>
      </c>
      <c r="BA19" s="38" t="s">
        <v>1241</v>
      </c>
      <c r="BB19" s="20" t="s">
        <v>1242</v>
      </c>
      <c r="BC19" t="s">
        <v>1243</v>
      </c>
      <c r="BD19" t="s">
        <v>1244</v>
      </c>
      <c r="BE19" t="s">
        <v>1245</v>
      </c>
      <c r="BF19" t="s">
        <v>1246</v>
      </c>
      <c r="BG19" t="s">
        <v>1247</v>
      </c>
      <c r="BH19" t="s">
        <v>1248</v>
      </c>
      <c r="BI19" t="s">
        <v>1249</v>
      </c>
    </row>
    <row r="20" spans="1:61">
      <c r="A20" t="s">
        <v>1250</v>
      </c>
      <c r="B20" s="38" t="s">
        <v>1251</v>
      </c>
      <c r="C20" s="38" t="s">
        <v>1252</v>
      </c>
      <c r="D20" s="38" t="s">
        <v>1253</v>
      </c>
      <c r="E20" s="38" t="s">
        <v>1254</v>
      </c>
      <c r="F20" s="38" t="s">
        <v>1255</v>
      </c>
      <c r="G20" s="38" t="s">
        <v>1256</v>
      </c>
      <c r="H20" s="38" t="s">
        <v>1257</v>
      </c>
      <c r="I20" s="38" t="s">
        <v>1258</v>
      </c>
      <c r="J20" s="38" t="s">
        <v>1259</v>
      </c>
      <c r="K20" s="38" t="s">
        <v>1260</v>
      </c>
      <c r="L20" s="38" t="s">
        <v>1256</v>
      </c>
      <c r="M20" s="38" t="s">
        <v>1261</v>
      </c>
      <c r="N20" s="38" t="s">
        <v>1262</v>
      </c>
      <c r="O20" s="38" t="s">
        <v>1263</v>
      </c>
      <c r="P20" s="38" t="s">
        <v>1264</v>
      </c>
      <c r="Q20" s="38" t="s">
        <v>1265</v>
      </c>
      <c r="R20" s="38" t="s">
        <v>1266</v>
      </c>
      <c r="S20" s="38" t="s">
        <v>1267</v>
      </c>
      <c r="T20" s="38" t="s">
        <v>1268</v>
      </c>
      <c r="U20" s="38" t="s">
        <v>1269</v>
      </c>
      <c r="V20" s="38" t="s">
        <v>1270</v>
      </c>
      <c r="W20" s="38" t="s">
        <v>1271</v>
      </c>
      <c r="X20" s="38" t="s">
        <v>1272</v>
      </c>
      <c r="Y20" s="38" t="s">
        <v>1273</v>
      </c>
      <c r="Z20" s="38" t="s">
        <v>1274</v>
      </c>
      <c r="AA20" s="38" t="s">
        <v>1275</v>
      </c>
      <c r="AB20" s="38" t="s">
        <v>1276</v>
      </c>
      <c r="AC20" s="38" t="s">
        <v>1252</v>
      </c>
      <c r="AD20" s="38" t="s">
        <v>1277</v>
      </c>
      <c r="AE20" s="38" t="s">
        <v>1278</v>
      </c>
      <c r="AF20" s="38" t="s">
        <v>1279</v>
      </c>
      <c r="AG20" s="38" t="s">
        <v>1252</v>
      </c>
      <c r="AH20" s="38" t="s">
        <v>1280</v>
      </c>
      <c r="AI20" s="38" t="s">
        <v>1281</v>
      </c>
      <c r="AJ20" s="38" t="s">
        <v>1282</v>
      </c>
      <c r="AK20" s="38" t="s">
        <v>1283</v>
      </c>
      <c r="AL20" s="38" t="s">
        <v>1284</v>
      </c>
      <c r="AM20" s="38" t="s">
        <v>1285</v>
      </c>
      <c r="AN20" s="38" t="s">
        <v>1286</v>
      </c>
      <c r="AO20" s="38" t="s">
        <v>1287</v>
      </c>
      <c r="AP20" s="38" t="s">
        <v>1288</v>
      </c>
      <c r="AQ20" s="38" t="s">
        <v>1289</v>
      </c>
      <c r="AR20" s="38" t="s">
        <v>1290</v>
      </c>
      <c r="AS20" s="38" t="s">
        <v>1291</v>
      </c>
      <c r="AT20" s="38" t="s">
        <v>1292</v>
      </c>
      <c r="AU20" s="38" t="s">
        <v>1293</v>
      </c>
      <c r="AV20" s="38" t="s">
        <v>1294</v>
      </c>
      <c r="AW20" s="38" t="s">
        <v>1295</v>
      </c>
      <c r="AX20" s="38" t="s">
        <v>1296</v>
      </c>
      <c r="AY20" s="38" t="s">
        <v>1297</v>
      </c>
      <c r="AZ20" s="38" t="s">
        <v>1298</v>
      </c>
      <c r="BA20" s="38" t="s">
        <v>1299</v>
      </c>
      <c r="BB20" s="38" t="s">
        <v>1300</v>
      </c>
      <c r="BC20" t="s">
        <v>1301</v>
      </c>
      <c r="BD20" t="s">
        <v>1302</v>
      </c>
      <c r="BE20" t="s">
        <v>1303</v>
      </c>
      <c r="BF20" t="s">
        <v>1304</v>
      </c>
      <c r="BG20" t="s">
        <v>1305</v>
      </c>
      <c r="BH20" t="s">
        <v>1306</v>
      </c>
      <c r="BI20" t="s">
        <v>1307</v>
      </c>
    </row>
    <row r="21" spans="1:61">
      <c r="A21" t="s">
        <v>1308</v>
      </c>
      <c r="B21" s="38" t="s">
        <v>1309</v>
      </c>
      <c r="C21" s="38" t="s">
        <v>1310</v>
      </c>
      <c r="D21" s="38" t="s">
        <v>1311</v>
      </c>
      <c r="E21" s="38" t="s">
        <v>1312</v>
      </c>
      <c r="F21" s="38" t="s">
        <v>1313</v>
      </c>
      <c r="G21" s="38" t="s">
        <v>1314</v>
      </c>
      <c r="H21" s="38" t="s">
        <v>1315</v>
      </c>
      <c r="I21" s="38" t="s">
        <v>1316</v>
      </c>
      <c r="J21" s="38" t="s">
        <v>1317</v>
      </c>
      <c r="K21" s="38" t="s">
        <v>1318</v>
      </c>
      <c r="L21" s="38" t="s">
        <v>1319</v>
      </c>
      <c r="M21" s="38" t="s">
        <v>1320</v>
      </c>
      <c r="N21" s="38" t="s">
        <v>1321</v>
      </c>
      <c r="O21" s="38" t="s">
        <v>1322</v>
      </c>
      <c r="P21" s="38" t="s">
        <v>1323</v>
      </c>
      <c r="Q21" s="38" t="s">
        <v>1324</v>
      </c>
      <c r="R21" s="38" t="s">
        <v>1325</v>
      </c>
      <c r="S21" s="38" t="s">
        <v>1326</v>
      </c>
      <c r="T21" s="38" t="s">
        <v>1327</v>
      </c>
      <c r="U21" s="38" t="s">
        <v>1328</v>
      </c>
      <c r="V21" s="38" t="s">
        <v>1329</v>
      </c>
      <c r="W21" s="38" t="s">
        <v>1330</v>
      </c>
      <c r="X21" s="38" t="s">
        <v>1331</v>
      </c>
      <c r="Y21" s="38" t="s">
        <v>1332</v>
      </c>
      <c r="Z21" s="38" t="s">
        <v>1333</v>
      </c>
      <c r="AA21" s="38" t="s">
        <v>1334</v>
      </c>
      <c r="AB21" s="38" t="s">
        <v>1335</v>
      </c>
      <c r="AC21" s="38" t="s">
        <v>1336</v>
      </c>
      <c r="AD21" s="38" t="s">
        <v>1337</v>
      </c>
      <c r="AE21" s="38" t="s">
        <v>1338</v>
      </c>
      <c r="AF21" s="38" t="s">
        <v>1339</v>
      </c>
      <c r="AG21" s="38" t="s">
        <v>1340</v>
      </c>
      <c r="AH21" s="38" t="s">
        <v>1341</v>
      </c>
      <c r="AI21" s="38" t="s">
        <v>1342</v>
      </c>
      <c r="AJ21" s="38" t="s">
        <v>1343</v>
      </c>
      <c r="AK21" s="38" t="s">
        <v>1344</v>
      </c>
      <c r="AL21" s="38" t="s">
        <v>1345</v>
      </c>
      <c r="AM21" s="38" t="s">
        <v>1346</v>
      </c>
      <c r="AN21" s="38" t="s">
        <v>1347</v>
      </c>
      <c r="AO21" s="38" t="s">
        <v>1348</v>
      </c>
      <c r="AP21" s="38" t="s">
        <v>1349</v>
      </c>
      <c r="AQ21" s="38" t="s">
        <v>1350</v>
      </c>
      <c r="AR21" s="38" t="s">
        <v>1351</v>
      </c>
      <c r="AS21" s="38" t="s">
        <v>1352</v>
      </c>
      <c r="AT21" s="38" t="s">
        <v>1353</v>
      </c>
      <c r="AU21" s="38" t="s">
        <v>1354</v>
      </c>
      <c r="AV21" s="38" t="s">
        <v>1355</v>
      </c>
      <c r="AW21" s="38" t="s">
        <v>1356</v>
      </c>
      <c r="AX21" s="38" t="s">
        <v>1357</v>
      </c>
      <c r="AY21" s="38" t="s">
        <v>1358</v>
      </c>
      <c r="AZ21" s="38" t="s">
        <v>1359</v>
      </c>
      <c r="BA21" s="38" t="s">
        <v>1360</v>
      </c>
      <c r="BB21" s="21" t="s">
        <v>1361</v>
      </c>
      <c r="BC21" t="s">
        <v>1362</v>
      </c>
      <c r="BD21" t="s">
        <v>1363</v>
      </c>
      <c r="BE21" t="s">
        <v>1364</v>
      </c>
      <c r="BF21" t="s">
        <v>1365</v>
      </c>
      <c r="BG21" t="s">
        <v>1366</v>
      </c>
      <c r="BH21" t="s">
        <v>1367</v>
      </c>
      <c r="BI21" t="s">
        <v>1368</v>
      </c>
    </row>
    <row r="22" spans="1:61">
      <c r="A22" t="s">
        <v>1369</v>
      </c>
      <c r="B22" s="38" t="s">
        <v>1370</v>
      </c>
      <c r="C22" s="38" t="s">
        <v>1371</v>
      </c>
      <c r="D22" s="38" t="s">
        <v>1372</v>
      </c>
      <c r="E22" s="38" t="s">
        <v>1373</v>
      </c>
      <c r="F22" s="38" t="s">
        <v>1374</v>
      </c>
      <c r="G22" s="38" t="s">
        <v>1375</v>
      </c>
      <c r="H22" s="38" t="s">
        <v>779</v>
      </c>
      <c r="I22" s="38" t="s">
        <v>1376</v>
      </c>
      <c r="J22" s="38" t="s">
        <v>1377</v>
      </c>
      <c r="K22" s="38" t="s">
        <v>1378</v>
      </c>
      <c r="L22" s="38" t="s">
        <v>783</v>
      </c>
      <c r="M22" s="38" t="s">
        <v>1371</v>
      </c>
      <c r="N22" s="38" t="s">
        <v>1379</v>
      </c>
      <c r="O22" s="38" t="s">
        <v>1380</v>
      </c>
      <c r="P22" s="38" t="s">
        <v>1381</v>
      </c>
      <c r="Q22" s="38" t="s">
        <v>1382</v>
      </c>
      <c r="R22" s="38" t="s">
        <v>789</v>
      </c>
      <c r="S22" s="38" t="s">
        <v>1383</v>
      </c>
      <c r="T22" s="38" t="s">
        <v>1384</v>
      </c>
      <c r="U22" s="38" t="s">
        <v>1385</v>
      </c>
      <c r="V22" s="38" t="s">
        <v>1386</v>
      </c>
      <c r="W22" s="38" t="s">
        <v>1387</v>
      </c>
      <c r="X22" s="38" t="s">
        <v>795</v>
      </c>
      <c r="Y22" s="38" t="s">
        <v>1388</v>
      </c>
      <c r="Z22" s="38" t="s">
        <v>1389</v>
      </c>
      <c r="AA22" s="38" t="s">
        <v>1390</v>
      </c>
      <c r="AB22" s="38" t="s">
        <v>799</v>
      </c>
      <c r="AC22" s="38" t="s">
        <v>1391</v>
      </c>
      <c r="AD22" s="38" t="s">
        <v>1392</v>
      </c>
      <c r="AE22" s="38" t="s">
        <v>1393</v>
      </c>
      <c r="AF22" s="38" t="s">
        <v>1394</v>
      </c>
      <c r="AG22" s="38" t="s">
        <v>774</v>
      </c>
      <c r="AH22" s="38" t="s">
        <v>1395</v>
      </c>
      <c r="AI22" s="38" t="s">
        <v>1396</v>
      </c>
      <c r="AJ22" s="38" t="s">
        <v>1397</v>
      </c>
      <c r="AK22" s="38" t="s">
        <v>1398</v>
      </c>
      <c r="AL22" s="38" t="s">
        <v>1399</v>
      </c>
      <c r="AM22" s="38" t="s">
        <v>1400</v>
      </c>
      <c r="AN22" s="38" t="s">
        <v>1401</v>
      </c>
      <c r="AO22" s="38" t="s">
        <v>1402</v>
      </c>
      <c r="AP22" s="38" t="s">
        <v>813</v>
      </c>
      <c r="AQ22" s="38" t="s">
        <v>1403</v>
      </c>
      <c r="AR22" s="38" t="s">
        <v>1404</v>
      </c>
      <c r="AS22" s="38" t="s">
        <v>1405</v>
      </c>
      <c r="AT22" s="38" t="s">
        <v>1406</v>
      </c>
      <c r="AU22" s="38" t="s">
        <v>1407</v>
      </c>
      <c r="AV22" s="38" t="s">
        <v>786</v>
      </c>
      <c r="AW22" s="38" t="s">
        <v>785</v>
      </c>
      <c r="AX22" s="38" t="s">
        <v>1408</v>
      </c>
      <c r="AY22" s="38" t="s">
        <v>1409</v>
      </c>
      <c r="AZ22" s="38" t="s">
        <v>823</v>
      </c>
      <c r="BA22" s="38" t="s">
        <v>824</v>
      </c>
      <c r="BB22" t="s">
        <v>1410</v>
      </c>
      <c r="BC22" t="s">
        <v>826</v>
      </c>
      <c r="BD22" t="s">
        <v>1411</v>
      </c>
      <c r="BE22" t="s">
        <v>1412</v>
      </c>
      <c r="BF22" t="s">
        <v>1413</v>
      </c>
      <c r="BG22" t="s">
        <v>1414</v>
      </c>
      <c r="BH22" t="s">
        <v>1415</v>
      </c>
      <c r="BI22" t="s">
        <v>1416</v>
      </c>
    </row>
    <row r="23" spans="1:61">
      <c r="A23" t="s">
        <v>1417</v>
      </c>
      <c r="B23" s="38" t="s">
        <v>1418</v>
      </c>
      <c r="C23" s="38" t="s">
        <v>1419</v>
      </c>
      <c r="D23" s="38" t="s">
        <v>1420</v>
      </c>
      <c r="E23" s="38" t="s">
        <v>1421</v>
      </c>
      <c r="F23" s="38" t="s">
        <v>1422</v>
      </c>
      <c r="G23" s="38" t="s">
        <v>1423</v>
      </c>
      <c r="H23" s="38" t="s">
        <v>1424</v>
      </c>
      <c r="I23" s="38" t="s">
        <v>1425</v>
      </c>
      <c r="J23" s="38" t="s">
        <v>1426</v>
      </c>
      <c r="K23" s="38" t="s">
        <v>1427</v>
      </c>
      <c r="L23" s="38" t="s">
        <v>1428</v>
      </c>
      <c r="M23" s="38" t="s">
        <v>1429</v>
      </c>
      <c r="N23" s="38" t="s">
        <v>1430</v>
      </c>
      <c r="O23" s="38" t="s">
        <v>1431</v>
      </c>
      <c r="P23" s="38" t="s">
        <v>1432</v>
      </c>
      <c r="Q23" s="38" t="s">
        <v>1433</v>
      </c>
      <c r="R23" s="38" t="s">
        <v>1434</v>
      </c>
      <c r="S23" s="38" t="s">
        <v>1435</v>
      </c>
      <c r="T23" s="38" t="s">
        <v>1436</v>
      </c>
      <c r="U23" s="38" t="s">
        <v>1437</v>
      </c>
      <c r="V23" s="38" t="s">
        <v>1438</v>
      </c>
      <c r="W23" s="38" t="s">
        <v>1439</v>
      </c>
      <c r="X23" s="38" t="s">
        <v>1440</v>
      </c>
      <c r="Y23" s="38" t="s">
        <v>1441</v>
      </c>
      <c r="Z23" s="38" t="s">
        <v>1442</v>
      </c>
      <c r="AA23" s="38" t="s">
        <v>1443</v>
      </c>
      <c r="AB23" s="38" t="s">
        <v>1444</v>
      </c>
      <c r="AC23" s="38" t="s">
        <v>1445</v>
      </c>
      <c r="AD23" s="38" t="s">
        <v>1446</v>
      </c>
      <c r="AE23" s="38" t="s">
        <v>1447</v>
      </c>
      <c r="AF23" s="38" t="s">
        <v>1448</v>
      </c>
      <c r="AG23" s="38" t="s">
        <v>1427</v>
      </c>
      <c r="AH23" s="38" t="s">
        <v>1449</v>
      </c>
      <c r="AI23" s="38" t="s">
        <v>1450</v>
      </c>
      <c r="AJ23" s="38" t="s">
        <v>1451</v>
      </c>
      <c r="AK23" s="38" t="s">
        <v>1452</v>
      </c>
      <c r="AL23" s="38" t="s">
        <v>1453</v>
      </c>
      <c r="AM23" s="38" t="s">
        <v>1454</v>
      </c>
      <c r="AN23" s="38" t="s">
        <v>1455</v>
      </c>
      <c r="AO23" s="38" t="s">
        <v>1456</v>
      </c>
      <c r="AP23" s="38" t="s">
        <v>1457</v>
      </c>
      <c r="AQ23" s="38" t="s">
        <v>1458</v>
      </c>
      <c r="AR23" s="38" t="s">
        <v>1459</v>
      </c>
      <c r="AS23" s="38" t="s">
        <v>1460</v>
      </c>
      <c r="AT23" s="38" t="s">
        <v>1461</v>
      </c>
      <c r="AU23" s="38" t="s">
        <v>1462</v>
      </c>
      <c r="AV23" s="38" t="s">
        <v>1463</v>
      </c>
      <c r="AW23" s="38" t="s">
        <v>1464</v>
      </c>
      <c r="AX23" s="38" t="s">
        <v>1465</v>
      </c>
      <c r="AY23" s="38" t="s">
        <v>1466</v>
      </c>
      <c r="AZ23" s="38" t="s">
        <v>1467</v>
      </c>
      <c r="BA23" s="38" t="s">
        <v>1468</v>
      </c>
      <c r="BB23" s="128" t="s">
        <v>1469</v>
      </c>
      <c r="BC23" s="128" t="s">
        <v>1470</v>
      </c>
      <c r="BD23" s="128" t="s">
        <v>1471</v>
      </c>
      <c r="BE23" s="129" t="s">
        <v>1472</v>
      </c>
      <c r="BF23" s="129" t="s">
        <v>1473</v>
      </c>
      <c r="BG23" s="128" t="s">
        <v>1474</v>
      </c>
      <c r="BH23" t="s">
        <v>1475</v>
      </c>
      <c r="BI23" t="s">
        <v>1476</v>
      </c>
    </row>
    <row r="24" spans="1:61">
      <c r="A24" t="s">
        <v>1477</v>
      </c>
      <c r="B24" t="s">
        <v>1478</v>
      </c>
      <c r="C24" t="s">
        <v>1479</v>
      </c>
      <c r="D24" t="s">
        <v>1480</v>
      </c>
      <c r="E24" t="s">
        <v>1481</v>
      </c>
      <c r="F24" t="s">
        <v>1482</v>
      </c>
      <c r="G24" t="s">
        <v>1483</v>
      </c>
      <c r="H24" t="s">
        <v>1484</v>
      </c>
      <c r="I24" t="s">
        <v>1485</v>
      </c>
      <c r="J24" t="s">
        <v>1486</v>
      </c>
      <c r="K24" t="s">
        <v>1487</v>
      </c>
      <c r="L24" t="s">
        <v>1488</v>
      </c>
      <c r="M24" t="s">
        <v>1489</v>
      </c>
      <c r="N24" t="s">
        <v>1490</v>
      </c>
      <c r="O24" t="s">
        <v>1491</v>
      </c>
      <c r="P24" t="s">
        <v>1492</v>
      </c>
      <c r="Q24" t="s">
        <v>1493</v>
      </c>
      <c r="R24" t="s">
        <v>1494</v>
      </c>
      <c r="S24" t="s">
        <v>1495</v>
      </c>
      <c r="T24" t="s">
        <v>1496</v>
      </c>
      <c r="U24" t="s">
        <v>1497</v>
      </c>
      <c r="V24" t="s">
        <v>1498</v>
      </c>
      <c r="W24" t="s">
        <v>1499</v>
      </c>
      <c r="X24" t="s">
        <v>1500</v>
      </c>
      <c r="Y24" t="s">
        <v>1501</v>
      </c>
      <c r="Z24" t="s">
        <v>1502</v>
      </c>
      <c r="AA24" t="s">
        <v>1503</v>
      </c>
      <c r="AB24" t="s">
        <v>1504</v>
      </c>
      <c r="AC24" t="s">
        <v>1505</v>
      </c>
      <c r="AD24" t="s">
        <v>1506</v>
      </c>
      <c r="AE24" t="s">
        <v>1507</v>
      </c>
      <c r="AF24" t="s">
        <v>1508</v>
      </c>
      <c r="AG24" t="s">
        <v>1509</v>
      </c>
      <c r="AH24" t="s">
        <v>1510</v>
      </c>
      <c r="AI24" t="s">
        <v>1511</v>
      </c>
      <c r="AJ24" t="s">
        <v>1512</v>
      </c>
      <c r="AK24" t="s">
        <v>1513</v>
      </c>
      <c r="AL24" t="s">
        <v>1514</v>
      </c>
      <c r="AM24" t="s">
        <v>1515</v>
      </c>
      <c r="AN24" t="s">
        <v>1516</v>
      </c>
      <c r="AO24" t="s">
        <v>1517</v>
      </c>
      <c r="AP24" t="s">
        <v>1518</v>
      </c>
      <c r="AQ24" t="s">
        <v>1519</v>
      </c>
      <c r="AR24" t="s">
        <v>1520</v>
      </c>
      <c r="AS24" t="s">
        <v>1521</v>
      </c>
      <c r="AT24" t="s">
        <v>1522</v>
      </c>
      <c r="AU24" t="s">
        <v>1523</v>
      </c>
      <c r="AV24" t="s">
        <v>1524</v>
      </c>
      <c r="AW24" t="s">
        <v>1525</v>
      </c>
      <c r="AX24" t="s">
        <v>1526</v>
      </c>
      <c r="AY24" t="s">
        <v>1527</v>
      </c>
      <c r="AZ24" t="s">
        <v>1528</v>
      </c>
      <c r="BA24" t="s">
        <v>1529</v>
      </c>
      <c r="BB24" s="130" t="s">
        <v>1530</v>
      </c>
      <c r="BC24" t="s">
        <v>1531</v>
      </c>
      <c r="BD24" t="s">
        <v>1532</v>
      </c>
      <c r="BE24" t="s">
        <v>1533</v>
      </c>
      <c r="BF24" t="s">
        <v>1534</v>
      </c>
      <c r="BG24" t="s">
        <v>1535</v>
      </c>
      <c r="BH24" t="s">
        <v>1536</v>
      </c>
      <c r="BI24" t="s">
        <v>1537</v>
      </c>
    </row>
    <row r="25" spans="1:61">
      <c r="A25" t="s">
        <v>1538</v>
      </c>
      <c r="B25" t="s">
        <v>1539</v>
      </c>
      <c r="C25" t="s">
        <v>1540</v>
      </c>
      <c r="D25" t="s">
        <v>1541</v>
      </c>
      <c r="E25" t="s">
        <v>1542</v>
      </c>
      <c r="F25" t="s">
        <v>190</v>
      </c>
      <c r="G25" t="s">
        <v>1543</v>
      </c>
      <c r="H25" t="s">
        <v>1544</v>
      </c>
      <c r="I25" t="s">
        <v>1545</v>
      </c>
      <c r="J25" t="s">
        <v>1546</v>
      </c>
      <c r="K25" t="s">
        <v>1547</v>
      </c>
      <c r="L25" t="s">
        <v>1548</v>
      </c>
      <c r="M25" t="s">
        <v>1549</v>
      </c>
      <c r="N25" t="s">
        <v>1550</v>
      </c>
      <c r="O25" t="s">
        <v>550</v>
      </c>
      <c r="P25" t="s">
        <v>1551</v>
      </c>
      <c r="Q25" t="s">
        <v>1552</v>
      </c>
      <c r="R25" t="s">
        <v>1553</v>
      </c>
      <c r="S25" t="s">
        <v>1554</v>
      </c>
      <c r="T25" t="s">
        <v>1555</v>
      </c>
      <c r="U25" t="s">
        <v>1556</v>
      </c>
      <c r="V25" t="s">
        <v>1557</v>
      </c>
      <c r="W25" t="s">
        <v>1558</v>
      </c>
      <c r="X25" t="s">
        <v>1559</v>
      </c>
      <c r="Y25" t="s">
        <v>1560</v>
      </c>
      <c r="Z25" t="s">
        <v>1561</v>
      </c>
      <c r="AA25" t="s">
        <v>1562</v>
      </c>
      <c r="AB25" t="s">
        <v>1563</v>
      </c>
      <c r="AC25" t="s">
        <v>1564</v>
      </c>
      <c r="AD25" t="s">
        <v>1565</v>
      </c>
      <c r="AE25" t="s">
        <v>1566</v>
      </c>
      <c r="AF25" t="s">
        <v>1567</v>
      </c>
      <c r="AG25" t="s">
        <v>1568</v>
      </c>
      <c r="AH25" t="s">
        <v>1569</v>
      </c>
      <c r="AI25" t="s">
        <v>1570</v>
      </c>
      <c r="AJ25" t="s">
        <v>1571</v>
      </c>
      <c r="AK25" t="s">
        <v>1572</v>
      </c>
      <c r="AL25" t="s">
        <v>1573</v>
      </c>
      <c r="AM25" t="s">
        <v>1574</v>
      </c>
      <c r="AN25" t="s">
        <v>1575</v>
      </c>
      <c r="AO25" t="s">
        <v>1576</v>
      </c>
      <c r="AP25" t="s">
        <v>1577</v>
      </c>
      <c r="AQ25" t="s">
        <v>1578</v>
      </c>
      <c r="AR25" t="s">
        <v>1579</v>
      </c>
      <c r="AS25" t="s">
        <v>1580</v>
      </c>
      <c r="AT25" t="s">
        <v>1581</v>
      </c>
      <c r="AU25" t="s">
        <v>1582</v>
      </c>
      <c r="AV25" t="s">
        <v>1583</v>
      </c>
      <c r="AW25" t="s">
        <v>1584</v>
      </c>
      <c r="AX25" t="s">
        <v>1585</v>
      </c>
      <c r="AY25" t="s">
        <v>1586</v>
      </c>
      <c r="AZ25" t="s">
        <v>236</v>
      </c>
      <c r="BA25" t="s">
        <v>297</v>
      </c>
      <c r="BB25" t="s">
        <v>1587</v>
      </c>
      <c r="BC25" t="s">
        <v>1588</v>
      </c>
      <c r="BD25" t="s">
        <v>1589</v>
      </c>
      <c r="BE25" t="s">
        <v>1590</v>
      </c>
      <c r="BF25" t="s">
        <v>1066</v>
      </c>
      <c r="BG25" t="s">
        <v>1591</v>
      </c>
      <c r="BH25" t="s">
        <v>183</v>
      </c>
      <c r="BI25" t="s">
        <v>184</v>
      </c>
    </row>
    <row r="26" spans="1:61">
      <c r="A26" t="s">
        <v>1592</v>
      </c>
      <c r="B26" t="s">
        <v>1593</v>
      </c>
      <c r="C26" t="s">
        <v>1594</v>
      </c>
      <c r="D26" t="s">
        <v>1595</v>
      </c>
      <c r="E26" t="s">
        <v>1596</v>
      </c>
      <c r="F26" t="s">
        <v>190</v>
      </c>
      <c r="G26" t="s">
        <v>1593</v>
      </c>
      <c r="H26" t="s">
        <v>1597</v>
      </c>
      <c r="I26" t="s">
        <v>1598</v>
      </c>
      <c r="J26" t="s">
        <v>1599</v>
      </c>
      <c r="K26" t="s">
        <v>1600</v>
      </c>
      <c r="L26" t="s">
        <v>1593</v>
      </c>
      <c r="M26" t="s">
        <v>1601</v>
      </c>
      <c r="N26" t="s">
        <v>1602</v>
      </c>
      <c r="O26" t="s">
        <v>199</v>
      </c>
      <c r="P26" t="s">
        <v>1603</v>
      </c>
      <c r="Q26" t="s">
        <v>1604</v>
      </c>
      <c r="R26" t="s">
        <v>1605</v>
      </c>
      <c r="S26" t="s">
        <v>1606</v>
      </c>
      <c r="T26" t="s">
        <v>1607</v>
      </c>
      <c r="U26" t="s">
        <v>1608</v>
      </c>
      <c r="V26" t="s">
        <v>1557</v>
      </c>
      <c r="W26" t="s">
        <v>1609</v>
      </c>
      <c r="X26" t="s">
        <v>1610</v>
      </c>
      <c r="Y26" t="s">
        <v>1611</v>
      </c>
      <c r="Z26" t="s">
        <v>1612</v>
      </c>
      <c r="AA26" t="s">
        <v>1613</v>
      </c>
      <c r="AB26" t="s">
        <v>1614</v>
      </c>
      <c r="AC26" t="s">
        <v>1564</v>
      </c>
      <c r="AD26" t="s">
        <v>1615</v>
      </c>
      <c r="AE26" t="s">
        <v>1616</v>
      </c>
      <c r="AF26" t="s">
        <v>1617</v>
      </c>
      <c r="AG26" t="s">
        <v>1564</v>
      </c>
      <c r="AH26" t="s">
        <v>1569</v>
      </c>
      <c r="AI26" t="s">
        <v>1618</v>
      </c>
      <c r="AJ26" t="s">
        <v>1571</v>
      </c>
      <c r="AK26" t="s">
        <v>1572</v>
      </c>
      <c r="AL26" t="s">
        <v>1619</v>
      </c>
      <c r="AM26" t="s">
        <v>1620</v>
      </c>
      <c r="AN26" t="s">
        <v>1575</v>
      </c>
      <c r="AO26" t="s">
        <v>1621</v>
      </c>
      <c r="AP26" t="s">
        <v>1622</v>
      </c>
      <c r="AQ26" t="s">
        <v>1578</v>
      </c>
      <c r="AR26" t="s">
        <v>1579</v>
      </c>
      <c r="AS26" t="s">
        <v>1580</v>
      </c>
      <c r="AT26" t="s">
        <v>1623</v>
      </c>
      <c r="AU26" t="s">
        <v>1624</v>
      </c>
      <c r="AV26" t="s">
        <v>1583</v>
      </c>
      <c r="AW26" t="s">
        <v>1625</v>
      </c>
      <c r="AX26" t="s">
        <v>1626</v>
      </c>
      <c r="AY26" t="s">
        <v>1627</v>
      </c>
      <c r="AZ26" t="s">
        <v>1616</v>
      </c>
      <c r="BA26" t="s">
        <v>237</v>
      </c>
      <c r="BB26" t="s">
        <v>1062</v>
      </c>
      <c r="BC26" t="s">
        <v>1628</v>
      </c>
      <c r="BD26" t="s">
        <v>1064</v>
      </c>
      <c r="BE26" t="s">
        <v>1629</v>
      </c>
      <c r="BF26" t="s">
        <v>1630</v>
      </c>
      <c r="BG26" t="s">
        <v>1631</v>
      </c>
      <c r="BH26" t="s">
        <v>183</v>
      </c>
      <c r="BI26" t="s">
        <v>184</v>
      </c>
    </row>
    <row r="27" spans="1:61">
      <c r="A27" t="s">
        <v>1632</v>
      </c>
      <c r="B27" t="s">
        <v>1633</v>
      </c>
      <c r="C27" t="s">
        <v>1634</v>
      </c>
      <c r="D27" t="s">
        <v>1635</v>
      </c>
      <c r="E27" t="s">
        <v>1636</v>
      </c>
      <c r="F27" t="s">
        <v>1637</v>
      </c>
      <c r="G27" t="s">
        <v>1638</v>
      </c>
      <c r="H27" t="s">
        <v>1639</v>
      </c>
      <c r="I27" t="s">
        <v>1640</v>
      </c>
      <c r="J27" t="s">
        <v>1641</v>
      </c>
      <c r="K27" t="s">
        <v>1642</v>
      </c>
      <c r="L27" t="s">
        <v>1643</v>
      </c>
      <c r="M27" t="s">
        <v>1644</v>
      </c>
      <c r="N27" t="s">
        <v>1645</v>
      </c>
      <c r="O27" t="s">
        <v>1646</v>
      </c>
      <c r="P27" t="s">
        <v>1647</v>
      </c>
      <c r="Q27" t="s">
        <v>1648</v>
      </c>
      <c r="R27" t="s">
        <v>1649</v>
      </c>
      <c r="S27" t="s">
        <v>1650</v>
      </c>
      <c r="T27" t="s">
        <v>1651</v>
      </c>
      <c r="U27" t="s">
        <v>1652</v>
      </c>
      <c r="V27" t="s">
        <v>1653</v>
      </c>
      <c r="W27" t="s">
        <v>1654</v>
      </c>
      <c r="X27" t="s">
        <v>1655</v>
      </c>
      <c r="Y27" t="s">
        <v>1656</v>
      </c>
      <c r="Z27" t="s">
        <v>1657</v>
      </c>
      <c r="AA27" t="s">
        <v>1658</v>
      </c>
      <c r="AB27" t="s">
        <v>1659</v>
      </c>
      <c r="AC27" t="s">
        <v>1660</v>
      </c>
      <c r="AD27" t="s">
        <v>1661</v>
      </c>
      <c r="AE27" t="s">
        <v>1662</v>
      </c>
      <c r="AF27" t="s">
        <v>1663</v>
      </c>
      <c r="AG27" t="s">
        <v>1664</v>
      </c>
      <c r="AH27" t="s">
        <v>1665</v>
      </c>
      <c r="AI27" t="s">
        <v>1666</v>
      </c>
      <c r="AJ27" t="s">
        <v>1667</v>
      </c>
      <c r="AK27" t="s">
        <v>1668</v>
      </c>
      <c r="AL27" t="s">
        <v>1669</v>
      </c>
      <c r="AM27" t="s">
        <v>1670</v>
      </c>
      <c r="AN27" t="s">
        <v>1671</v>
      </c>
      <c r="AO27" t="s">
        <v>1672</v>
      </c>
      <c r="AP27" t="s">
        <v>1673</v>
      </c>
      <c r="AQ27" t="s">
        <v>1674</v>
      </c>
      <c r="AR27" t="s">
        <v>1675</v>
      </c>
      <c r="AS27" t="s">
        <v>1676</v>
      </c>
      <c r="AT27" t="s">
        <v>1677</v>
      </c>
      <c r="AU27" t="s">
        <v>1678</v>
      </c>
      <c r="AV27" t="s">
        <v>1679</v>
      </c>
      <c r="AW27" t="s">
        <v>1663</v>
      </c>
      <c r="AX27" t="s">
        <v>1680</v>
      </c>
      <c r="AY27" t="s">
        <v>1681</v>
      </c>
      <c r="AZ27" t="s">
        <v>1682</v>
      </c>
      <c r="BA27" t="s">
        <v>1683</v>
      </c>
      <c r="BB27" t="s">
        <v>1684</v>
      </c>
      <c r="BC27" t="s">
        <v>1685</v>
      </c>
      <c r="BD27" t="s">
        <v>1686</v>
      </c>
      <c r="BE27" t="s">
        <v>1687</v>
      </c>
      <c r="BF27" t="s">
        <v>1688</v>
      </c>
      <c r="BG27" t="s">
        <v>1689</v>
      </c>
      <c r="BH27" t="s">
        <v>183</v>
      </c>
      <c r="BI27" t="s">
        <v>184</v>
      </c>
    </row>
    <row r="28" spans="1:61">
      <c r="A28" t="s">
        <v>1690</v>
      </c>
      <c r="B28" t="s">
        <v>1691</v>
      </c>
      <c r="C28" t="s">
        <v>1692</v>
      </c>
      <c r="D28" t="s">
        <v>1693</v>
      </c>
      <c r="E28" t="s">
        <v>1694</v>
      </c>
      <c r="F28" t="s">
        <v>1695</v>
      </c>
      <c r="G28" t="s">
        <v>1696</v>
      </c>
      <c r="H28" t="s">
        <v>1697</v>
      </c>
      <c r="I28" t="s">
        <v>1698</v>
      </c>
      <c r="J28" t="s">
        <v>1699</v>
      </c>
      <c r="K28" t="s">
        <v>1700</v>
      </c>
      <c r="L28" t="s">
        <v>1701</v>
      </c>
      <c r="M28" t="s">
        <v>1702</v>
      </c>
      <c r="N28" t="s">
        <v>1703</v>
      </c>
      <c r="O28" t="s">
        <v>1704</v>
      </c>
      <c r="P28" t="s">
        <v>1705</v>
      </c>
      <c r="Q28" t="s">
        <v>1706</v>
      </c>
      <c r="R28" t="s">
        <v>1707</v>
      </c>
      <c r="S28" t="s">
        <v>1708</v>
      </c>
      <c r="T28" t="s">
        <v>1709</v>
      </c>
      <c r="U28" t="s">
        <v>1710</v>
      </c>
      <c r="V28" t="s">
        <v>1711</v>
      </c>
      <c r="W28" t="s">
        <v>1712</v>
      </c>
      <c r="X28" t="s">
        <v>1713</v>
      </c>
      <c r="Y28" t="s">
        <v>1714</v>
      </c>
      <c r="Z28" t="s">
        <v>1715</v>
      </c>
      <c r="AA28" t="s">
        <v>1716</v>
      </c>
      <c r="AB28" t="s">
        <v>1717</v>
      </c>
      <c r="AC28" t="s">
        <v>1718</v>
      </c>
      <c r="AD28" t="s">
        <v>1719</v>
      </c>
      <c r="AE28" t="s">
        <v>1720</v>
      </c>
      <c r="AF28" t="s">
        <v>1721</v>
      </c>
      <c r="AG28" t="s">
        <v>1721</v>
      </c>
      <c r="AH28" t="s">
        <v>1722</v>
      </c>
      <c r="AI28" t="s">
        <v>1723</v>
      </c>
      <c r="AJ28" t="s">
        <v>1724</v>
      </c>
      <c r="AK28" t="s">
        <v>1725</v>
      </c>
      <c r="AL28" t="s">
        <v>1726</v>
      </c>
      <c r="AM28" t="s">
        <v>1727</v>
      </c>
      <c r="AN28" t="s">
        <v>1728</v>
      </c>
      <c r="AO28" t="s">
        <v>1729</v>
      </c>
      <c r="AP28" t="s">
        <v>1730</v>
      </c>
      <c r="AQ28" t="s">
        <v>1731</v>
      </c>
      <c r="AR28" t="s">
        <v>1732</v>
      </c>
      <c r="AS28" t="s">
        <v>1733</v>
      </c>
      <c r="AT28" t="s">
        <v>1734</v>
      </c>
      <c r="AU28" t="s">
        <v>1735</v>
      </c>
      <c r="AV28" t="s">
        <v>1736</v>
      </c>
      <c r="AW28" t="s">
        <v>1737</v>
      </c>
      <c r="AX28" t="s">
        <v>1738</v>
      </c>
      <c r="AY28" t="s">
        <v>1739</v>
      </c>
      <c r="AZ28" t="s">
        <v>1740</v>
      </c>
      <c r="BA28" t="s">
        <v>1741</v>
      </c>
      <c r="BB28" t="s">
        <v>1742</v>
      </c>
      <c r="BC28" t="s">
        <v>1743</v>
      </c>
      <c r="BD28" t="s">
        <v>1744</v>
      </c>
      <c r="BE28" t="s">
        <v>1745</v>
      </c>
      <c r="BF28" t="s">
        <v>1746</v>
      </c>
      <c r="BG28" t="s">
        <v>1747</v>
      </c>
      <c r="BH28" t="s">
        <v>183</v>
      </c>
      <c r="BI28" t="s">
        <v>184</v>
      </c>
    </row>
    <row r="29" spans="1:61">
      <c r="A29" t="s">
        <v>1748</v>
      </c>
      <c r="B29" t="s">
        <v>1749</v>
      </c>
      <c r="C29" t="s">
        <v>1750</v>
      </c>
      <c r="D29" t="s">
        <v>1751</v>
      </c>
      <c r="E29" t="s">
        <v>1752</v>
      </c>
      <c r="F29" t="s">
        <v>1753</v>
      </c>
      <c r="G29" t="s">
        <v>1754</v>
      </c>
      <c r="H29" t="s">
        <v>1755</v>
      </c>
      <c r="I29" t="s">
        <v>1756</v>
      </c>
      <c r="J29" t="s">
        <v>1757</v>
      </c>
      <c r="K29" t="s">
        <v>1758</v>
      </c>
      <c r="L29" t="s">
        <v>1759</v>
      </c>
      <c r="M29" t="s">
        <v>1760</v>
      </c>
      <c r="N29" t="s">
        <v>1761</v>
      </c>
      <c r="O29" t="s">
        <v>1762</v>
      </c>
      <c r="P29" t="s">
        <v>1763</v>
      </c>
      <c r="Q29" t="s">
        <v>1764</v>
      </c>
      <c r="R29" t="s">
        <v>1765</v>
      </c>
      <c r="S29" t="s">
        <v>1766</v>
      </c>
      <c r="T29" t="s">
        <v>1767</v>
      </c>
      <c r="U29" t="s">
        <v>1768</v>
      </c>
      <c r="V29" t="s">
        <v>1769</v>
      </c>
      <c r="W29" t="s">
        <v>1770</v>
      </c>
      <c r="X29" t="s">
        <v>1771</v>
      </c>
      <c r="Y29" t="s">
        <v>1772</v>
      </c>
      <c r="Z29" t="s">
        <v>1773</v>
      </c>
      <c r="AA29" t="s">
        <v>1774</v>
      </c>
      <c r="AB29" t="s">
        <v>1775</v>
      </c>
      <c r="AC29" t="s">
        <v>1776</v>
      </c>
      <c r="AD29" t="s">
        <v>1777</v>
      </c>
      <c r="AE29" t="s">
        <v>1778</v>
      </c>
      <c r="AF29" t="s">
        <v>1779</v>
      </c>
      <c r="AG29" t="s">
        <v>1780</v>
      </c>
      <c r="AH29" t="s">
        <v>1781</v>
      </c>
      <c r="AI29" t="s">
        <v>1782</v>
      </c>
      <c r="AJ29" t="s">
        <v>1783</v>
      </c>
      <c r="AK29" t="s">
        <v>1784</v>
      </c>
      <c r="AL29" t="s">
        <v>1785</v>
      </c>
      <c r="AM29" t="s">
        <v>1785</v>
      </c>
      <c r="AN29" t="s">
        <v>1786</v>
      </c>
      <c r="AO29" t="s">
        <v>989</v>
      </c>
      <c r="AP29" t="s">
        <v>1787</v>
      </c>
      <c r="AQ29" t="s">
        <v>1788</v>
      </c>
      <c r="AR29" t="s">
        <v>1789</v>
      </c>
      <c r="AS29" t="s">
        <v>1790</v>
      </c>
      <c r="AT29" t="s">
        <v>1791</v>
      </c>
      <c r="AU29" t="s">
        <v>1792</v>
      </c>
      <c r="AV29" t="s">
        <v>1793</v>
      </c>
      <c r="AW29" t="s">
        <v>1794</v>
      </c>
      <c r="AX29" t="s">
        <v>1795</v>
      </c>
      <c r="AY29" t="s">
        <v>1796</v>
      </c>
      <c r="AZ29" t="s">
        <v>1797</v>
      </c>
      <c r="BA29" t="s">
        <v>1798</v>
      </c>
      <c r="BB29" t="s">
        <v>1799</v>
      </c>
      <c r="BC29" t="s">
        <v>1800</v>
      </c>
      <c r="BD29" t="s">
        <v>1004</v>
      </c>
      <c r="BE29" t="s">
        <v>1801</v>
      </c>
      <c r="BF29" t="s">
        <v>1802</v>
      </c>
      <c r="BG29" t="s">
        <v>1803</v>
      </c>
      <c r="BH29" t="s">
        <v>183</v>
      </c>
      <c r="BI29" t="s">
        <v>184</v>
      </c>
    </row>
    <row r="30" spans="1:61">
      <c r="A30" t="s">
        <v>1804</v>
      </c>
      <c r="B30" t="s">
        <v>1749</v>
      </c>
      <c r="C30" t="s">
        <v>1805</v>
      </c>
      <c r="D30" t="s">
        <v>1751</v>
      </c>
      <c r="E30" t="s">
        <v>1752</v>
      </c>
      <c r="F30" t="s">
        <v>1806</v>
      </c>
      <c r="G30" t="s">
        <v>1759</v>
      </c>
      <c r="H30" t="s">
        <v>1807</v>
      </c>
      <c r="I30" t="s">
        <v>1808</v>
      </c>
      <c r="J30" t="s">
        <v>1809</v>
      </c>
      <c r="K30" t="s">
        <v>1810</v>
      </c>
      <c r="L30" t="s">
        <v>1759</v>
      </c>
      <c r="M30" t="s">
        <v>1760</v>
      </c>
      <c r="N30" t="s">
        <v>1761</v>
      </c>
      <c r="O30" t="s">
        <v>1762</v>
      </c>
      <c r="P30" t="s">
        <v>1811</v>
      </c>
      <c r="Q30" t="s">
        <v>1812</v>
      </c>
      <c r="R30" t="s">
        <v>1765</v>
      </c>
      <c r="S30" t="s">
        <v>1766</v>
      </c>
      <c r="T30" t="s">
        <v>1813</v>
      </c>
      <c r="U30" t="s">
        <v>1814</v>
      </c>
      <c r="V30" t="s">
        <v>1815</v>
      </c>
      <c r="W30" t="s">
        <v>1816</v>
      </c>
      <c r="X30" t="s">
        <v>1771</v>
      </c>
      <c r="Y30" t="s">
        <v>1772</v>
      </c>
      <c r="Z30" t="s">
        <v>1817</v>
      </c>
      <c r="AA30" t="s">
        <v>1774</v>
      </c>
      <c r="AB30" t="s">
        <v>1818</v>
      </c>
      <c r="AC30" t="s">
        <v>1819</v>
      </c>
      <c r="AD30" t="s">
        <v>1820</v>
      </c>
      <c r="AE30" t="s">
        <v>1821</v>
      </c>
      <c r="AF30" t="s">
        <v>1779</v>
      </c>
      <c r="AG30" t="s">
        <v>1780</v>
      </c>
      <c r="AH30" t="s">
        <v>1822</v>
      </c>
      <c r="AI30" t="s">
        <v>1823</v>
      </c>
      <c r="AJ30" t="s">
        <v>1824</v>
      </c>
      <c r="AK30" t="s">
        <v>1825</v>
      </c>
      <c r="AL30" t="s">
        <v>1785</v>
      </c>
      <c r="AM30" t="s">
        <v>1785</v>
      </c>
      <c r="AN30" t="s">
        <v>1826</v>
      </c>
      <c r="AO30" t="s">
        <v>1827</v>
      </c>
      <c r="AP30" t="s">
        <v>1787</v>
      </c>
      <c r="AQ30" t="s">
        <v>1788</v>
      </c>
      <c r="AR30" t="s">
        <v>1789</v>
      </c>
      <c r="AS30" t="s">
        <v>1790</v>
      </c>
      <c r="AT30" t="s">
        <v>1828</v>
      </c>
      <c r="AU30" t="s">
        <v>1829</v>
      </c>
      <c r="AV30" t="s">
        <v>1776</v>
      </c>
      <c r="AW30" t="s">
        <v>1830</v>
      </c>
      <c r="AX30" t="s">
        <v>1831</v>
      </c>
      <c r="AY30" t="s">
        <v>1832</v>
      </c>
      <c r="AZ30" t="s">
        <v>1833</v>
      </c>
      <c r="BA30" t="s">
        <v>1834</v>
      </c>
      <c r="BB30" t="s">
        <v>1799</v>
      </c>
      <c r="BC30" t="s">
        <v>1800</v>
      </c>
      <c r="BD30" t="s">
        <v>1835</v>
      </c>
      <c r="BE30" t="s">
        <v>1801</v>
      </c>
      <c r="BF30" t="s">
        <v>1802</v>
      </c>
      <c r="BG30" t="s">
        <v>1803</v>
      </c>
      <c r="BH30" t="s">
        <v>183</v>
      </c>
      <c r="BI30" t="s">
        <v>184</v>
      </c>
    </row>
    <row r="31" spans="1:61">
      <c r="A31" t="s">
        <v>1836</v>
      </c>
      <c r="B31" t="s">
        <v>1837</v>
      </c>
      <c r="C31" t="s">
        <v>1838</v>
      </c>
      <c r="D31" t="s">
        <v>1839</v>
      </c>
      <c r="E31" t="s">
        <v>1840</v>
      </c>
      <c r="F31" t="s">
        <v>1841</v>
      </c>
      <c r="G31" t="s">
        <v>1842</v>
      </c>
      <c r="H31" t="s">
        <v>1843</v>
      </c>
      <c r="I31" t="s">
        <v>1844</v>
      </c>
      <c r="J31" t="s">
        <v>1845</v>
      </c>
      <c r="K31" t="s">
        <v>1846</v>
      </c>
      <c r="L31" t="s">
        <v>1842</v>
      </c>
      <c r="M31" t="s">
        <v>1847</v>
      </c>
      <c r="N31" t="s">
        <v>1848</v>
      </c>
      <c r="O31" t="s">
        <v>1849</v>
      </c>
      <c r="P31" t="s">
        <v>1850</v>
      </c>
      <c r="Q31" t="s">
        <v>1851</v>
      </c>
      <c r="R31" t="s">
        <v>1852</v>
      </c>
      <c r="S31" t="s">
        <v>1853</v>
      </c>
      <c r="T31" t="s">
        <v>1854</v>
      </c>
      <c r="U31" t="s">
        <v>1855</v>
      </c>
      <c r="V31" t="s">
        <v>1856</v>
      </c>
      <c r="W31" t="s">
        <v>1857</v>
      </c>
      <c r="X31" t="s">
        <v>1858</v>
      </c>
      <c r="Y31" t="s">
        <v>1859</v>
      </c>
      <c r="Z31" t="s">
        <v>1860</v>
      </c>
      <c r="AA31" t="s">
        <v>1861</v>
      </c>
      <c r="AB31" t="s">
        <v>1862</v>
      </c>
      <c r="AC31" t="s">
        <v>1863</v>
      </c>
      <c r="AD31" t="s">
        <v>1864</v>
      </c>
      <c r="AE31" t="s">
        <v>1865</v>
      </c>
      <c r="AF31" t="s">
        <v>1866</v>
      </c>
      <c r="AG31" t="s">
        <v>1867</v>
      </c>
      <c r="AH31" t="s">
        <v>1868</v>
      </c>
      <c r="AI31" t="s">
        <v>1869</v>
      </c>
      <c r="AJ31" t="s">
        <v>1870</v>
      </c>
      <c r="AK31" t="s">
        <v>1871</v>
      </c>
      <c r="AL31" t="s">
        <v>1872</v>
      </c>
      <c r="AM31" t="s">
        <v>1872</v>
      </c>
      <c r="AN31" t="s">
        <v>1873</v>
      </c>
      <c r="AO31" t="s">
        <v>1874</v>
      </c>
      <c r="AP31" t="s">
        <v>1875</v>
      </c>
      <c r="AQ31" t="s">
        <v>1876</v>
      </c>
      <c r="AR31" t="s">
        <v>1877</v>
      </c>
      <c r="AS31" t="s">
        <v>1878</v>
      </c>
      <c r="AT31" t="s">
        <v>1879</v>
      </c>
      <c r="AU31" t="s">
        <v>1880</v>
      </c>
      <c r="AV31" t="s">
        <v>1881</v>
      </c>
      <c r="AW31" t="s">
        <v>1882</v>
      </c>
      <c r="AX31" t="s">
        <v>1883</v>
      </c>
      <c r="AY31" t="s">
        <v>1884</v>
      </c>
      <c r="AZ31" t="s">
        <v>1885</v>
      </c>
      <c r="BA31" t="s">
        <v>1886</v>
      </c>
      <c r="BB31" t="s">
        <v>1887</v>
      </c>
      <c r="BC31" t="s">
        <v>1888</v>
      </c>
      <c r="BD31" t="s">
        <v>1889</v>
      </c>
      <c r="BE31" t="s">
        <v>1890</v>
      </c>
      <c r="BF31" t="s">
        <v>1891</v>
      </c>
      <c r="BG31" t="s">
        <v>1892</v>
      </c>
      <c r="BH31" t="s">
        <v>183</v>
      </c>
      <c r="BI31" t="s">
        <v>184</v>
      </c>
    </row>
    <row r="32" spans="1:61">
      <c r="A32" t="s">
        <v>1893</v>
      </c>
      <c r="B32" t="s">
        <v>1894</v>
      </c>
      <c r="C32" t="s">
        <v>1895</v>
      </c>
      <c r="D32" t="s">
        <v>1896</v>
      </c>
      <c r="E32" t="s">
        <v>1897</v>
      </c>
      <c r="F32" t="s">
        <v>1898</v>
      </c>
      <c r="G32" t="s">
        <v>1899</v>
      </c>
      <c r="H32" t="s">
        <v>1900</v>
      </c>
      <c r="I32" t="s">
        <v>1901</v>
      </c>
      <c r="J32" t="s">
        <v>1902</v>
      </c>
      <c r="K32" t="s">
        <v>1903</v>
      </c>
      <c r="L32" t="s">
        <v>1904</v>
      </c>
      <c r="M32" t="s">
        <v>1905</v>
      </c>
      <c r="N32" t="s">
        <v>1906</v>
      </c>
      <c r="O32" t="s">
        <v>1907</v>
      </c>
      <c r="P32" t="s">
        <v>1908</v>
      </c>
      <c r="Q32" t="s">
        <v>1909</v>
      </c>
      <c r="R32" t="s">
        <v>1910</v>
      </c>
      <c r="S32" t="s">
        <v>1911</v>
      </c>
      <c r="T32" t="s">
        <v>1912</v>
      </c>
      <c r="U32" t="s">
        <v>1913</v>
      </c>
      <c r="V32" t="s">
        <v>1914</v>
      </c>
      <c r="W32" t="s">
        <v>1915</v>
      </c>
      <c r="X32" t="s">
        <v>1916</v>
      </c>
      <c r="Y32" t="s">
        <v>1917</v>
      </c>
      <c r="Z32" t="s">
        <v>1918</v>
      </c>
      <c r="AA32" t="s">
        <v>1919</v>
      </c>
      <c r="AB32" t="s">
        <v>1920</v>
      </c>
      <c r="AC32" t="s">
        <v>1921</v>
      </c>
      <c r="AD32" t="s">
        <v>1922</v>
      </c>
      <c r="AE32" t="s">
        <v>1923</v>
      </c>
      <c r="AF32" t="s">
        <v>1924</v>
      </c>
      <c r="AG32" t="s">
        <v>1925</v>
      </c>
      <c r="AH32" t="s">
        <v>1926</v>
      </c>
      <c r="AI32" t="s">
        <v>1927</v>
      </c>
      <c r="AJ32" t="s">
        <v>1928</v>
      </c>
      <c r="AK32" t="s">
        <v>1929</v>
      </c>
      <c r="AL32" t="s">
        <v>1930</v>
      </c>
      <c r="AM32" t="s">
        <v>1930</v>
      </c>
      <c r="AN32" t="s">
        <v>1931</v>
      </c>
      <c r="AO32" t="s">
        <v>1932</v>
      </c>
      <c r="AP32" t="s">
        <v>1457</v>
      </c>
      <c r="AQ32" t="s">
        <v>1933</v>
      </c>
      <c r="AR32" t="s">
        <v>1934</v>
      </c>
      <c r="AS32" t="s">
        <v>1935</v>
      </c>
      <c r="AT32" t="s">
        <v>1936</v>
      </c>
      <c r="AU32" t="s">
        <v>1937</v>
      </c>
      <c r="AV32" t="s">
        <v>1938</v>
      </c>
      <c r="AW32" t="s">
        <v>1939</v>
      </c>
      <c r="AX32" t="s">
        <v>1940</v>
      </c>
      <c r="AY32" t="s">
        <v>1941</v>
      </c>
      <c r="AZ32" t="s">
        <v>1942</v>
      </c>
      <c r="BA32" t="s">
        <v>1943</v>
      </c>
      <c r="BB32" t="s">
        <v>1944</v>
      </c>
      <c r="BC32" t="s">
        <v>1945</v>
      </c>
      <c r="BD32" t="s">
        <v>1946</v>
      </c>
      <c r="BE32" t="s">
        <v>1947</v>
      </c>
      <c r="BF32" t="s">
        <v>1948</v>
      </c>
      <c r="BG32" t="s">
        <v>1949</v>
      </c>
      <c r="BH32" t="s">
        <v>183</v>
      </c>
      <c r="BI32" t="s">
        <v>184</v>
      </c>
    </row>
    <row r="33" spans="1:61">
      <c r="A33" t="s">
        <v>1950</v>
      </c>
      <c r="B33" t="s">
        <v>1951</v>
      </c>
      <c r="C33" t="s">
        <v>1952</v>
      </c>
      <c r="D33" t="s">
        <v>1953</v>
      </c>
      <c r="E33" t="s">
        <v>1954</v>
      </c>
      <c r="F33" t="s">
        <v>1955</v>
      </c>
      <c r="G33" t="s">
        <v>1956</v>
      </c>
      <c r="H33" t="s">
        <v>1957</v>
      </c>
      <c r="I33" t="s">
        <v>1958</v>
      </c>
      <c r="J33" t="s">
        <v>1959</v>
      </c>
      <c r="K33" t="s">
        <v>1960</v>
      </c>
      <c r="L33" t="s">
        <v>1961</v>
      </c>
      <c r="M33" t="s">
        <v>1962</v>
      </c>
      <c r="N33" t="s">
        <v>1963</v>
      </c>
      <c r="O33" t="s">
        <v>1964</v>
      </c>
      <c r="P33" t="s">
        <v>1965</v>
      </c>
      <c r="Q33" t="s">
        <v>1966</v>
      </c>
      <c r="R33" t="s">
        <v>1967</v>
      </c>
      <c r="S33" t="s">
        <v>1968</v>
      </c>
      <c r="T33" t="s">
        <v>1969</v>
      </c>
      <c r="U33" t="s">
        <v>1970</v>
      </c>
      <c r="V33" t="s">
        <v>1971</v>
      </c>
      <c r="W33" t="s">
        <v>1972</v>
      </c>
      <c r="X33" t="s">
        <v>1973</v>
      </c>
      <c r="Y33" t="s">
        <v>1974</v>
      </c>
      <c r="Z33" t="s">
        <v>1975</v>
      </c>
      <c r="AA33" t="s">
        <v>1976</v>
      </c>
      <c r="AB33" t="s">
        <v>1977</v>
      </c>
      <c r="AC33" t="s">
        <v>1978</v>
      </c>
      <c r="AD33" t="s">
        <v>1979</v>
      </c>
      <c r="AE33" t="s">
        <v>1980</v>
      </c>
      <c r="AF33" t="s">
        <v>1981</v>
      </c>
      <c r="AG33" t="s">
        <v>1982</v>
      </c>
      <c r="AH33" t="s">
        <v>1983</v>
      </c>
      <c r="AI33" t="s">
        <v>1984</v>
      </c>
      <c r="AJ33" t="s">
        <v>1985</v>
      </c>
      <c r="AK33" t="s">
        <v>1986</v>
      </c>
      <c r="AL33" t="s">
        <v>1987</v>
      </c>
      <c r="AM33" t="s">
        <v>1987</v>
      </c>
      <c r="AN33" t="s">
        <v>1988</v>
      </c>
      <c r="AO33" t="s">
        <v>1989</v>
      </c>
      <c r="AP33" t="s">
        <v>1990</v>
      </c>
      <c r="AQ33" t="s">
        <v>1991</v>
      </c>
      <c r="AR33" t="s">
        <v>1992</v>
      </c>
      <c r="AS33" t="s">
        <v>1993</v>
      </c>
      <c r="AT33" t="s">
        <v>1994</v>
      </c>
      <c r="AU33" t="s">
        <v>1995</v>
      </c>
      <c r="AV33" t="s">
        <v>1996</v>
      </c>
      <c r="AW33" t="s">
        <v>1997</v>
      </c>
      <c r="AX33" t="s">
        <v>1998</v>
      </c>
      <c r="AY33" t="s">
        <v>1999</v>
      </c>
      <c r="AZ33" t="s">
        <v>2000</v>
      </c>
      <c r="BA33" t="s">
        <v>2001</v>
      </c>
      <c r="BB33" t="s">
        <v>2002</v>
      </c>
      <c r="BC33" t="s">
        <v>2003</v>
      </c>
      <c r="BD33" t="s">
        <v>2004</v>
      </c>
      <c r="BE33" t="s">
        <v>2005</v>
      </c>
      <c r="BF33" t="s">
        <v>2006</v>
      </c>
      <c r="BG33" t="s">
        <v>2007</v>
      </c>
      <c r="BH33" t="s">
        <v>183</v>
      </c>
      <c r="BI33" t="s">
        <v>184</v>
      </c>
    </row>
    <row r="34" spans="1:61">
      <c r="A34" t="s">
        <v>2008</v>
      </c>
      <c r="B34" t="s">
        <v>2009</v>
      </c>
      <c r="C34" t="s">
        <v>2009</v>
      </c>
      <c r="D34" t="s">
        <v>2010</v>
      </c>
      <c r="E34" t="s">
        <v>2010</v>
      </c>
      <c r="F34" t="s">
        <v>2011</v>
      </c>
      <c r="G34" t="s">
        <v>2011</v>
      </c>
      <c r="H34" t="s">
        <v>2012</v>
      </c>
      <c r="I34" t="s">
        <v>2012</v>
      </c>
      <c r="J34" t="s">
        <v>2013</v>
      </c>
      <c r="K34" t="s">
        <v>2013</v>
      </c>
      <c r="L34" t="s">
        <v>2014</v>
      </c>
      <c r="M34" t="s">
        <v>2014</v>
      </c>
      <c r="N34" t="s">
        <v>2015</v>
      </c>
      <c r="O34" t="s">
        <v>2015</v>
      </c>
      <c r="P34" t="s">
        <v>2016</v>
      </c>
      <c r="Q34" t="s">
        <v>2016</v>
      </c>
      <c r="R34" t="s">
        <v>2017</v>
      </c>
      <c r="S34" t="s">
        <v>2017</v>
      </c>
      <c r="T34" t="s">
        <v>2018</v>
      </c>
      <c r="U34" t="s">
        <v>2018</v>
      </c>
      <c r="V34" t="s">
        <v>2019</v>
      </c>
      <c r="W34" t="s">
        <v>2019</v>
      </c>
      <c r="X34" t="s">
        <v>2020</v>
      </c>
      <c r="Y34" t="s">
        <v>2020</v>
      </c>
      <c r="Z34" t="s">
        <v>2021</v>
      </c>
      <c r="AA34" t="s">
        <v>2021</v>
      </c>
      <c r="AB34" t="s">
        <v>2022</v>
      </c>
      <c r="AC34" t="s">
        <v>2022</v>
      </c>
      <c r="AD34" t="s">
        <v>2023</v>
      </c>
      <c r="AE34" t="s">
        <v>2023</v>
      </c>
      <c r="AF34" t="s">
        <v>2024</v>
      </c>
      <c r="AG34" t="s">
        <v>2024</v>
      </c>
      <c r="AH34" t="s">
        <v>2025</v>
      </c>
      <c r="AI34" t="s">
        <v>2025</v>
      </c>
      <c r="AJ34" t="s">
        <v>2026</v>
      </c>
      <c r="AK34" t="s">
        <v>2026</v>
      </c>
      <c r="AL34" t="s">
        <v>2027</v>
      </c>
      <c r="AM34" t="s">
        <v>2027</v>
      </c>
      <c r="AN34" t="s">
        <v>2028</v>
      </c>
      <c r="AO34" t="s">
        <v>2028</v>
      </c>
      <c r="AP34" t="s">
        <v>2029</v>
      </c>
      <c r="AQ34" t="s">
        <v>2029</v>
      </c>
      <c r="AR34" t="s">
        <v>2030</v>
      </c>
      <c r="AS34" t="s">
        <v>2030</v>
      </c>
      <c r="AT34" t="s">
        <v>2031</v>
      </c>
      <c r="AU34" t="s">
        <v>2031</v>
      </c>
      <c r="AV34" t="s">
        <v>2032</v>
      </c>
      <c r="AW34" t="s">
        <v>2032</v>
      </c>
      <c r="AX34" t="s">
        <v>2033</v>
      </c>
      <c r="AY34" t="s">
        <v>2033</v>
      </c>
      <c r="AZ34" t="s">
        <v>2034</v>
      </c>
      <c r="BA34" t="s">
        <v>2034</v>
      </c>
      <c r="BB34" t="s">
        <v>2035</v>
      </c>
      <c r="BC34" t="s">
        <v>2036</v>
      </c>
      <c r="BD34" t="s">
        <v>2037</v>
      </c>
      <c r="BE34" t="s">
        <v>2038</v>
      </c>
      <c r="BF34" t="s">
        <v>2039</v>
      </c>
      <c r="BG34" t="s">
        <v>2040</v>
      </c>
      <c r="BH34" t="s">
        <v>183</v>
      </c>
      <c r="BI34" t="s">
        <v>184</v>
      </c>
    </row>
    <row r="35" spans="1:61" ht="16.5">
      <c r="A35" t="s">
        <v>2041</v>
      </c>
      <c r="B35" t="s">
        <v>2042</v>
      </c>
      <c r="C35" t="s">
        <v>2043</v>
      </c>
      <c r="D35" t="s">
        <v>2044</v>
      </c>
      <c r="E35" t="s">
        <v>2045</v>
      </c>
      <c r="F35" t="s">
        <v>2046</v>
      </c>
      <c r="G35" t="s">
        <v>2047</v>
      </c>
      <c r="H35" t="s">
        <v>2048</v>
      </c>
      <c r="I35" t="s">
        <v>2049</v>
      </c>
      <c r="J35" t="s">
        <v>1199</v>
      </c>
      <c r="K35" t="s">
        <v>2050</v>
      </c>
      <c r="L35" t="s">
        <v>2051</v>
      </c>
      <c r="M35" t="s">
        <v>2052</v>
      </c>
      <c r="N35" t="s">
        <v>2053</v>
      </c>
      <c r="O35" t="s">
        <v>1192</v>
      </c>
      <c r="P35" t="s">
        <v>2054</v>
      </c>
      <c r="Q35" t="s">
        <v>2055</v>
      </c>
      <c r="R35" t="s">
        <v>2056</v>
      </c>
      <c r="S35" t="s">
        <v>2057</v>
      </c>
      <c r="T35" t="s">
        <v>2058</v>
      </c>
      <c r="U35" t="s">
        <v>2059</v>
      </c>
      <c r="V35" t="s">
        <v>2060</v>
      </c>
      <c r="W35" t="s">
        <v>2061</v>
      </c>
      <c r="X35" t="s">
        <v>2062</v>
      </c>
      <c r="Y35" t="s">
        <v>2063</v>
      </c>
      <c r="Z35" t="s">
        <v>2064</v>
      </c>
      <c r="AA35" t="s">
        <v>2065</v>
      </c>
      <c r="AB35" t="s">
        <v>2066</v>
      </c>
      <c r="AC35" t="s">
        <v>2067</v>
      </c>
      <c r="AD35" t="s">
        <v>2068</v>
      </c>
      <c r="AE35" t="s">
        <v>2069</v>
      </c>
      <c r="AF35" t="s">
        <v>2070</v>
      </c>
      <c r="AG35" t="s">
        <v>2071</v>
      </c>
      <c r="AH35" t="s">
        <v>2072</v>
      </c>
      <c r="AI35" t="s">
        <v>2073</v>
      </c>
      <c r="AJ35" t="s">
        <v>2074</v>
      </c>
      <c r="AK35" t="s">
        <v>2075</v>
      </c>
      <c r="AL35" t="s">
        <v>2076</v>
      </c>
      <c r="AM35" t="s">
        <v>2076</v>
      </c>
      <c r="AN35" t="s">
        <v>2077</v>
      </c>
      <c r="AO35" t="s">
        <v>2078</v>
      </c>
      <c r="AP35" t="s">
        <v>2079</v>
      </c>
      <c r="AQ35" t="s">
        <v>2080</v>
      </c>
      <c r="AR35" t="s">
        <v>2081</v>
      </c>
      <c r="AS35" t="s">
        <v>1233</v>
      </c>
      <c r="AT35" t="s">
        <v>2082</v>
      </c>
      <c r="AU35" t="s">
        <v>2083</v>
      </c>
      <c r="AV35" t="s">
        <v>2067</v>
      </c>
      <c r="AW35" t="s">
        <v>2084</v>
      </c>
      <c r="AX35" t="s">
        <v>2085</v>
      </c>
      <c r="AY35" t="s">
        <v>2086</v>
      </c>
      <c r="AZ35" t="s">
        <v>2087</v>
      </c>
      <c r="BA35" t="s">
        <v>2088</v>
      </c>
      <c r="BB35" t="s">
        <v>1242</v>
      </c>
      <c r="BC35" t="s">
        <v>2089</v>
      </c>
      <c r="BD35" t="s">
        <v>2090</v>
      </c>
      <c r="BE35" s="133" t="s">
        <v>2091</v>
      </c>
      <c r="BF35" t="s">
        <v>2092</v>
      </c>
      <c r="BG35" t="s">
        <v>2093</v>
      </c>
      <c r="BH35" t="s">
        <v>183</v>
      </c>
      <c r="BI35" t="s">
        <v>184</v>
      </c>
    </row>
    <row r="36" spans="1:61">
      <c r="A36" t="s">
        <v>2094</v>
      </c>
      <c r="B36" t="s">
        <v>2095</v>
      </c>
      <c r="C36" t="s">
        <v>2096</v>
      </c>
      <c r="D36" t="s">
        <v>2097</v>
      </c>
      <c r="E36" t="s">
        <v>2098</v>
      </c>
      <c r="F36" t="s">
        <v>2099</v>
      </c>
      <c r="G36" t="s">
        <v>2100</v>
      </c>
      <c r="H36" t="s">
        <v>2101</v>
      </c>
      <c r="I36" t="s">
        <v>2102</v>
      </c>
      <c r="J36" t="s">
        <v>2103</v>
      </c>
      <c r="K36" t="s">
        <v>2104</v>
      </c>
      <c r="L36" t="s">
        <v>2105</v>
      </c>
      <c r="M36" t="s">
        <v>2106</v>
      </c>
      <c r="N36" t="s">
        <v>2107</v>
      </c>
      <c r="O36" t="s">
        <v>2108</v>
      </c>
      <c r="P36" t="s">
        <v>2109</v>
      </c>
      <c r="Q36" t="s">
        <v>2110</v>
      </c>
      <c r="R36" t="s">
        <v>2111</v>
      </c>
      <c r="S36" t="s">
        <v>2112</v>
      </c>
      <c r="T36" t="s">
        <v>2113</v>
      </c>
      <c r="U36" t="s">
        <v>2114</v>
      </c>
      <c r="V36" t="s">
        <v>2115</v>
      </c>
      <c r="W36" t="s">
        <v>2116</v>
      </c>
      <c r="X36" t="s">
        <v>2117</v>
      </c>
      <c r="Y36" t="s">
        <v>2118</v>
      </c>
      <c r="Z36" t="s">
        <v>2119</v>
      </c>
      <c r="AA36" t="s">
        <v>2120</v>
      </c>
      <c r="AB36" t="s">
        <v>2121</v>
      </c>
      <c r="AC36" t="s">
        <v>2122</v>
      </c>
      <c r="AD36" t="s">
        <v>2123</v>
      </c>
      <c r="AE36" t="s">
        <v>2124</v>
      </c>
      <c r="AF36" t="s">
        <v>2125</v>
      </c>
      <c r="AG36" t="s">
        <v>2126</v>
      </c>
      <c r="AH36" t="s">
        <v>2127</v>
      </c>
      <c r="AI36" t="s">
        <v>2128</v>
      </c>
      <c r="AJ36" t="s">
        <v>2129</v>
      </c>
      <c r="AK36" t="s">
        <v>2130</v>
      </c>
      <c r="AL36" t="s">
        <v>2131</v>
      </c>
      <c r="AM36" t="s">
        <v>2131</v>
      </c>
      <c r="AN36" t="s">
        <v>2132</v>
      </c>
      <c r="AO36" t="s">
        <v>2133</v>
      </c>
      <c r="AP36" t="s">
        <v>2134</v>
      </c>
      <c r="AQ36" t="s">
        <v>2135</v>
      </c>
      <c r="AR36" t="s">
        <v>2136</v>
      </c>
      <c r="AS36" t="s">
        <v>2137</v>
      </c>
      <c r="AT36" t="s">
        <v>2138</v>
      </c>
      <c r="AU36" t="s">
        <v>2139</v>
      </c>
      <c r="AV36" t="s">
        <v>2140</v>
      </c>
      <c r="AW36" t="s">
        <v>2141</v>
      </c>
      <c r="AX36" t="s">
        <v>2142</v>
      </c>
      <c r="AY36" t="s">
        <v>2143</v>
      </c>
      <c r="AZ36" t="s">
        <v>2144</v>
      </c>
      <c r="BA36" t="s">
        <v>2145</v>
      </c>
      <c r="BB36" t="s">
        <v>2146</v>
      </c>
      <c r="BC36" t="s">
        <v>2147</v>
      </c>
      <c r="BD36" t="s">
        <v>2148</v>
      </c>
      <c r="BE36" t="s">
        <v>2149</v>
      </c>
      <c r="BF36" t="s">
        <v>2150</v>
      </c>
      <c r="BG36" t="s">
        <v>2151</v>
      </c>
      <c r="BH36" t="s">
        <v>183</v>
      </c>
      <c r="BI36" t="s">
        <v>184</v>
      </c>
    </row>
    <row r="37" spans="1:61">
      <c r="A37" t="s">
        <v>2152</v>
      </c>
      <c r="B37" t="s">
        <v>2153</v>
      </c>
      <c r="C37" t="s">
        <v>2154</v>
      </c>
      <c r="D37" t="s">
        <v>2155</v>
      </c>
      <c r="E37" t="s">
        <v>2156</v>
      </c>
      <c r="F37" t="s">
        <v>2157</v>
      </c>
      <c r="G37" t="s">
        <v>2158</v>
      </c>
      <c r="H37" t="s">
        <v>2159</v>
      </c>
      <c r="I37" t="s">
        <v>2160</v>
      </c>
      <c r="J37" t="s">
        <v>1317</v>
      </c>
      <c r="K37" t="s">
        <v>2161</v>
      </c>
      <c r="L37" t="s">
        <v>1319</v>
      </c>
      <c r="M37" t="s">
        <v>2162</v>
      </c>
      <c r="N37" t="s">
        <v>2163</v>
      </c>
      <c r="O37" t="s">
        <v>2164</v>
      </c>
      <c r="P37" t="s">
        <v>2165</v>
      </c>
      <c r="Q37" t="s">
        <v>2166</v>
      </c>
      <c r="R37" t="s">
        <v>2167</v>
      </c>
      <c r="S37" t="s">
        <v>1326</v>
      </c>
      <c r="T37" t="s">
        <v>2168</v>
      </c>
      <c r="U37" t="s">
        <v>2169</v>
      </c>
      <c r="V37" t="s">
        <v>2170</v>
      </c>
      <c r="W37" t="s">
        <v>2171</v>
      </c>
      <c r="X37" t="s">
        <v>1331</v>
      </c>
      <c r="Y37" t="s">
        <v>2172</v>
      </c>
      <c r="Z37" t="s">
        <v>2173</v>
      </c>
      <c r="AA37" t="s">
        <v>1334</v>
      </c>
      <c r="AB37" t="s">
        <v>2174</v>
      </c>
      <c r="AC37" t="s">
        <v>2175</v>
      </c>
      <c r="AD37" t="s">
        <v>2176</v>
      </c>
      <c r="AE37" t="s">
        <v>2177</v>
      </c>
      <c r="AF37" t="s">
        <v>2178</v>
      </c>
      <c r="AG37" t="s">
        <v>2179</v>
      </c>
      <c r="AH37" t="s">
        <v>2180</v>
      </c>
      <c r="AI37" t="s">
        <v>2181</v>
      </c>
      <c r="AJ37" t="s">
        <v>2182</v>
      </c>
      <c r="AK37" t="s">
        <v>2183</v>
      </c>
      <c r="AL37" t="s">
        <v>2184</v>
      </c>
      <c r="AM37" t="s">
        <v>2185</v>
      </c>
      <c r="AN37" t="s">
        <v>2186</v>
      </c>
      <c r="AO37" t="s">
        <v>2187</v>
      </c>
      <c r="AP37" t="s">
        <v>1349</v>
      </c>
      <c r="AQ37" t="s">
        <v>2188</v>
      </c>
      <c r="AR37" t="s">
        <v>1351</v>
      </c>
      <c r="AS37" t="s">
        <v>1352</v>
      </c>
      <c r="AT37" t="s">
        <v>2189</v>
      </c>
      <c r="AU37" t="s">
        <v>2190</v>
      </c>
      <c r="AV37" t="s">
        <v>2191</v>
      </c>
      <c r="AW37" t="s">
        <v>2192</v>
      </c>
      <c r="AX37" t="s">
        <v>1357</v>
      </c>
      <c r="AY37" t="s">
        <v>1358</v>
      </c>
      <c r="AZ37" t="s">
        <v>2193</v>
      </c>
      <c r="BA37" t="s">
        <v>2194</v>
      </c>
      <c r="BB37" t="s">
        <v>2195</v>
      </c>
      <c r="BC37" t="s">
        <v>2196</v>
      </c>
      <c r="BD37" t="s">
        <v>2197</v>
      </c>
      <c r="BE37" t="s">
        <v>2198</v>
      </c>
      <c r="BF37" t="s">
        <v>2199</v>
      </c>
      <c r="BG37" t="s">
        <v>2200</v>
      </c>
      <c r="BH37" t="s">
        <v>1367</v>
      </c>
      <c r="BI37" t="s">
        <v>2201</v>
      </c>
    </row>
  </sheetData>
  <sheetProtection algorithmName="SHA-512" hashValue="Tek7aWUPHyvZMhU6SjU/C/Wd5LIKzEOnn/AncqnpFeQglAYwlJ5pqpFAIVHKPSkSCNNRG2qYxD9uZWD5m1iXCw==" saltValue="Vy4oZNIDQfchgCLIUhpaiw=="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Manager/>
  <Company>SAP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D019967</dc:creator>
  <cp:keywords/>
  <dc:description/>
  <cp:lastModifiedBy>JOHENSEN CHARLES</cp:lastModifiedBy>
  <cp:revision/>
  <dcterms:created xsi:type="dcterms:W3CDTF">2012-03-20T13:56:56Z</dcterms:created>
  <dcterms:modified xsi:type="dcterms:W3CDTF">2025-06-23T13:08:44Z</dcterms:modified>
  <cp:category/>
  <cp:contentStatus/>
</cp:coreProperties>
</file>